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tabRatio="599" activeTab="0"/>
  </bookViews>
  <sheets>
    <sheet name="DEPSCH" sheetId="1" r:id="rId1"/>
    <sheet name="SUMMARY" sheetId="2" r:id="rId2"/>
    <sheet name="RB SCH" sheetId="3" r:id="rId3"/>
    <sheet name="RETIRE SCH" sheetId="4" r:id="rId4"/>
  </sheets>
  <definedNames>
    <definedName name="_xlnm.Print_Area" localSheetId="0">'DEPSCH'!$A$3:$Q$91</definedName>
    <definedName name="_xlnm.Print_Area" localSheetId="2">'RB SCH'!$A$1:$H$30</definedName>
    <definedName name="_xlnm.Print_Area" localSheetId="3">'RETIRE SCH'!$A$1:$N$21</definedName>
    <definedName name="_xlnm.Print_Area" localSheetId="1">'SUMMARY'!$A$1:$H$33</definedName>
    <definedName name="_xlnm.Print_Titles" localSheetId="0">'DEPSCH'!$10:$12</definedName>
  </definedNames>
  <calcPr fullCalcOnLoad="1"/>
</workbook>
</file>

<file path=xl/comments1.xml><?xml version="1.0" encoding="utf-8"?>
<comments xmlns="http://schemas.openxmlformats.org/spreadsheetml/2006/main">
  <authors>
    <author>Randy Rhodes</author>
  </authors>
  <commentList>
    <comment ref="B6" authorId="0">
      <text>
        <r>
          <rPr>
            <sz val="8"/>
            <rFont val="Tahoma"/>
            <family val="2"/>
          </rPr>
          <t>Randy Rhodes: Docket Numbers corrected for Sugarcreek Water Company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8"/>
            <rFont val="Tahoma"/>
            <family val="2"/>
          </rPr>
          <t>Randy Rhodes: Docket Number removed for Pulmer Water Company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2"/>
          </rPr>
          <t>Randy Rhodes:</t>
        </r>
        <r>
          <rPr>
            <sz val="8"/>
            <rFont val="Tahoma"/>
            <family val="0"/>
          </rPr>
          <t xml:space="preserve"> 1) These items ane no longer in service (retired).
Note from 1994 pdf Depreciation Schedule: Asset 3 replaced by Asset 15 which in turn was replaced by Asset 38</t>
        </r>
      </text>
    </comment>
    <comment ref="B26" authorId="0">
      <text>
        <r>
          <rPr>
            <b/>
            <sz val="8"/>
            <rFont val="Tahoma"/>
            <family val="2"/>
          </rPr>
          <t>Randy Rhodes:</t>
        </r>
        <r>
          <rPr>
            <sz val="8"/>
            <rFont val="Tahoma"/>
            <family val="2"/>
          </rPr>
          <t xml:space="preserve"> Note from 1994 pdf Depreciation Schedule: PADEP Annual Report 1994 indicates Tank #1 - ID #001 - is not in use and by W/E-V-1, Company estimates 10 year life remain.</t>
        </r>
      </text>
    </comment>
    <comment ref="B30" authorId="0">
      <text>
        <r>
          <rPr>
            <b/>
            <sz val="8"/>
            <rFont val="Tahoma"/>
            <family val="2"/>
          </rPr>
          <t>Randy Rhodes:</t>
        </r>
        <r>
          <rPr>
            <sz val="8"/>
            <rFont val="Tahoma"/>
            <family val="2"/>
          </rPr>
          <t xml:space="preserve"> Note from 1994 pdf Depreciation Schedule: By OTS-RB-1-D, Company response.</t>
        </r>
      </text>
    </comment>
    <comment ref="B31" authorId="0">
      <text>
        <r>
          <rPr>
            <b/>
            <sz val="8"/>
            <rFont val="Tahoma"/>
            <family val="2"/>
          </rPr>
          <t>Randy Rhodes:</t>
        </r>
        <r>
          <rPr>
            <sz val="8"/>
            <rFont val="Tahoma"/>
            <family val="2"/>
          </rPr>
          <t xml:space="preserve"> Note from 1994 pdf Depreciation Schedule: 3) By W/E-v-10, Company estimates 10 years life remain.</t>
        </r>
      </text>
    </comment>
    <comment ref="B44" authorId="0">
      <text>
        <r>
          <rPr>
            <b/>
            <sz val="8"/>
            <rFont val="Tahoma"/>
            <family val="2"/>
          </rPr>
          <t>Randy Rhodes:</t>
        </r>
        <r>
          <rPr>
            <sz val="8"/>
            <rFont val="Tahoma"/>
            <family val="2"/>
          </rPr>
          <t xml:space="preserve"> Note from 1994 pdf Depreciation Schedule: 5) By OTS-V-13, Company response.</t>
        </r>
      </text>
    </comment>
    <comment ref="O20" authorId="0">
      <text>
        <r>
          <rPr>
            <sz val="8"/>
            <rFont val="Tahoma"/>
            <family val="2"/>
          </rPr>
          <t>Randy Rhodes: This life was taken from the pdf Depreciation Schedule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B11" authorId="0">
      <text>
        <r>
          <rPr>
            <sz val="8"/>
            <rFont val="Tahoma"/>
            <family val="0"/>
          </rPr>
          <t>1)  These items are no longer in service (retired).</t>
        </r>
      </text>
    </comment>
  </commentList>
</comments>
</file>

<file path=xl/sharedStrings.xml><?xml version="1.0" encoding="utf-8"?>
<sst xmlns="http://schemas.openxmlformats.org/spreadsheetml/2006/main" count="236" uniqueCount="150">
  <si>
    <t xml:space="preserve">COMPANY:  </t>
  </si>
  <si>
    <t>today's date</t>
  </si>
  <si>
    <t>Company</t>
  </si>
  <si>
    <t>FUS</t>
  </si>
  <si>
    <t>COMPANY</t>
  </si>
  <si>
    <t>Accrued</t>
  </si>
  <si>
    <t>Note</t>
  </si>
  <si>
    <t>Account</t>
  </si>
  <si>
    <t>Year</t>
  </si>
  <si>
    <t>Original</t>
  </si>
  <si>
    <t>Adjust</t>
  </si>
  <si>
    <t>Life</t>
  </si>
  <si>
    <t>Annual</t>
  </si>
  <si>
    <t>Adj</t>
  </si>
  <si>
    <t>No.</t>
  </si>
  <si>
    <t>Number</t>
  </si>
  <si>
    <t>Inst.</t>
  </si>
  <si>
    <t>Description of Plant</t>
  </si>
  <si>
    <t>Cost ($)</t>
  </si>
  <si>
    <t>($)</t>
  </si>
  <si>
    <t xml:space="preserve">    (yrs)</t>
  </si>
  <si>
    <t xml:space="preserve">     (yrs)</t>
  </si>
  <si>
    <t xml:space="preserve">DEPRECIABLE PLANT IN SERVICE </t>
  </si>
  <si>
    <t xml:space="preserve"> </t>
  </si>
  <si>
    <t>CWIP</t>
  </si>
  <si>
    <t>SUMMARY</t>
  </si>
  <si>
    <t>TOTAL DEPR PLANT-IN-SERVICE</t>
  </si>
  <si>
    <t>TOTAL NON-DEPR PLANT-IN-SER</t>
  </si>
  <si>
    <t>ADD:  CWIP</t>
  </si>
  <si>
    <t>LESS:  CIAC</t>
  </si>
  <si>
    <t>NET PLANT-IN-SERVICE</t>
  </si>
  <si>
    <t xml:space="preserve">                                                                                                                                                                 </t>
  </si>
  <si>
    <t>Adjustment</t>
  </si>
  <si>
    <t>$</t>
  </si>
  <si>
    <t>TOTAL DEPR PLANT IN SERVICE</t>
  </si>
  <si>
    <t>LESS:  ACCRUED</t>
  </si>
  <si>
    <t>NET DEPRECIABLE PLANT</t>
  </si>
  <si>
    <t>ADD:  NON-DEPR PLANT</t>
  </si>
  <si>
    <t>ADD:</t>
  </si>
  <si>
    <t xml:space="preserve">        CONST WORK IN PROGRESS</t>
  </si>
  <si>
    <t xml:space="preserve">        CASH WORKING CAPITAL</t>
  </si>
  <si>
    <t xml:space="preserve">        MATERIALS &amp; SUPPLIES</t>
  </si>
  <si>
    <t>ORIG. COST MEASURE OF VALUE</t>
  </si>
  <si>
    <t>=</t>
  </si>
  <si>
    <t>ANNUAL DEPR EXPENSE</t>
  </si>
  <si>
    <t>(1) To adjust Accrued Depreciation to reflect service</t>
  </si>
  <si>
    <t>PER FUS</t>
  </si>
  <si>
    <t xml:space="preserve">       lives commonly used by small water companies</t>
  </si>
  <si>
    <t>ADD: CWIP</t>
  </si>
  <si>
    <t>(2) To reflect accrued depreciation on Contributions</t>
  </si>
  <si>
    <t>TOTAL FUS ANNUAL</t>
  </si>
  <si>
    <t xml:space="preserve">      In Aid of Construction</t>
  </si>
  <si>
    <t>PER COMPANY</t>
  </si>
  <si>
    <t>(3) To reflect accrued depreciation on Customers'</t>
  </si>
  <si>
    <t>TOTAL COMPANY ANNUAL</t>
  </si>
  <si>
    <t>ADJUSTMENT TO ANNUAL</t>
  </si>
  <si>
    <t>RATE BASE</t>
  </si>
  <si>
    <t>Adjustments</t>
  </si>
  <si>
    <t>STAFF</t>
  </si>
  <si>
    <t>(1)</t>
  </si>
  <si>
    <t>LESS: ACCRUED</t>
  </si>
  <si>
    <t>(2)</t>
  </si>
  <si>
    <t>ADD:  NON-DEPRECIABLE PLANT</t>
  </si>
  <si>
    <t xml:space="preserve">     CASH WORKING CAPITAL</t>
  </si>
  <si>
    <t xml:space="preserve">     MATERIALS AND SUPPLIES</t>
  </si>
  <si>
    <t>MEASURE OF VALUE</t>
  </si>
  <si>
    <t>NON-DEPRECIABLE PLANT-IN-SERVICE</t>
  </si>
  <si>
    <t>SUB-TOTALS</t>
  </si>
  <si>
    <t>None</t>
  </si>
  <si>
    <t>CONTRIBUTIONS-IN-AID-OF-CONSTRUCTION</t>
  </si>
  <si>
    <r>
      <t>ENGINEER:</t>
    </r>
    <r>
      <rPr>
        <b/>
        <sz val="8"/>
        <rFont val="Arial"/>
        <family val="0"/>
      </rPr>
      <t xml:space="preserve"> WD Shrader</t>
    </r>
  </si>
  <si>
    <t>(3)</t>
  </si>
  <si>
    <t xml:space="preserve">   FUS STRAIGHT-LINE DEPR.</t>
  </si>
  <si>
    <t>Age</t>
  </si>
  <si>
    <t>NOTE ;  ANNUAL AND ACCRUED ARE CALCULATED IN DAYS</t>
  </si>
  <si>
    <t>DOCS # 439470</t>
  </si>
  <si>
    <t>(4)</t>
  </si>
  <si>
    <t>(2)  Necessary adjustment to remove the booked accrued depreciation of the retired plant in addition</t>
  </si>
  <si>
    <t xml:space="preserve">      to an adjustment to reflect accrued depreciation as computed with the Age Life depreciation</t>
  </si>
  <si>
    <t xml:space="preserve">      methodology using proper service lives.</t>
  </si>
  <si>
    <t xml:space="preserve">(3)  Allowance for Cash Working Capital based on 12.5% of Staff adjusted Operation and  </t>
  </si>
  <si>
    <t xml:space="preserve">      Maintenance Expenses.</t>
  </si>
  <si>
    <t>(4)  Staff has included 1% of Net Depreciable Plant as an allowance for inventory, to encourage the</t>
  </si>
  <si>
    <t>APPENDIX B</t>
  </si>
  <si>
    <t>Page 3 of 3</t>
  </si>
  <si>
    <r>
      <t xml:space="preserve">      </t>
    </r>
    <r>
      <rPr>
        <sz val="12"/>
        <rFont val="Times New Roman"/>
        <family val="1"/>
      </rPr>
      <t>Company to establish a minimum of Materials and Supplies inventory for reoccurring repairs and</t>
    </r>
  </si>
  <si>
    <r>
      <t xml:space="preserve">      </t>
    </r>
    <r>
      <rPr>
        <sz val="12"/>
        <rFont val="Times New Roman"/>
        <family val="1"/>
      </rPr>
      <t>replacements.</t>
    </r>
  </si>
  <si>
    <t>(1)  An adjustment to the value of plant in service to reflect retirements and to adjust for proper service</t>
  </si>
  <si>
    <t xml:space="preserve">      lives for rate making purposes.</t>
  </si>
  <si>
    <t>RETIREMENT SCHEDULE</t>
  </si>
  <si>
    <t>SUGARCREEK WATER COMPANY</t>
  </si>
  <si>
    <t>DOC # 433557</t>
  </si>
  <si>
    <t>Ext Prop Loss</t>
  </si>
  <si>
    <t>Bal</t>
  </si>
  <si>
    <t>Period</t>
  </si>
  <si>
    <t xml:space="preserve">DEPRECIABLE PLANT RETIRED </t>
  </si>
  <si>
    <t>PUMP &amp; PUMP EQUIPMENT (Retired)</t>
  </si>
  <si>
    <t>CL2 SYSTEM (Retired)</t>
  </si>
  <si>
    <t>PUMPS (Retired)</t>
  </si>
  <si>
    <t>PUMP - 3HP (Retired)</t>
  </si>
  <si>
    <r>
      <t>ENGINEER:</t>
    </r>
    <r>
      <rPr>
        <b/>
        <sz val="8"/>
        <rFont val="Arial"/>
        <family val="0"/>
      </rPr>
      <t xml:space="preserve"> L. LASH</t>
    </r>
  </si>
  <si>
    <t>Note:  The             was done by Lash/Shrader using Straight Line Methodology.</t>
  </si>
  <si>
    <r>
      <t>DOCKET No R-80061215, R-00832419, R-00922400, R-00953428</t>
    </r>
  </si>
  <si>
    <t>ORGANIZATION EXPENSE</t>
  </si>
  <si>
    <t>LAND</t>
  </si>
  <si>
    <t>WELL #2 - PERMITTED BACKUP WELL</t>
  </si>
  <si>
    <t>WELL #1 - PRIMARY WELL</t>
  </si>
  <si>
    <t>DISTRIBUTION SYSTEM</t>
  </si>
  <si>
    <t>ENGINEERING &amp; MAPPING</t>
  </si>
  <si>
    <t>ELECTRIC SERVICE TO PUMPHOUSE</t>
  </si>
  <si>
    <t>2" MAIN LINE</t>
  </si>
  <si>
    <t>MASTER METER (1 of 1)</t>
  </si>
  <si>
    <t>PUMPING SYSTEM</t>
  </si>
  <si>
    <t>2 MAINS TO CURB (SERVICES)</t>
  </si>
  <si>
    <t>200' DISTRIBUTION SYSTEM</t>
  </si>
  <si>
    <t>SERVICES (MAIN TO CURBS)</t>
  </si>
  <si>
    <t>WATER METERS</t>
  </si>
  <si>
    <t>4" MAIN LINE</t>
  </si>
  <si>
    <t>1-1/2" MASTER METER</t>
  </si>
  <si>
    <t>MAIN TO CURB (SERVICES)</t>
  </si>
  <si>
    <t>230' OF 2" MAIN LINE</t>
  </si>
  <si>
    <t>METER  PIT INSTALLATION (CONC)</t>
  </si>
  <si>
    <t>WATER WELL ADD. TO CASING (WELL #1)</t>
  </si>
  <si>
    <t>CORROSION CONTROL IMPROVEMENTS</t>
  </si>
  <si>
    <t>120' OF 2" MAIN LINE</t>
  </si>
  <si>
    <t>5 GALLON WATER METERS</t>
  </si>
  <si>
    <t>15 GALLON WATER METERS</t>
  </si>
  <si>
    <t>2 MAIN TO CURBS (SERVICES)</t>
  </si>
  <si>
    <t>2" COMPOUND METER FOR SCHOOL</t>
  </si>
  <si>
    <t>2" MAIN TO CURB FOR SCHOOL (SERVICES)</t>
  </si>
  <si>
    <t>PUMP</t>
  </si>
  <si>
    <t>1000' OF 6" LINE TO TANK (PVC)</t>
  </si>
  <si>
    <t>1000' OF 2"  LINE TO TANK (PVC)</t>
  </si>
  <si>
    <t>1000' OF 1-1/4" LINE TO TANK (POLY)</t>
  </si>
  <si>
    <t>1,3</t>
  </si>
  <si>
    <t>This Schedule was modified by Randy Rhodes from a copy of Plumer's Water Company's Schedule</t>
  </si>
  <si>
    <t>STORAGE TANKS - 2 @ 8000 Gal Ea  (Steel)</t>
  </si>
  <si>
    <t>REPLACE MAIN LINE - CHURCH</t>
  </si>
  <si>
    <t>14 BADGER WATER METERS</t>
  </si>
  <si>
    <t>1" SRII WATER METER - ORR TP</t>
  </si>
  <si>
    <t>NEW M-C FOR 12-1720</t>
  </si>
  <si>
    <t>CLEANUP FOR 2007 LINES TO TANK</t>
  </si>
  <si>
    <t>Meter</t>
  </si>
  <si>
    <t>700' OF 2" MAIN LINE (PVC)-ORR TP</t>
  </si>
  <si>
    <t>15 5/8 X 3/4 WATER METERS</t>
  </si>
  <si>
    <t>NEW M-C FOR 12-1830</t>
  </si>
  <si>
    <t>2 DISTRIBUTION SAMPLING TAPS</t>
  </si>
  <si>
    <t>4 GAL BADGER METERS</t>
  </si>
  <si>
    <t>FOR HISTORIC TEST YEAR END: DEC 31, 2017</t>
  </si>
  <si>
    <t>for Test year end:  December 31, 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</si>
</sst>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_)"/>
    <numFmt numFmtId="167" formatCode="0.00_)"/>
    <numFmt numFmtId="168" formatCode="0.0_)"/>
    <numFmt numFmtId="169" formatCode="_(* #,##0.0_);_(* \(#,##0.0\);_(* &quot;-&quot;_);_(@_)"/>
    <numFmt numFmtId="170" formatCode="[$-409]dddd\,\ mmmm\ dd\,\ yyyy"/>
    <numFmt numFmtId="171" formatCode="mm/d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000"/>
    <numFmt numFmtId="178" formatCode="_(* #,##0.0_);_(* \(#,##0.0\);_(* &quot;-&quot;?_);_(@_)"/>
    <numFmt numFmtId="179" formatCode="mmm\-yyyy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2"/>
      <name val="Times New Roman"/>
      <family val="1"/>
    </font>
    <font>
      <sz val="11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0"/>
    </font>
    <font>
      <b/>
      <sz val="10"/>
      <color indexed="12"/>
      <name val="Times New Roman"/>
      <family val="1"/>
    </font>
    <font>
      <sz val="8"/>
      <name val="Arial"/>
      <family val="0"/>
    </font>
    <font>
      <sz val="10"/>
      <color indexed="12"/>
      <name val="Arial"/>
      <family val="2"/>
    </font>
    <font>
      <b/>
      <sz val="11"/>
      <color indexed="12"/>
      <name val="Times New Roman"/>
      <family val="0"/>
    </font>
    <font>
      <b/>
      <sz val="8"/>
      <name val="Arial"/>
      <family val="0"/>
    </font>
    <font>
      <u val="single"/>
      <sz val="10"/>
      <color indexed="12"/>
      <name val="Times New Roman"/>
      <family val="1"/>
    </font>
    <font>
      <i/>
      <u val="single"/>
      <sz val="11"/>
      <color indexed="12"/>
      <name val="Times New Roman"/>
      <family val="1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7"/>
      <name val="Arial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2"/>
      <color indexed="12"/>
      <name val="Times New Roman"/>
      <family val="1"/>
    </font>
    <font>
      <b/>
      <sz val="12"/>
      <name val="Times New Roman"/>
      <family val="0"/>
    </font>
    <font>
      <sz val="12"/>
      <color indexed="12"/>
      <name val="Times New Roman"/>
      <family val="1"/>
    </font>
    <font>
      <u val="double"/>
      <sz val="12"/>
      <name val="Times New Roman"/>
      <family val="1"/>
    </font>
    <font>
      <i/>
      <sz val="8"/>
      <name val="Arial"/>
      <family val="2"/>
    </font>
    <font>
      <b/>
      <sz val="8"/>
      <name val="Tahoma"/>
      <family val="2"/>
    </font>
    <font>
      <sz val="8"/>
      <color indexed="14"/>
      <name val="Arial"/>
      <family val="0"/>
    </font>
    <font>
      <i/>
      <sz val="8"/>
      <color indexed="14"/>
      <name val="Arial"/>
      <family val="0"/>
    </font>
    <font>
      <sz val="10"/>
      <color indexed="14"/>
      <name val="Arial"/>
      <family val="0"/>
    </font>
    <font>
      <i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5" fontId="4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>
      <alignment horizontal="fill"/>
      <protection locked="0"/>
    </xf>
    <xf numFmtId="5" fontId="4" fillId="0" borderId="0" xfId="0" applyNumberFormat="1" applyFont="1" applyAlignment="1" applyProtection="1">
      <alignment horizontal="fill"/>
      <protection locked="0"/>
    </xf>
    <xf numFmtId="165" fontId="4" fillId="0" borderId="0" xfId="0" applyNumberFormat="1" applyFont="1" applyAlignment="1" applyProtection="1">
      <alignment horizontal="left"/>
      <protection locked="0"/>
    </xf>
    <xf numFmtId="5" fontId="4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6" fontId="4" fillId="0" borderId="0" xfId="0" applyNumberFormat="1" applyFont="1" applyAlignment="1" applyProtection="1">
      <alignment/>
      <protection locked="0"/>
    </xf>
    <xf numFmtId="7" fontId="4" fillId="0" borderId="0" xfId="0" applyNumberFormat="1" applyFont="1" applyAlignment="1" applyProtection="1">
      <alignment/>
      <protection locked="0"/>
    </xf>
    <xf numFmtId="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fill"/>
      <protection locked="0"/>
    </xf>
    <xf numFmtId="167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65" fontId="4" fillId="0" borderId="10" xfId="0" applyNumberFormat="1" applyFont="1" applyBorder="1" applyAlignment="1" applyProtection="1">
      <alignment horizontal="fill"/>
      <protection locked="0"/>
    </xf>
    <xf numFmtId="5" fontId="4" fillId="0" borderId="10" xfId="0" applyNumberFormat="1" applyFont="1" applyBorder="1" applyAlignment="1" applyProtection="1">
      <alignment horizontal="fill"/>
      <protection locked="0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 horizontal="center"/>
      <protection locked="0"/>
    </xf>
    <xf numFmtId="5" fontId="4" fillId="0" borderId="0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 quotePrefix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5" fontId="6" fillId="0" borderId="11" xfId="0" applyNumberFormat="1" applyFont="1" applyBorder="1" applyAlignment="1" applyProtection="1">
      <alignment horizontal="left"/>
      <protection locked="0"/>
    </xf>
    <xf numFmtId="165" fontId="6" fillId="0" borderId="0" xfId="0" applyNumberFormat="1" applyFont="1" applyBorder="1" applyAlignment="1" applyProtection="1">
      <alignment horizontal="left"/>
      <protection locked="0"/>
    </xf>
    <xf numFmtId="165" fontId="6" fillId="0" borderId="11" xfId="0" applyNumberFormat="1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5" fontId="7" fillId="0" borderId="11" xfId="0" applyNumberFormat="1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/>
      <protection locked="0"/>
    </xf>
    <xf numFmtId="165" fontId="4" fillId="0" borderId="12" xfId="0" applyNumberFormat="1" applyFont="1" applyBorder="1" applyAlignment="1" applyProtection="1">
      <alignment horizontal="center"/>
      <protection locked="0"/>
    </xf>
    <xf numFmtId="165" fontId="7" fillId="0" borderId="11" xfId="0" applyNumberFormat="1" applyFont="1" applyBorder="1" applyAlignment="1" applyProtection="1">
      <alignment horizontal="left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/>
    </xf>
    <xf numFmtId="165" fontId="4" fillId="0" borderId="12" xfId="0" applyNumberFormat="1" applyFont="1" applyBorder="1" applyAlignment="1" applyProtection="1">
      <alignment/>
      <protection locked="0"/>
    </xf>
    <xf numFmtId="165" fontId="4" fillId="0" borderId="13" xfId="0" applyNumberFormat="1" applyFont="1" applyBorder="1" applyAlignment="1" applyProtection="1">
      <alignment/>
      <protection locked="0"/>
    </xf>
    <xf numFmtId="165" fontId="4" fillId="0" borderId="14" xfId="0" applyNumberFormat="1" applyFont="1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5" fontId="4" fillId="0" borderId="15" xfId="0" applyNumberFormat="1" applyFont="1" applyBorder="1" applyAlignment="1" applyProtection="1">
      <alignment/>
      <protection locked="0"/>
    </xf>
    <xf numFmtId="165" fontId="8" fillId="0" borderId="16" xfId="0" applyNumberFormat="1" applyFont="1" applyBorder="1" applyAlignment="1" applyProtection="1">
      <alignment/>
      <protection locked="0"/>
    </xf>
    <xf numFmtId="165" fontId="4" fillId="0" borderId="17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165" fontId="4" fillId="0" borderId="0" xfId="0" applyNumberFormat="1" applyFont="1" applyBorder="1" applyAlignment="1" applyProtection="1">
      <alignment/>
      <protection locked="0"/>
    </xf>
    <xf numFmtId="165" fontId="4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4" fillId="0" borderId="15" xfId="0" applyFont="1" applyBorder="1" applyAlignment="1" applyProtection="1">
      <alignment/>
      <protection locked="0"/>
    </xf>
    <xf numFmtId="0" fontId="8" fillId="0" borderId="11" xfId="0" applyFont="1" applyBorder="1" applyAlignment="1">
      <alignment/>
    </xf>
    <xf numFmtId="1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0" xfId="0" applyFont="1" applyFill="1" applyBorder="1" applyAlignment="1">
      <alignment horizontal="left"/>
    </xf>
    <xf numFmtId="0" fontId="13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165" fontId="6" fillId="0" borderId="11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>
      <alignment/>
    </xf>
    <xf numFmtId="3" fontId="4" fillId="0" borderId="14" xfId="0" applyNumberFormat="1" applyFont="1" applyBorder="1" applyAlignment="1" applyProtection="1">
      <alignment horizontal="fill"/>
      <protection locked="0"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 applyProtection="1">
      <alignment horizontal="center"/>
      <protection locked="0"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Fill="1" applyBorder="1" applyAlignment="1">
      <alignment/>
    </xf>
    <xf numFmtId="41" fontId="0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0" fontId="9" fillId="0" borderId="0" xfId="0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 applyProtection="1">
      <alignment/>
      <protection locked="0"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2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33" xfId="0" applyFont="1" applyBorder="1" applyAlignment="1">
      <alignment/>
    </xf>
    <xf numFmtId="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5" fontId="0" fillId="0" borderId="0" xfId="0" applyNumberFormat="1" applyFont="1" applyBorder="1" applyAlignment="1">
      <alignment/>
    </xf>
    <xf numFmtId="0" fontId="0" fillId="0" borderId="34" xfId="0" applyFont="1" applyBorder="1" applyAlignment="1">
      <alignment horizontal="left"/>
    </xf>
    <xf numFmtId="1" fontId="9" fillId="0" borderId="35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5" xfId="0" applyNumberFormat="1" applyFont="1" applyFill="1" applyBorder="1" applyAlignment="1">
      <alignment horizontal="center"/>
    </xf>
    <xf numFmtId="0" fontId="9" fillId="0" borderId="36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41" fontId="9" fillId="0" borderId="36" xfId="0" applyNumberFormat="1" applyFont="1" applyFill="1" applyBorder="1" applyAlignment="1" applyProtection="1">
      <alignment/>
      <protection locked="0"/>
    </xf>
    <xf numFmtId="164" fontId="9" fillId="0" borderId="36" xfId="0" applyNumberFormat="1" applyFont="1" applyFill="1" applyBorder="1" applyAlignment="1">
      <alignment/>
    </xf>
    <xf numFmtId="41" fontId="9" fillId="0" borderId="29" xfId="0" applyNumberFormat="1" applyFont="1" applyFill="1" applyBorder="1" applyAlignment="1">
      <alignment/>
    </xf>
    <xf numFmtId="41" fontId="9" fillId="0" borderId="38" xfId="0" applyNumberFormat="1" applyFont="1" applyFill="1" applyBorder="1" applyAlignment="1" applyProtection="1">
      <alignment/>
      <protection locked="0"/>
    </xf>
    <xf numFmtId="0" fontId="9" fillId="0" borderId="39" xfId="0" applyFont="1" applyFill="1" applyBorder="1" applyAlignment="1">
      <alignment horizontal="right"/>
    </xf>
    <xf numFmtId="1" fontId="9" fillId="0" borderId="35" xfId="0" applyNumberFormat="1" applyFont="1" applyBorder="1" applyAlignment="1">
      <alignment horizontal="right"/>
    </xf>
    <xf numFmtId="41" fontId="9" fillId="0" borderId="40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4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41" fontId="9" fillId="0" borderId="36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9" fillId="0" borderId="29" xfId="0" applyFont="1" applyBorder="1" applyAlignment="1">
      <alignment/>
    </xf>
    <xf numFmtId="3" fontId="9" fillId="0" borderId="29" xfId="0" applyNumberFormat="1" applyFont="1" applyBorder="1" applyAlignment="1">
      <alignment/>
    </xf>
    <xf numFmtId="42" fontId="9" fillId="0" borderId="40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0" fontId="9" fillId="0" borderId="40" xfId="0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33" borderId="22" xfId="0" applyNumberFormat="1" applyFont="1" applyFill="1" applyBorder="1" applyAlignment="1">
      <alignment horizontal="center"/>
    </xf>
    <xf numFmtId="4" fontId="0" fillId="33" borderId="36" xfId="0" applyNumberFormat="1" applyFont="1" applyFill="1" applyBorder="1" applyAlignment="1">
      <alignment horizontal="center"/>
    </xf>
    <xf numFmtId="4" fontId="0" fillId="33" borderId="29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22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22" xfId="0" applyNumberFormat="1" applyFont="1" applyBorder="1" applyAlignment="1">
      <alignment/>
    </xf>
    <xf numFmtId="4" fontId="9" fillId="0" borderId="4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44" xfId="0" applyNumberFormat="1" applyFont="1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4" fontId="0" fillId="0" borderId="46" xfId="0" applyNumberFormat="1" applyFont="1" applyBorder="1" applyAlignment="1">
      <alignment horizontal="center"/>
    </xf>
    <xf numFmtId="4" fontId="0" fillId="0" borderId="47" xfId="0" applyNumberFormat="1" applyFont="1" applyBorder="1" applyAlignment="1">
      <alignment/>
    </xf>
    <xf numFmtId="4" fontId="0" fillId="0" borderId="48" xfId="0" applyNumberFormat="1" applyFont="1" applyBorder="1" applyAlignment="1">
      <alignment horizontal="center"/>
    </xf>
    <xf numFmtId="4" fontId="9" fillId="0" borderId="4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20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22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22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9" fillId="0" borderId="29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4" fontId="9" fillId="0" borderId="49" xfId="0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51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2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2" fontId="0" fillId="0" borderId="20" xfId="0" applyNumberFormat="1" applyFont="1" applyBorder="1" applyAlignment="1">
      <alignment/>
    </xf>
    <xf numFmtId="1" fontId="9" fillId="0" borderId="31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1" fontId="9" fillId="0" borderId="10" xfId="0" applyNumberFormat="1" applyFont="1" applyBorder="1" applyAlignment="1" applyProtection="1">
      <alignment/>
      <protection locked="0"/>
    </xf>
    <xf numFmtId="164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41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 applyProtection="1">
      <alignment/>
      <protection locked="0"/>
    </xf>
    <xf numFmtId="4" fontId="9" fillId="0" borderId="51" xfId="0" applyNumberFormat="1" applyFont="1" applyBorder="1" applyAlignment="1">
      <alignment/>
    </xf>
    <xf numFmtId="1" fontId="9" fillId="0" borderId="52" xfId="0" applyNumberFormat="1" applyFont="1" applyBorder="1" applyAlignment="1">
      <alignment/>
    </xf>
    <xf numFmtId="0" fontId="0" fillId="0" borderId="53" xfId="0" applyNumberFormat="1" applyFont="1" applyBorder="1" applyAlignment="1">
      <alignment/>
    </xf>
    <xf numFmtId="0" fontId="9" fillId="0" borderId="53" xfId="0" applyFont="1" applyBorder="1" applyAlignment="1">
      <alignment/>
    </xf>
    <xf numFmtId="4" fontId="9" fillId="0" borderId="53" xfId="0" applyNumberFormat="1" applyFont="1" applyBorder="1" applyAlignment="1">
      <alignment/>
    </xf>
    <xf numFmtId="41" fontId="9" fillId="0" borderId="53" xfId="0" applyNumberFormat="1" applyFont="1" applyBorder="1" applyAlignment="1" applyProtection="1">
      <alignment/>
      <protection locked="0"/>
    </xf>
    <xf numFmtId="164" fontId="9" fillId="0" borderId="53" xfId="0" applyNumberFormat="1" applyFont="1" applyBorder="1" applyAlignment="1">
      <alignment/>
    </xf>
    <xf numFmtId="2" fontId="9" fillId="0" borderId="53" xfId="0" applyNumberFormat="1" applyFont="1" applyBorder="1" applyAlignment="1">
      <alignment/>
    </xf>
    <xf numFmtId="41" fontId="9" fillId="0" borderId="53" xfId="0" applyNumberFormat="1" applyFont="1" applyBorder="1" applyAlignment="1">
      <alignment/>
    </xf>
    <xf numFmtId="164" fontId="9" fillId="0" borderId="53" xfId="0" applyNumberFormat="1" applyFont="1" applyBorder="1" applyAlignment="1" applyProtection="1">
      <alignment/>
      <protection locked="0"/>
    </xf>
    <xf numFmtId="4" fontId="9" fillId="0" borderId="54" xfId="0" applyNumberFormat="1" applyFont="1" applyBorder="1" applyAlignment="1">
      <alignment/>
    </xf>
    <xf numFmtId="1" fontId="9" fillId="0" borderId="35" xfId="0" applyNumberFormat="1" applyFont="1" applyBorder="1" applyAlignment="1">
      <alignment/>
    </xf>
    <xf numFmtId="164" fontId="9" fillId="0" borderId="36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41" fontId="9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3" fontId="18" fillId="0" borderId="33" xfId="0" applyNumberFormat="1" applyFont="1" applyBorder="1" applyAlignment="1" applyProtection="1">
      <alignment/>
      <protection locked="0"/>
    </xf>
    <xf numFmtId="164" fontId="18" fillId="0" borderId="36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/>
      <protection locked="0"/>
    </xf>
    <xf numFmtId="4" fontId="0" fillId="0" borderId="47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2" fontId="0" fillId="0" borderId="18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/>
      <protection locked="0"/>
    </xf>
    <xf numFmtId="2" fontId="0" fillId="0" borderId="39" xfId="0" applyNumberFormat="1" applyFont="1" applyBorder="1" applyAlignment="1" applyProtection="1">
      <alignment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4" fontId="0" fillId="0" borderId="44" xfId="0" applyNumberFormat="1" applyFont="1" applyFill="1" applyBorder="1" applyAlignment="1" applyProtection="1">
      <alignment/>
      <protection locked="0"/>
    </xf>
    <xf numFmtId="0" fontId="9" fillId="0" borderId="36" xfId="0" applyFont="1" applyFill="1" applyBorder="1" applyAlignment="1" applyProtection="1">
      <alignment/>
      <protection locked="0"/>
    </xf>
    <xf numFmtId="2" fontId="9" fillId="0" borderId="36" xfId="0" applyNumberFormat="1" applyFont="1" applyFill="1" applyBorder="1" applyAlignment="1" applyProtection="1">
      <alignment/>
      <protection locked="0"/>
    </xf>
    <xf numFmtId="4" fontId="9" fillId="0" borderId="45" xfId="0" applyNumberFormat="1" applyFont="1" applyFill="1" applyBorder="1" applyAlignment="1" applyProtection="1">
      <alignment/>
      <protection locked="0"/>
    </xf>
    <xf numFmtId="41" fontId="9" fillId="0" borderId="28" xfId="0" applyNumberFormat="1" applyFont="1" applyFill="1" applyBorder="1" applyAlignment="1" applyProtection="1">
      <alignment/>
      <protection locked="0"/>
    </xf>
    <xf numFmtId="41" fontId="9" fillId="0" borderId="29" xfId="0" applyNumberFormat="1" applyFont="1" applyFill="1" applyBorder="1" applyAlignment="1" applyProtection="1">
      <alignment/>
      <protection locked="0"/>
    </xf>
    <xf numFmtId="2" fontId="9" fillId="0" borderId="29" xfId="0" applyNumberFormat="1" applyFont="1" applyFill="1" applyBorder="1" applyAlignment="1" applyProtection="1">
      <alignment/>
      <protection locked="0"/>
    </xf>
    <xf numFmtId="4" fontId="9" fillId="0" borderId="46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1" fontId="0" fillId="0" borderId="22" xfId="0" applyNumberFormat="1" applyFont="1" applyBorder="1" applyAlignment="1" applyProtection="1">
      <alignment/>
      <protection locked="0"/>
    </xf>
    <xf numFmtId="2" fontId="0" fillId="0" borderId="22" xfId="0" applyNumberFormat="1" applyFont="1" applyBorder="1" applyAlignment="1" applyProtection="1">
      <alignment/>
      <protection locked="0"/>
    </xf>
    <xf numFmtId="4" fontId="0" fillId="0" borderId="47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39" fontId="18" fillId="0" borderId="45" xfId="0" applyNumberFormat="1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4" fillId="0" borderId="0" xfId="0" applyFont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165" fontId="20" fillId="0" borderId="0" xfId="0" applyNumberFormat="1" applyFont="1" applyBorder="1" applyAlignment="1" applyProtection="1">
      <alignment horizontal="center"/>
      <protection locked="0"/>
    </xf>
    <xf numFmtId="5" fontId="20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 horizontal="left"/>
      <protection locked="0"/>
    </xf>
    <xf numFmtId="37" fontId="20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37" fontId="20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/>
    </xf>
    <xf numFmtId="37" fontId="20" fillId="0" borderId="0" xfId="0" applyNumberFormat="1" applyFont="1" applyBorder="1" applyAlignment="1">
      <alignment/>
    </xf>
    <xf numFmtId="37" fontId="20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 applyProtection="1">
      <alignment/>
      <protection locked="0"/>
    </xf>
    <xf numFmtId="37" fontId="20" fillId="0" borderId="14" xfId="0" applyNumberFormat="1" applyFont="1" applyBorder="1" applyAlignment="1">
      <alignment/>
    </xf>
    <xf numFmtId="37" fontId="20" fillId="0" borderId="14" xfId="0" applyNumberFormat="1" applyFont="1" applyBorder="1" applyAlignment="1">
      <alignment horizontal="right"/>
    </xf>
    <xf numFmtId="37" fontId="20" fillId="0" borderId="0" xfId="0" applyNumberFormat="1" applyFont="1" applyBorder="1" applyAlignment="1" applyProtection="1">
      <alignment/>
      <protection locked="0"/>
    </xf>
    <xf numFmtId="37" fontId="20" fillId="0" borderId="0" xfId="0" applyNumberFormat="1" applyFont="1" applyBorder="1" applyAlignment="1" applyProtection="1">
      <alignment/>
      <protection locked="0"/>
    </xf>
    <xf numFmtId="165" fontId="24" fillId="0" borderId="0" xfId="0" applyNumberFormat="1" applyFont="1" applyBorder="1" applyAlignment="1" applyProtection="1">
      <alignment horizontal="center"/>
      <protection locked="0"/>
    </xf>
    <xf numFmtId="37" fontId="20" fillId="0" borderId="14" xfId="0" applyNumberFormat="1" applyFont="1" applyBorder="1" applyAlignment="1" applyProtection="1">
      <alignment/>
      <protection locked="0"/>
    </xf>
    <xf numFmtId="37" fontId="20" fillId="0" borderId="14" xfId="0" applyNumberFormat="1" applyFont="1" applyBorder="1" applyAlignment="1" applyProtection="1">
      <alignment/>
      <protection locked="0"/>
    </xf>
    <xf numFmtId="37" fontId="20" fillId="0" borderId="0" xfId="0" applyNumberFormat="1" applyFont="1" applyBorder="1" applyAlignment="1" applyProtection="1">
      <alignment horizontal="right"/>
      <protection locked="0"/>
    </xf>
    <xf numFmtId="165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right"/>
      <protection locked="0"/>
    </xf>
    <xf numFmtId="3" fontId="20" fillId="0" borderId="14" xfId="0" applyNumberFormat="1" applyFont="1" applyBorder="1" applyAlignment="1" applyProtection="1">
      <alignment horizontal="right"/>
      <protection locked="0"/>
    </xf>
    <xf numFmtId="37" fontId="20" fillId="0" borderId="14" xfId="0" applyNumberFormat="1" applyFont="1" applyBorder="1" applyAlignment="1" applyProtection="1">
      <alignment horizontal="right"/>
      <protection locked="0"/>
    </xf>
    <xf numFmtId="165" fontId="23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Alignment="1" applyProtection="1">
      <alignment horizontal="left"/>
      <protection locked="0"/>
    </xf>
    <xf numFmtId="37" fontId="25" fillId="0" borderId="0" xfId="0" applyNumberFormat="1" applyFont="1" applyAlignment="1" applyProtection="1">
      <alignment horizontal="right"/>
      <protection locked="0"/>
    </xf>
    <xf numFmtId="49" fontId="25" fillId="0" borderId="0" xfId="0" applyNumberFormat="1" applyFont="1" applyAlignment="1" applyProtection="1">
      <alignment/>
      <protection locked="0"/>
    </xf>
    <xf numFmtId="165" fontId="20" fillId="0" borderId="0" xfId="0" applyNumberFormat="1" applyFont="1" applyAlignment="1" applyProtection="1">
      <alignment/>
      <protection locked="0"/>
    </xf>
    <xf numFmtId="5" fontId="20" fillId="0" borderId="0" xfId="0" applyNumberFormat="1" applyFont="1" applyAlignment="1" applyProtection="1">
      <alignment/>
      <protection locked="0"/>
    </xf>
    <xf numFmtId="5" fontId="20" fillId="0" borderId="0" xfId="0" applyNumberFormat="1" applyFont="1" applyAlignment="1" applyProtection="1">
      <alignment horizontal="fill"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165" fontId="20" fillId="0" borderId="0" xfId="0" applyNumberFormat="1" applyFont="1" applyAlignment="1" applyProtection="1">
      <alignment horizontal="left"/>
      <protection locked="0"/>
    </xf>
    <xf numFmtId="165" fontId="24" fillId="0" borderId="0" xfId="0" applyNumberFormat="1" applyFont="1" applyAlignment="1" applyProtection="1">
      <alignment/>
      <protection locked="0"/>
    </xf>
    <xf numFmtId="5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165" fontId="24" fillId="0" borderId="0" xfId="0" applyNumberFormat="1" applyFont="1" applyAlignment="1" applyProtection="1">
      <alignment horizontal="fill"/>
      <protection locked="0"/>
    </xf>
    <xf numFmtId="37" fontId="25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0" borderId="21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0" fillId="33" borderId="22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0" fillId="33" borderId="36" xfId="0" applyNumberFormat="1" applyFont="1" applyFill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3" fontId="0" fillId="33" borderId="29" xfId="0" applyNumberFormat="1" applyFont="1" applyFill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0" fillId="0" borderId="34" xfId="0" applyFont="1" applyBorder="1" applyAlignment="1">
      <alignment/>
    </xf>
    <xf numFmtId="0" fontId="0" fillId="0" borderId="41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0" fontId="9" fillId="0" borderId="36" xfId="0" applyNumberFormat="1" applyFont="1" applyBorder="1" applyAlignment="1">
      <alignment horizontal="center"/>
    </xf>
    <xf numFmtId="14" fontId="9" fillId="0" borderId="36" xfId="0" applyNumberFormat="1" applyFont="1" applyBorder="1" applyAlignment="1">
      <alignment/>
    </xf>
    <xf numFmtId="0" fontId="26" fillId="0" borderId="12" xfId="0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36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164" fontId="9" fillId="0" borderId="36" xfId="0" applyNumberFormat="1" applyFont="1" applyBorder="1" applyAlignment="1" applyProtection="1">
      <alignment/>
      <protection locked="0"/>
    </xf>
    <xf numFmtId="4" fontId="9" fillId="0" borderId="5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5" xfId="0" applyFont="1" applyBorder="1" applyAlignment="1">
      <alignment/>
    </xf>
    <xf numFmtId="0" fontId="12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41" fontId="9" fillId="0" borderId="36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/>
    </xf>
    <xf numFmtId="4" fontId="9" fillId="0" borderId="57" xfId="0" applyNumberFormat="1" applyFont="1" applyFill="1" applyBorder="1" applyAlignment="1">
      <alignment/>
    </xf>
    <xf numFmtId="164" fontId="9" fillId="0" borderId="33" xfId="0" applyNumberFormat="1" applyFont="1" applyFill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9" fillId="0" borderId="12" xfId="0" applyFont="1" applyFill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0" fontId="9" fillId="0" borderId="38" xfId="0" applyFont="1" applyFill="1" applyBorder="1" applyAlignment="1" applyProtection="1">
      <alignment/>
      <protection locked="0"/>
    </xf>
    <xf numFmtId="14" fontId="9" fillId="0" borderId="36" xfId="0" applyNumberFormat="1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3" fontId="9" fillId="0" borderId="36" xfId="0" applyNumberFormat="1" applyFont="1" applyBorder="1" applyAlignment="1" applyProtection="1">
      <alignment/>
      <protection locked="0"/>
    </xf>
    <xf numFmtId="0" fontId="9" fillId="0" borderId="36" xfId="0" applyNumberFormat="1" applyFont="1" applyBorder="1" applyAlignment="1" applyProtection="1">
      <alignment horizontal="center"/>
      <protection locked="0"/>
    </xf>
    <xf numFmtId="0" fontId="26" fillId="0" borderId="36" xfId="0" applyNumberFormat="1" applyFont="1" applyBorder="1" applyAlignment="1">
      <alignment horizontal="center"/>
    </xf>
    <xf numFmtId="1" fontId="9" fillId="0" borderId="35" xfId="0" applyNumberFormat="1" applyFont="1" applyBorder="1" applyAlignment="1" applyProtection="1">
      <alignment/>
      <protection locked="0"/>
    </xf>
    <xf numFmtId="1" fontId="9" fillId="0" borderId="35" xfId="0" applyNumberFormat="1" applyFont="1" applyBorder="1" applyAlignment="1" applyProtection="1">
      <alignment horizontal="right"/>
      <protection locked="0"/>
    </xf>
    <xf numFmtId="1" fontId="26" fillId="0" borderId="35" xfId="0" applyNumberFormat="1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26" fillId="0" borderId="36" xfId="0" applyNumberFormat="1" applyFont="1" applyBorder="1" applyAlignment="1" applyProtection="1">
      <alignment/>
      <protection locked="0"/>
    </xf>
    <xf numFmtId="2" fontId="9" fillId="0" borderId="36" xfId="0" applyNumberFormat="1" applyFont="1" applyBorder="1" applyAlignment="1" applyProtection="1">
      <alignment/>
      <protection locked="0"/>
    </xf>
    <xf numFmtId="2" fontId="9" fillId="0" borderId="36" xfId="0" applyNumberFormat="1" applyFont="1" applyBorder="1" applyAlignment="1" applyProtection="1">
      <alignment/>
      <protection locked="0"/>
    </xf>
    <xf numFmtId="2" fontId="26" fillId="0" borderId="36" xfId="0" applyNumberFormat="1" applyFont="1" applyBorder="1" applyAlignment="1" applyProtection="1">
      <alignment/>
      <protection locked="0"/>
    </xf>
    <xf numFmtId="164" fontId="9" fillId="0" borderId="36" xfId="0" applyNumberFormat="1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164" fontId="26" fillId="0" borderId="36" xfId="0" applyNumberFormat="1" applyFont="1" applyBorder="1" applyAlignment="1" applyProtection="1">
      <alignment/>
      <protection locked="0"/>
    </xf>
    <xf numFmtId="2" fontId="26" fillId="0" borderId="36" xfId="0" applyNumberFormat="1" applyFont="1" applyBorder="1" applyAlignment="1" applyProtection="1">
      <alignment/>
      <protection locked="0"/>
    </xf>
    <xf numFmtId="4" fontId="26" fillId="0" borderId="0" xfId="0" applyNumberFormat="1" applyFont="1" applyBorder="1" applyAlignment="1" applyProtection="1">
      <alignment/>
      <protection locked="0"/>
    </xf>
    <xf numFmtId="1" fontId="28" fillId="0" borderId="35" xfId="0" applyNumberFormat="1" applyFont="1" applyBorder="1" applyAlignment="1">
      <alignment/>
    </xf>
    <xf numFmtId="0" fontId="29" fillId="0" borderId="36" xfId="0" applyNumberFormat="1" applyFont="1" applyBorder="1" applyAlignment="1">
      <alignment horizontal="center"/>
    </xf>
    <xf numFmtId="14" fontId="29" fillId="0" borderId="36" xfId="0" applyNumberFormat="1" applyFont="1" applyBorder="1" applyAlignment="1">
      <alignment/>
    </xf>
    <xf numFmtId="0" fontId="29" fillId="0" borderId="12" xfId="0" applyFont="1" applyBorder="1" applyAlignment="1">
      <alignment/>
    </xf>
    <xf numFmtId="4" fontId="29" fillId="0" borderId="36" xfId="0" applyNumberFormat="1" applyFont="1" applyBorder="1" applyAlignment="1">
      <alignment/>
    </xf>
    <xf numFmtId="3" fontId="28" fillId="0" borderId="36" xfId="0" applyNumberFormat="1" applyFont="1" applyBorder="1" applyAlignment="1" applyProtection="1">
      <alignment/>
      <protection locked="0"/>
    </xf>
    <xf numFmtId="2" fontId="29" fillId="0" borderId="36" xfId="0" applyNumberFormat="1" applyFont="1" applyBorder="1" applyAlignment="1">
      <alignment/>
    </xf>
    <xf numFmtId="164" fontId="29" fillId="0" borderId="36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41" fontId="28" fillId="0" borderId="36" xfId="0" applyNumberFormat="1" applyFont="1" applyBorder="1" applyAlignment="1">
      <alignment/>
    </xf>
    <xf numFmtId="3" fontId="28" fillId="0" borderId="33" xfId="0" applyNumberFormat="1" applyFont="1" applyBorder="1" applyAlignment="1" applyProtection="1">
      <alignment/>
      <protection locked="0"/>
    </xf>
    <xf numFmtId="164" fontId="28" fillId="0" borderId="36" xfId="0" applyNumberFormat="1" applyFont="1" applyBorder="1" applyAlignment="1" applyProtection="1">
      <alignment/>
      <protection locked="0"/>
    </xf>
    <xf numFmtId="39" fontId="28" fillId="0" borderId="45" xfId="0" applyNumberFormat="1" applyFont="1" applyBorder="1" applyAlignment="1" applyProtection="1">
      <alignment/>
      <protection locked="0"/>
    </xf>
    <xf numFmtId="0" fontId="30" fillId="0" borderId="0" xfId="0" applyFont="1" applyAlignment="1">
      <alignment/>
    </xf>
    <xf numFmtId="2" fontId="28" fillId="0" borderId="35" xfId="0" applyNumberFormat="1" applyFont="1" applyBorder="1" applyAlignment="1">
      <alignment horizontal="right"/>
    </xf>
    <xf numFmtId="4" fontId="29" fillId="0" borderId="36" xfId="0" applyNumberFormat="1" applyFont="1" applyBorder="1" applyAlignment="1" applyProtection="1">
      <alignment/>
      <protection locked="0"/>
    </xf>
    <xf numFmtId="2" fontId="29" fillId="0" borderId="36" xfId="0" applyNumberFormat="1" applyFont="1" applyBorder="1" applyAlignment="1" applyProtection="1">
      <alignment/>
      <protection locked="0"/>
    </xf>
    <xf numFmtId="164" fontId="29" fillId="0" borderId="36" xfId="0" applyNumberFormat="1" applyFont="1" applyBorder="1" applyAlignment="1" applyProtection="1">
      <alignment/>
      <protection locked="0"/>
    </xf>
    <xf numFmtId="4" fontId="29" fillId="0" borderId="0" xfId="0" applyNumberFormat="1" applyFont="1" applyBorder="1" applyAlignment="1" applyProtection="1">
      <alignment/>
      <protection locked="0"/>
    </xf>
    <xf numFmtId="1" fontId="28" fillId="0" borderId="35" xfId="0" applyNumberFormat="1" applyFont="1" applyBorder="1" applyAlignment="1">
      <alignment/>
    </xf>
    <xf numFmtId="0" fontId="29" fillId="0" borderId="36" xfId="0" applyNumberFormat="1" applyFont="1" applyBorder="1" applyAlignment="1">
      <alignment horizontal="center"/>
    </xf>
    <xf numFmtId="14" fontId="29" fillId="0" borderId="36" xfId="0" applyNumberFormat="1" applyFont="1" applyBorder="1" applyAlignment="1">
      <alignment/>
    </xf>
    <xf numFmtId="0" fontId="29" fillId="0" borderId="12" xfId="0" applyFont="1" applyBorder="1" applyAlignment="1">
      <alignment/>
    </xf>
    <xf numFmtId="4" fontId="29" fillId="0" borderId="36" xfId="0" applyNumberFormat="1" applyFont="1" applyBorder="1" applyAlignment="1" applyProtection="1">
      <alignment/>
      <protection locked="0"/>
    </xf>
    <xf numFmtId="3" fontId="28" fillId="0" borderId="36" xfId="0" applyNumberFormat="1" applyFont="1" applyBorder="1" applyAlignment="1" applyProtection="1">
      <alignment/>
      <protection locked="0"/>
    </xf>
    <xf numFmtId="2" fontId="29" fillId="0" borderId="36" xfId="0" applyNumberFormat="1" applyFont="1" applyBorder="1" applyAlignment="1" applyProtection="1">
      <alignment/>
      <protection locked="0"/>
    </xf>
    <xf numFmtId="164" fontId="29" fillId="0" borderId="36" xfId="0" applyNumberFormat="1" applyFont="1" applyBorder="1" applyAlignment="1" applyProtection="1">
      <alignment/>
      <protection locked="0"/>
    </xf>
    <xf numFmtId="4" fontId="29" fillId="0" borderId="0" xfId="0" applyNumberFormat="1" applyFont="1" applyBorder="1" applyAlignment="1" applyProtection="1">
      <alignment/>
      <protection locked="0"/>
    </xf>
    <xf numFmtId="41" fontId="28" fillId="0" borderId="36" xfId="0" applyNumberFormat="1" applyFont="1" applyBorder="1" applyAlignment="1">
      <alignment/>
    </xf>
    <xf numFmtId="3" fontId="28" fillId="0" borderId="33" xfId="0" applyNumberFormat="1" applyFont="1" applyBorder="1" applyAlignment="1" applyProtection="1">
      <alignment/>
      <protection locked="0"/>
    </xf>
    <xf numFmtId="164" fontId="28" fillId="0" borderId="36" xfId="0" applyNumberFormat="1" applyFont="1" applyBorder="1" applyAlignment="1" applyProtection="1">
      <alignment/>
      <protection locked="0"/>
    </xf>
    <xf numFmtId="39" fontId="28" fillId="0" borderId="45" xfId="0" applyNumberFormat="1" applyFont="1" applyBorder="1" applyAlignment="1" applyProtection="1">
      <alignment/>
      <protection locked="0"/>
    </xf>
    <xf numFmtId="0" fontId="30" fillId="0" borderId="0" xfId="0" applyFont="1" applyAlignment="1">
      <alignment/>
    </xf>
    <xf numFmtId="1" fontId="29" fillId="0" borderId="35" xfId="0" applyNumberFormat="1" applyFont="1" applyBorder="1" applyAlignment="1" applyProtection="1">
      <alignment/>
      <protection locked="0"/>
    </xf>
    <xf numFmtId="0" fontId="29" fillId="0" borderId="36" xfId="0" applyNumberFormat="1" applyFont="1" applyBorder="1" applyAlignment="1" applyProtection="1">
      <alignment horizontal="center"/>
      <protection locked="0"/>
    </xf>
    <xf numFmtId="14" fontId="29" fillId="0" borderId="36" xfId="0" applyNumberFormat="1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3" fontId="29" fillId="0" borderId="36" xfId="0" applyNumberFormat="1" applyFont="1" applyBorder="1" applyAlignment="1" applyProtection="1">
      <alignment/>
      <protection locked="0"/>
    </xf>
    <xf numFmtId="41" fontId="29" fillId="0" borderId="36" xfId="0" applyNumberFormat="1" applyFont="1" applyBorder="1" applyAlignment="1">
      <alignment/>
    </xf>
    <xf numFmtId="3" fontId="29" fillId="0" borderId="33" xfId="0" applyNumberFormat="1" applyFont="1" applyBorder="1" applyAlignment="1" applyProtection="1">
      <alignment/>
      <protection locked="0"/>
    </xf>
    <xf numFmtId="39" fontId="29" fillId="0" borderId="45" xfId="0" applyNumberFormat="1" applyFont="1" applyBorder="1" applyAlignment="1" applyProtection="1">
      <alignment/>
      <protection locked="0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164" fontId="0" fillId="0" borderId="21" xfId="0" applyNumberFormat="1" applyFont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pane xSplit="5" ySplit="12" topLeftCell="F6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69" sqref="J69"/>
    </sheetView>
  </sheetViews>
  <sheetFormatPr defaultColWidth="9.140625" defaultRowHeight="12.75"/>
  <cols>
    <col min="1" max="1" width="0.71875" style="0" customWidth="1"/>
    <col min="2" max="2" width="5.421875" style="0" customWidth="1"/>
    <col min="3" max="3" width="7.140625" style="0" customWidth="1"/>
    <col min="4" max="4" width="8.7109375" style="0" customWidth="1"/>
    <col min="5" max="5" width="27.140625" style="0" customWidth="1"/>
    <col min="6" max="6" width="10.140625" style="164" bestFit="1" customWidth="1"/>
    <col min="7" max="7" width="9.57421875" style="0" customWidth="1"/>
    <col min="8" max="8" width="10.57421875" style="164" customWidth="1"/>
    <col min="9" max="9" width="7.28125" style="0" customWidth="1"/>
    <col min="10" max="10" width="7.140625" style="188" customWidth="1"/>
    <col min="11" max="11" width="9.421875" style="164" customWidth="1"/>
    <col min="12" max="12" width="8.28125" style="0" customWidth="1"/>
    <col min="13" max="13" width="8.28125" style="0" hidden="1" customWidth="1"/>
    <col min="14" max="14" width="8.57421875" style="0" customWidth="1"/>
    <col min="15" max="15" width="4.57421875" style="0" customWidth="1"/>
    <col min="16" max="16" width="5.57421875" style="194" customWidth="1"/>
    <col min="17" max="17" width="9.57421875" style="164" customWidth="1"/>
  </cols>
  <sheetData>
    <row r="1" ht="12.75">
      <c r="A1" t="s">
        <v>135</v>
      </c>
    </row>
    <row r="2" ht="12.75"/>
    <row r="3" ht="12.75">
      <c r="B3" t="s">
        <v>101</v>
      </c>
    </row>
    <row r="4" spans="2:12" ht="12.75">
      <c r="B4" s="74"/>
      <c r="C4" s="74"/>
      <c r="D4" s="74"/>
      <c r="E4" s="74"/>
      <c r="F4" s="163"/>
      <c r="G4" s="74"/>
      <c r="H4" s="163"/>
      <c r="I4" s="74"/>
      <c r="J4" s="187"/>
      <c r="K4" s="163"/>
      <c r="L4" s="74"/>
    </row>
    <row r="5" spans="2:17" s="56" customFormat="1" ht="12.75">
      <c r="B5" s="56" t="s">
        <v>0</v>
      </c>
      <c r="D5" s="56" t="s">
        <v>90</v>
      </c>
      <c r="F5" s="145"/>
      <c r="H5" s="145"/>
      <c r="I5" s="71" t="s">
        <v>70</v>
      </c>
      <c r="J5" s="171"/>
      <c r="K5" s="146"/>
      <c r="L5" s="72"/>
      <c r="M5" s="72"/>
      <c r="N5" s="72"/>
      <c r="O5" s="72"/>
      <c r="P5" s="189"/>
      <c r="Q5" s="146"/>
    </row>
    <row r="6" spans="2:17" s="56" customFormat="1" ht="12.75">
      <c r="B6" s="73" t="s">
        <v>102</v>
      </c>
      <c r="F6" s="145"/>
      <c r="H6" s="145"/>
      <c r="J6" s="172"/>
      <c r="K6" s="145"/>
      <c r="L6" s="270" t="s">
        <v>75</v>
      </c>
      <c r="P6" s="190"/>
      <c r="Q6" s="145"/>
    </row>
    <row r="7" spans="2:17" s="56" customFormat="1" ht="12.75">
      <c r="B7" s="73"/>
      <c r="F7" s="145"/>
      <c r="H7" s="145"/>
      <c r="J7" s="172"/>
      <c r="K7" s="145"/>
      <c r="P7" s="190"/>
      <c r="Q7" s="145"/>
    </row>
    <row r="8" spans="2:17" s="56" customFormat="1" ht="12.75">
      <c r="B8" s="73"/>
      <c r="F8" s="145"/>
      <c r="G8" s="270" t="s">
        <v>74</v>
      </c>
      <c r="H8" s="74"/>
      <c r="I8" s="74"/>
      <c r="J8" s="191"/>
      <c r="K8" s="163"/>
      <c r="L8"/>
      <c r="M8"/>
      <c r="P8" s="190"/>
      <c r="Q8" s="145"/>
    </row>
    <row r="9" spans="2:17" s="56" customFormat="1" ht="13.5" thickBot="1">
      <c r="B9" s="439" t="s">
        <v>148</v>
      </c>
      <c r="C9" s="72"/>
      <c r="D9" s="72"/>
      <c r="E9" s="72"/>
      <c r="F9" s="234">
        <v>43100</v>
      </c>
      <c r="G9" s="72"/>
      <c r="H9" s="146"/>
      <c r="I9" s="72"/>
      <c r="J9" s="171"/>
      <c r="K9" s="146"/>
      <c r="L9" s="72"/>
      <c r="M9" s="72"/>
      <c r="N9" s="72"/>
      <c r="O9" s="72"/>
      <c r="P9" s="189"/>
      <c r="Q9" s="146"/>
    </row>
    <row r="10" spans="2:17" ht="12.75">
      <c r="B10" s="75"/>
      <c r="C10" s="76"/>
      <c r="D10" s="77"/>
      <c r="E10" s="78" t="s">
        <v>1</v>
      </c>
      <c r="F10" s="147" t="s">
        <v>2</v>
      </c>
      <c r="G10" s="77"/>
      <c r="H10" s="165" t="s">
        <v>3</v>
      </c>
      <c r="I10" s="75"/>
      <c r="J10" s="173" t="s">
        <v>4</v>
      </c>
      <c r="K10" s="168"/>
      <c r="L10" s="79" t="s">
        <v>5</v>
      </c>
      <c r="M10" s="75"/>
      <c r="N10" s="239" t="s">
        <v>72</v>
      </c>
      <c r="O10" s="240"/>
      <c r="P10" s="241"/>
      <c r="Q10" s="242"/>
    </row>
    <row r="11" spans="2:17" ht="12.75">
      <c r="B11" s="81" t="s">
        <v>6</v>
      </c>
      <c r="C11" s="82" t="s">
        <v>7</v>
      </c>
      <c r="D11" s="82" t="s">
        <v>8</v>
      </c>
      <c r="E11" s="83">
        <v>41768</v>
      </c>
      <c r="F11" s="148" t="s">
        <v>9</v>
      </c>
      <c r="G11" s="84" t="s">
        <v>10</v>
      </c>
      <c r="H11" s="166" t="s">
        <v>9</v>
      </c>
      <c r="I11" s="85" t="s">
        <v>11</v>
      </c>
      <c r="J11" s="174" t="s">
        <v>12</v>
      </c>
      <c r="K11" s="169" t="s">
        <v>5</v>
      </c>
      <c r="L11" s="86" t="s">
        <v>13</v>
      </c>
      <c r="M11" s="235"/>
      <c r="N11" s="243" t="s">
        <v>5</v>
      </c>
      <c r="O11" s="244" t="s">
        <v>11</v>
      </c>
      <c r="P11" s="245" t="s">
        <v>73</v>
      </c>
      <c r="Q11" s="246" t="s">
        <v>12</v>
      </c>
    </row>
    <row r="12" spans="2:17" ht="13.5" thickBot="1">
      <c r="B12" s="87" t="s">
        <v>14</v>
      </c>
      <c r="C12" s="88" t="s">
        <v>15</v>
      </c>
      <c r="D12" s="88" t="s">
        <v>16</v>
      </c>
      <c r="E12" s="89" t="s">
        <v>17</v>
      </c>
      <c r="F12" s="149" t="s">
        <v>18</v>
      </c>
      <c r="G12" s="88" t="s">
        <v>19</v>
      </c>
      <c r="H12" s="167" t="s">
        <v>18</v>
      </c>
      <c r="I12" s="90" t="s">
        <v>20</v>
      </c>
      <c r="J12" s="175" t="s">
        <v>19</v>
      </c>
      <c r="K12" s="167" t="s">
        <v>19</v>
      </c>
      <c r="L12" s="91" t="s">
        <v>19</v>
      </c>
      <c r="M12" s="236"/>
      <c r="P12"/>
      <c r="Q12"/>
    </row>
    <row r="13" spans="2:17" ht="4.5" customHeight="1" thickBot="1">
      <c r="B13" s="92"/>
      <c r="C13" s="92"/>
      <c r="D13" s="92"/>
      <c r="E13" s="92"/>
      <c r="F13" s="150"/>
      <c r="G13" s="92"/>
      <c r="H13" s="150"/>
      <c r="I13" s="74"/>
      <c r="J13" s="176"/>
      <c r="K13" s="150"/>
      <c r="L13" s="92"/>
      <c r="M13" s="92"/>
      <c r="N13" s="247"/>
      <c r="O13" s="248" t="s">
        <v>21</v>
      </c>
      <c r="P13" s="249"/>
      <c r="Q13" s="250" t="s">
        <v>19</v>
      </c>
    </row>
    <row r="14" spans="2:17" ht="13.5" thickBot="1">
      <c r="B14" s="114"/>
      <c r="C14" s="57" t="s">
        <v>66</v>
      </c>
      <c r="D14" s="93"/>
      <c r="E14" s="120"/>
      <c r="F14" s="151"/>
      <c r="G14" s="125"/>
      <c r="H14" s="151"/>
      <c r="I14" s="125"/>
      <c r="J14" s="177"/>
      <c r="K14" s="151"/>
      <c r="L14" s="125"/>
      <c r="M14" s="125"/>
      <c r="N14" s="251"/>
      <c r="O14" s="252"/>
      <c r="P14" s="253"/>
      <c r="Q14" s="254"/>
    </row>
    <row r="15" spans="2:17" ht="12.75">
      <c r="B15" s="115"/>
      <c r="C15" s="122"/>
      <c r="D15" s="119"/>
      <c r="E15" s="121"/>
      <c r="F15" s="152"/>
      <c r="G15" s="126"/>
      <c r="H15" s="152"/>
      <c r="I15" s="127"/>
      <c r="J15" s="178"/>
      <c r="K15" s="152"/>
      <c r="L15" s="117"/>
      <c r="M15" s="117"/>
      <c r="N15" s="255"/>
      <c r="O15" s="255"/>
      <c r="P15" s="256"/>
      <c r="Q15" s="257"/>
    </row>
    <row r="16" spans="2:17" ht="12.75">
      <c r="B16" s="131"/>
      <c r="C16" s="123"/>
      <c r="D16" s="258">
        <v>1962</v>
      </c>
      <c r="E16" s="375" t="s">
        <v>103</v>
      </c>
      <c r="F16" s="376">
        <v>3160.79</v>
      </c>
      <c r="G16" s="126"/>
      <c r="H16" s="152">
        <v>3160.79</v>
      </c>
      <c r="I16" s="127"/>
      <c r="J16" s="178"/>
      <c r="K16" s="152"/>
      <c r="L16" s="117"/>
      <c r="M16" s="117"/>
      <c r="N16" s="258"/>
      <c r="O16" s="258"/>
      <c r="P16" s="259"/>
      <c r="Q16" s="260"/>
    </row>
    <row r="17" spans="2:17" ht="13.5" thickBot="1">
      <c r="B17" s="115"/>
      <c r="C17" s="123"/>
      <c r="D17" s="258">
        <v>1962</v>
      </c>
      <c r="E17" s="377" t="s">
        <v>104</v>
      </c>
      <c r="F17" s="153">
        <v>50</v>
      </c>
      <c r="G17" s="129"/>
      <c r="H17" s="153">
        <v>50</v>
      </c>
      <c r="I17" s="127"/>
      <c r="J17" s="178"/>
      <c r="K17" s="152"/>
      <c r="L17" s="117"/>
      <c r="M17" s="117"/>
      <c r="N17" s="258"/>
      <c r="O17" s="258"/>
      <c r="P17" s="259"/>
      <c r="Q17" s="260"/>
    </row>
    <row r="18" spans="2:17" ht="14.25" thickBot="1" thickTop="1">
      <c r="B18" s="116"/>
      <c r="C18" s="124"/>
      <c r="D18" s="118"/>
      <c r="E18" s="130" t="s">
        <v>67</v>
      </c>
      <c r="F18" s="154">
        <f aca="true" t="shared" si="0" ref="F18:L18">SUM(F15:F17)</f>
        <v>3210.79</v>
      </c>
      <c r="G18" s="128">
        <f t="shared" si="0"/>
        <v>0</v>
      </c>
      <c r="H18" s="154">
        <f t="shared" si="0"/>
        <v>3210.79</v>
      </c>
      <c r="I18" s="128">
        <f t="shared" si="0"/>
        <v>0</v>
      </c>
      <c r="J18" s="179">
        <f t="shared" si="0"/>
        <v>0</v>
      </c>
      <c r="K18" s="170">
        <f t="shared" si="0"/>
        <v>0</v>
      </c>
      <c r="L18" s="132">
        <f t="shared" si="0"/>
        <v>0</v>
      </c>
      <c r="M18" s="132"/>
      <c r="N18" s="261"/>
      <c r="O18" s="262"/>
      <c r="P18" s="263"/>
      <c r="Q18" s="264"/>
    </row>
    <row r="19" spans="2:17" ht="4.5" customHeight="1" thickBot="1">
      <c r="B19" s="73"/>
      <c r="C19" s="73"/>
      <c r="D19" s="73"/>
      <c r="E19" s="73"/>
      <c r="F19" s="155"/>
      <c r="G19" s="94"/>
      <c r="H19" s="155"/>
      <c r="I19" s="73"/>
      <c r="J19" s="180"/>
      <c r="K19" s="155"/>
      <c r="L19" s="94"/>
      <c r="M19" s="94"/>
      <c r="N19" s="265"/>
      <c r="O19" s="252"/>
      <c r="P19" s="253"/>
      <c r="Q19" s="266"/>
    </row>
    <row r="20" spans="2:17" ht="12.75">
      <c r="B20" s="133"/>
      <c r="C20" s="137" t="s">
        <v>22</v>
      </c>
      <c r="D20" s="138"/>
      <c r="E20" s="139"/>
      <c r="F20" s="156"/>
      <c r="G20" s="134"/>
      <c r="H20" s="156"/>
      <c r="I20" s="135"/>
      <c r="J20" s="181"/>
      <c r="K20" s="156"/>
      <c r="L20" s="134"/>
      <c r="M20" s="134"/>
      <c r="N20" s="267"/>
      <c r="O20" s="238"/>
      <c r="P20" s="268"/>
      <c r="Q20" s="269"/>
    </row>
    <row r="21" spans="2:17" ht="12.75">
      <c r="B21" s="384"/>
      <c r="C21" s="382">
        <v>1</v>
      </c>
      <c r="D21" s="378">
        <v>22951</v>
      </c>
      <c r="E21" s="379" t="s">
        <v>105</v>
      </c>
      <c r="F21" s="380">
        <v>50</v>
      </c>
      <c r="G21" s="381">
        <f>H21-F21</f>
        <v>0</v>
      </c>
      <c r="H21" s="389">
        <v>50</v>
      </c>
      <c r="I21" s="392">
        <v>50</v>
      </c>
      <c r="J21" s="389">
        <v>0</v>
      </c>
      <c r="K21" s="393">
        <v>50</v>
      </c>
      <c r="L21" s="136">
        <f aca="true" t="shared" si="1" ref="L21:L33">N21-K21</f>
        <v>0</v>
      </c>
      <c r="M21" s="136"/>
      <c r="N21" s="237">
        <f>IF((($F$9)-D21)&gt;O21*365,H21,(H21/(O21*365)*(($F$9)-D21)))</f>
        <v>50</v>
      </c>
      <c r="O21" s="238">
        <v>50</v>
      </c>
      <c r="P21" s="238">
        <f>IF((($F$9)-D21)&gt;=O21*365,0,(($F$9)-D21))/365</f>
        <v>0</v>
      </c>
      <c r="Q21" s="271">
        <f>IF((O21-P21)&lt;1,(H21-N21),(IF(P21=0,(0),(H21/O21))))</f>
        <v>0</v>
      </c>
    </row>
    <row r="22" spans="2:17" s="233" customFormat="1" ht="12.75">
      <c r="B22" s="384"/>
      <c r="C22" s="382">
        <v>2</v>
      </c>
      <c r="D22" s="378">
        <v>30863</v>
      </c>
      <c r="E22" s="379" t="s">
        <v>106</v>
      </c>
      <c r="F22" s="380">
        <v>2665.01</v>
      </c>
      <c r="G22" s="381">
        <f aca="true" t="shared" si="2" ref="G22:G77">H22-F22</f>
        <v>0</v>
      </c>
      <c r="H22" s="389">
        <v>2665.01</v>
      </c>
      <c r="I22" s="392">
        <v>50</v>
      </c>
      <c r="J22" s="389">
        <v>0</v>
      </c>
      <c r="K22" s="393">
        <v>2665.01</v>
      </c>
      <c r="L22" s="232">
        <f t="shared" si="1"/>
        <v>-878.0660345205481</v>
      </c>
      <c r="M22" s="232"/>
      <c r="N22" s="237">
        <f>IF((($F$9)-D22)&gt;O22*365,H22,(H22/(O22*365)*(($F$9)-D22)))</f>
        <v>1786.9439654794521</v>
      </c>
      <c r="O22" s="238">
        <v>50</v>
      </c>
      <c r="P22" s="238">
        <f aca="true" t="shared" si="3" ref="P22:P67">IF((($F$9)-D22)&gt;=O22*365,0,(($F$9)-D22))/365</f>
        <v>33.52602739726027</v>
      </c>
      <c r="Q22" s="271">
        <f>IF((O22-P22)&lt;1,(H22-N22),(IF(P22=0,(0),(H22/O22))))</f>
        <v>53.300200000000004</v>
      </c>
    </row>
    <row r="23" spans="2:17" s="410" customFormat="1" ht="12.75">
      <c r="B23" s="397">
        <v>1</v>
      </c>
      <c r="C23" s="398">
        <v>3</v>
      </c>
      <c r="D23" s="399">
        <v>22951</v>
      </c>
      <c r="E23" s="400" t="s">
        <v>96</v>
      </c>
      <c r="F23" s="401">
        <v>300</v>
      </c>
      <c r="G23" s="402">
        <f t="shared" si="2"/>
        <v>-300</v>
      </c>
      <c r="H23" s="403">
        <v>0</v>
      </c>
      <c r="I23" s="404">
        <v>25</v>
      </c>
      <c r="J23" s="403">
        <v>0</v>
      </c>
      <c r="K23" s="405">
        <v>291</v>
      </c>
      <c r="L23" s="406">
        <f t="shared" si="1"/>
        <v>-291</v>
      </c>
      <c r="M23" s="406"/>
      <c r="N23" s="407">
        <f aca="true" t="shared" si="4" ref="N23:N67">IF((($F$9)-D23)&gt;O23*365,H23,(H23/(O23*365)*(($F$9)-D23)))</f>
        <v>0</v>
      </c>
      <c r="O23" s="408">
        <v>20</v>
      </c>
      <c r="P23" s="408">
        <f t="shared" si="3"/>
        <v>0</v>
      </c>
      <c r="Q23" s="409">
        <f aca="true" t="shared" si="5" ref="Q23:Q67">IF((O23-P23)&lt;1,(H23-N23),(IF(P23=0,(0),(H23/O23))))</f>
        <v>0</v>
      </c>
    </row>
    <row r="24" spans="2:17" s="233" customFormat="1" ht="12.75">
      <c r="B24" s="384"/>
      <c r="C24" s="382">
        <v>4</v>
      </c>
      <c r="D24" s="378">
        <v>22951</v>
      </c>
      <c r="E24" s="379" t="s">
        <v>107</v>
      </c>
      <c r="F24" s="380">
        <v>1200</v>
      </c>
      <c r="G24" s="381">
        <f t="shared" si="2"/>
        <v>0</v>
      </c>
      <c r="H24" s="389">
        <v>1200</v>
      </c>
      <c r="I24" s="392">
        <v>50</v>
      </c>
      <c r="J24" s="389">
        <v>0</v>
      </c>
      <c r="K24" s="393">
        <v>1183</v>
      </c>
      <c r="L24" s="232">
        <f t="shared" si="1"/>
        <v>-78.94520547945217</v>
      </c>
      <c r="M24" s="232"/>
      <c r="N24" s="237">
        <f t="shared" si="4"/>
        <v>1104.0547945205478</v>
      </c>
      <c r="O24" s="238">
        <v>60</v>
      </c>
      <c r="P24" s="238">
        <f t="shared" si="3"/>
        <v>55.202739726027396</v>
      </c>
      <c r="Q24" s="271">
        <f t="shared" si="5"/>
        <v>20</v>
      </c>
    </row>
    <row r="25" spans="2:17" s="233" customFormat="1" ht="12.75">
      <c r="B25" s="384"/>
      <c r="C25" s="382">
        <v>5</v>
      </c>
      <c r="D25" s="378">
        <v>23558</v>
      </c>
      <c r="E25" s="379" t="s">
        <v>107</v>
      </c>
      <c r="F25" s="380">
        <v>522.3</v>
      </c>
      <c r="G25" s="381">
        <f t="shared" si="2"/>
        <v>0</v>
      </c>
      <c r="H25" s="389">
        <v>522.3</v>
      </c>
      <c r="I25" s="392">
        <v>50</v>
      </c>
      <c r="J25" s="389">
        <v>0</v>
      </c>
      <c r="K25" s="393">
        <v>496.95</v>
      </c>
      <c r="L25" s="232">
        <f t="shared" si="1"/>
        <v>-30.886684931506863</v>
      </c>
      <c r="M25" s="232"/>
      <c r="N25" s="237">
        <f t="shared" si="4"/>
        <v>466.0633150684931</v>
      </c>
      <c r="O25" s="238">
        <v>60</v>
      </c>
      <c r="P25" s="238">
        <f t="shared" si="3"/>
        <v>53.53972602739726</v>
      </c>
      <c r="Q25" s="271">
        <f t="shared" si="5"/>
        <v>8.705</v>
      </c>
    </row>
    <row r="26" spans="2:17" ht="12.75">
      <c r="B26" s="385">
        <v>2</v>
      </c>
      <c r="C26" s="382">
        <v>6</v>
      </c>
      <c r="D26" s="378">
        <v>22951</v>
      </c>
      <c r="E26" s="379" t="s">
        <v>136</v>
      </c>
      <c r="F26" s="380">
        <v>1000</v>
      </c>
      <c r="G26" s="381">
        <f t="shared" si="2"/>
        <v>0</v>
      </c>
      <c r="H26" s="389">
        <v>1000</v>
      </c>
      <c r="I26" s="392">
        <v>20</v>
      </c>
      <c r="J26" s="389">
        <v>0</v>
      </c>
      <c r="K26" s="393">
        <v>970</v>
      </c>
      <c r="L26" s="136">
        <f t="shared" si="1"/>
        <v>30</v>
      </c>
      <c r="M26" s="136"/>
      <c r="N26" s="237">
        <f t="shared" si="4"/>
        <v>1000</v>
      </c>
      <c r="O26" s="238">
        <v>45</v>
      </c>
      <c r="P26" s="238">
        <f t="shared" si="3"/>
        <v>0</v>
      </c>
      <c r="Q26" s="271">
        <f t="shared" si="5"/>
        <v>0</v>
      </c>
    </row>
    <row r="27" spans="2:17" ht="12.75">
      <c r="B27" s="386"/>
      <c r="C27" s="383">
        <v>7</v>
      </c>
      <c r="D27" s="354">
        <v>22951</v>
      </c>
      <c r="E27" s="362" t="s">
        <v>108</v>
      </c>
      <c r="F27" s="387">
        <v>300.72</v>
      </c>
      <c r="G27" s="381">
        <f t="shared" si="2"/>
        <v>0</v>
      </c>
      <c r="H27" s="390">
        <v>300.72</v>
      </c>
      <c r="I27" s="360">
        <v>50</v>
      </c>
      <c r="J27" s="390">
        <v>0</v>
      </c>
      <c r="K27" s="393">
        <v>252.21</v>
      </c>
      <c r="L27" s="136">
        <f t="shared" si="1"/>
        <v>48.51000000000002</v>
      </c>
      <c r="M27" s="136"/>
      <c r="N27" s="237">
        <f t="shared" si="4"/>
        <v>300.72</v>
      </c>
      <c r="O27" s="238">
        <v>50</v>
      </c>
      <c r="P27" s="238">
        <f t="shared" si="3"/>
        <v>0</v>
      </c>
      <c r="Q27" s="271">
        <f t="shared" si="5"/>
        <v>0</v>
      </c>
    </row>
    <row r="28" spans="2:17" s="233" customFormat="1" ht="12.75">
      <c r="B28" s="384"/>
      <c r="C28" s="382">
        <v>8</v>
      </c>
      <c r="D28" s="378">
        <v>26845</v>
      </c>
      <c r="E28" s="379" t="s">
        <v>107</v>
      </c>
      <c r="F28" s="380">
        <v>447.82</v>
      </c>
      <c r="G28" s="381">
        <f t="shared" si="2"/>
        <v>0</v>
      </c>
      <c r="H28" s="389">
        <v>447.82</v>
      </c>
      <c r="I28" s="392">
        <v>50</v>
      </c>
      <c r="J28" s="389">
        <f>F28/I28</f>
        <v>8.9564</v>
      </c>
      <c r="K28" s="393">
        <v>421.12</v>
      </c>
      <c r="L28" s="232">
        <f t="shared" si="1"/>
        <v>-88.73122831050227</v>
      </c>
      <c r="M28" s="232"/>
      <c r="N28" s="237">
        <f t="shared" si="4"/>
        <v>332.38877168949773</v>
      </c>
      <c r="O28" s="238">
        <v>60</v>
      </c>
      <c r="P28" s="238">
        <f t="shared" si="3"/>
        <v>44.534246575342465</v>
      </c>
      <c r="Q28" s="271">
        <f t="shared" si="5"/>
        <v>7.463666666666667</v>
      </c>
    </row>
    <row r="29" spans="2:17" ht="12.75">
      <c r="B29" s="384"/>
      <c r="C29" s="382">
        <v>9</v>
      </c>
      <c r="D29" s="378">
        <v>26845</v>
      </c>
      <c r="E29" s="379" t="s">
        <v>107</v>
      </c>
      <c r="F29" s="380">
        <v>1848.94</v>
      </c>
      <c r="G29" s="381">
        <f t="shared" si="2"/>
        <v>0</v>
      </c>
      <c r="H29" s="389">
        <v>1848.94</v>
      </c>
      <c r="I29" s="392">
        <v>50</v>
      </c>
      <c r="J29" s="389">
        <f>F29/I29</f>
        <v>36.9788</v>
      </c>
      <c r="K29" s="393">
        <v>1626.12</v>
      </c>
      <c r="L29" s="136">
        <f t="shared" si="1"/>
        <v>-253.76750228310493</v>
      </c>
      <c r="M29" s="136"/>
      <c r="N29" s="237">
        <f t="shared" si="4"/>
        <v>1372.352497716895</v>
      </c>
      <c r="O29" s="238">
        <v>60</v>
      </c>
      <c r="P29" s="238">
        <f t="shared" si="3"/>
        <v>44.534246575342465</v>
      </c>
      <c r="Q29" s="271">
        <f t="shared" si="5"/>
        <v>30.81566666666667</v>
      </c>
    </row>
    <row r="30" spans="2:17" ht="12.75">
      <c r="B30" s="384">
        <v>4</v>
      </c>
      <c r="C30" s="382">
        <v>10</v>
      </c>
      <c r="D30" s="378">
        <v>27210</v>
      </c>
      <c r="E30" s="379" t="s">
        <v>109</v>
      </c>
      <c r="F30" s="380">
        <v>521.41</v>
      </c>
      <c r="G30" s="381">
        <f t="shared" si="2"/>
        <v>0</v>
      </c>
      <c r="H30" s="389">
        <v>521.41</v>
      </c>
      <c r="I30" s="392">
        <v>50</v>
      </c>
      <c r="J30" s="389">
        <f>F30/I30</f>
        <v>10.428199999999999</v>
      </c>
      <c r="K30" s="393">
        <v>453.7</v>
      </c>
      <c r="L30" s="136">
        <f t="shared" si="1"/>
        <v>67.70999999999998</v>
      </c>
      <c r="M30" s="136"/>
      <c r="N30" s="237">
        <f t="shared" si="4"/>
        <v>521.41</v>
      </c>
      <c r="O30" s="238">
        <v>40</v>
      </c>
      <c r="P30" s="238">
        <f t="shared" si="3"/>
        <v>0</v>
      </c>
      <c r="Q30" s="271">
        <f t="shared" si="5"/>
        <v>0</v>
      </c>
    </row>
    <row r="31" spans="2:17" s="410" customFormat="1" ht="12.75">
      <c r="B31" s="411" t="s">
        <v>134</v>
      </c>
      <c r="C31" s="398">
        <v>11</v>
      </c>
      <c r="D31" s="399">
        <v>22951</v>
      </c>
      <c r="E31" s="400" t="s">
        <v>97</v>
      </c>
      <c r="F31" s="412">
        <v>400</v>
      </c>
      <c r="G31" s="402">
        <f t="shared" si="2"/>
        <v>-400</v>
      </c>
      <c r="H31" s="413">
        <v>0</v>
      </c>
      <c r="I31" s="414">
        <v>20</v>
      </c>
      <c r="J31" s="413">
        <v>0</v>
      </c>
      <c r="K31" s="415">
        <v>388</v>
      </c>
      <c r="L31" s="406">
        <f t="shared" si="1"/>
        <v>-388</v>
      </c>
      <c r="M31" s="406"/>
      <c r="N31" s="407">
        <f t="shared" si="4"/>
        <v>0</v>
      </c>
      <c r="O31" s="408">
        <v>45</v>
      </c>
      <c r="P31" s="408">
        <f t="shared" si="3"/>
        <v>0</v>
      </c>
      <c r="Q31" s="409">
        <f t="shared" si="5"/>
        <v>0</v>
      </c>
    </row>
    <row r="32" spans="2:17" ht="12.75">
      <c r="B32" s="384"/>
      <c r="C32" s="382">
        <v>12</v>
      </c>
      <c r="D32" s="378">
        <v>27575</v>
      </c>
      <c r="E32" s="379" t="s">
        <v>110</v>
      </c>
      <c r="F32" s="380">
        <v>1509.17</v>
      </c>
      <c r="G32" s="381">
        <f t="shared" si="2"/>
        <v>0</v>
      </c>
      <c r="H32" s="389">
        <v>1509.17</v>
      </c>
      <c r="I32" s="392">
        <v>50</v>
      </c>
      <c r="J32" s="389">
        <f>F32/I32</f>
        <v>30.183400000000002</v>
      </c>
      <c r="K32" s="393">
        <v>1282.65</v>
      </c>
      <c r="L32" s="136">
        <f t="shared" si="1"/>
        <v>-212.79318493150686</v>
      </c>
      <c r="M32" s="136"/>
      <c r="N32" s="237">
        <f t="shared" si="4"/>
        <v>1069.8568150684932</v>
      </c>
      <c r="O32" s="238">
        <v>60</v>
      </c>
      <c r="P32" s="238">
        <f t="shared" si="3"/>
        <v>42.534246575342465</v>
      </c>
      <c r="Q32" s="271">
        <f t="shared" si="5"/>
        <v>25.152833333333334</v>
      </c>
    </row>
    <row r="33" spans="2:17" ht="12.75">
      <c r="B33" s="384"/>
      <c r="C33" s="382">
        <v>13</v>
      </c>
      <c r="D33" s="378">
        <v>27575</v>
      </c>
      <c r="E33" s="379" t="s">
        <v>107</v>
      </c>
      <c r="F33" s="380">
        <v>649</v>
      </c>
      <c r="G33" s="381">
        <f t="shared" si="2"/>
        <v>0</v>
      </c>
      <c r="H33" s="389">
        <v>649</v>
      </c>
      <c r="I33" s="392">
        <v>50</v>
      </c>
      <c r="J33" s="389">
        <f>F33/I33</f>
        <v>12.98</v>
      </c>
      <c r="K33" s="393">
        <v>551.75</v>
      </c>
      <c r="L33" s="136">
        <f t="shared" si="1"/>
        <v>-91.67123287671234</v>
      </c>
      <c r="M33" s="136"/>
      <c r="N33" s="237">
        <f t="shared" si="4"/>
        <v>460.07876712328766</v>
      </c>
      <c r="O33" s="238">
        <v>60</v>
      </c>
      <c r="P33" s="238">
        <f t="shared" si="3"/>
        <v>42.534246575342465</v>
      </c>
      <c r="Q33" s="271">
        <f t="shared" si="5"/>
        <v>10.816666666666666</v>
      </c>
    </row>
    <row r="34" spans="2:17" s="438" customFormat="1" ht="12.75">
      <c r="B34" s="430"/>
      <c r="C34" s="431">
        <v>14</v>
      </c>
      <c r="D34" s="432">
        <v>27941</v>
      </c>
      <c r="E34" s="433" t="s">
        <v>111</v>
      </c>
      <c r="F34" s="420">
        <v>126.42</v>
      </c>
      <c r="G34" s="434">
        <f t="shared" si="2"/>
        <v>-126.42</v>
      </c>
      <c r="H34" s="422">
        <v>0</v>
      </c>
      <c r="I34" s="423">
        <v>25</v>
      </c>
      <c r="J34" s="422">
        <v>0</v>
      </c>
      <c r="K34" s="424">
        <v>126.42</v>
      </c>
      <c r="L34" s="435">
        <f aca="true" t="shared" si="6" ref="L34:L45">N34-K34</f>
        <v>-126.42</v>
      </c>
      <c r="M34" s="435"/>
      <c r="N34" s="436">
        <f t="shared" si="4"/>
        <v>0</v>
      </c>
      <c r="O34" s="423">
        <v>35</v>
      </c>
      <c r="P34" s="423">
        <f t="shared" si="3"/>
        <v>0</v>
      </c>
      <c r="Q34" s="437">
        <f t="shared" si="5"/>
        <v>0</v>
      </c>
    </row>
    <row r="35" spans="2:17" s="429" customFormat="1" ht="12.75">
      <c r="B35" s="416">
        <v>1</v>
      </c>
      <c r="C35" s="417">
        <v>15</v>
      </c>
      <c r="D35" s="418">
        <v>27941</v>
      </c>
      <c r="E35" s="419" t="s">
        <v>98</v>
      </c>
      <c r="F35" s="420">
        <v>502.75</v>
      </c>
      <c r="G35" s="421">
        <f t="shared" si="2"/>
        <v>-502.75</v>
      </c>
      <c r="H35" s="422">
        <v>0</v>
      </c>
      <c r="I35" s="423">
        <v>25</v>
      </c>
      <c r="J35" s="422">
        <v>0</v>
      </c>
      <c r="K35" s="424">
        <v>502.75</v>
      </c>
      <c r="L35" s="425">
        <f t="shared" si="6"/>
        <v>-502.75</v>
      </c>
      <c r="M35" s="425"/>
      <c r="N35" s="426">
        <f t="shared" si="4"/>
        <v>0</v>
      </c>
      <c r="O35" s="427">
        <v>20</v>
      </c>
      <c r="P35" s="427">
        <f t="shared" si="3"/>
        <v>0</v>
      </c>
      <c r="Q35" s="428">
        <f t="shared" si="5"/>
        <v>0</v>
      </c>
    </row>
    <row r="36" spans="2:17" ht="12.75">
      <c r="B36" s="384"/>
      <c r="C36" s="382">
        <v>16</v>
      </c>
      <c r="D36" s="378">
        <v>27941</v>
      </c>
      <c r="E36" s="379" t="s">
        <v>107</v>
      </c>
      <c r="F36" s="380">
        <v>59.63</v>
      </c>
      <c r="G36" s="381">
        <f t="shared" si="2"/>
        <v>0</v>
      </c>
      <c r="H36" s="389">
        <v>59.63</v>
      </c>
      <c r="I36" s="392">
        <v>50</v>
      </c>
      <c r="J36" s="389">
        <f>F36/I36</f>
        <v>1.1926</v>
      </c>
      <c r="K36" s="393">
        <v>49.37</v>
      </c>
      <c r="L36" s="136">
        <f t="shared" si="6"/>
        <v>-8.094604109589042</v>
      </c>
      <c r="M36" s="136"/>
      <c r="N36" s="237">
        <f t="shared" si="4"/>
        <v>41.275395890410955</v>
      </c>
      <c r="O36" s="238">
        <v>60</v>
      </c>
      <c r="P36" s="238">
        <f t="shared" si="3"/>
        <v>41.53150684931507</v>
      </c>
      <c r="Q36" s="271">
        <f t="shared" si="5"/>
        <v>0.9938333333333333</v>
      </c>
    </row>
    <row r="37" spans="2:17" ht="12.75">
      <c r="B37" s="386"/>
      <c r="C37" s="383">
        <v>17</v>
      </c>
      <c r="D37" s="354">
        <v>28306</v>
      </c>
      <c r="E37" s="362" t="s">
        <v>112</v>
      </c>
      <c r="F37" s="388">
        <v>763.92</v>
      </c>
      <c r="G37" s="381">
        <f>H37-F37</f>
        <v>0</v>
      </c>
      <c r="H37" s="391">
        <v>763.92</v>
      </c>
      <c r="I37" s="394">
        <v>50</v>
      </c>
      <c r="J37" s="395">
        <v>15.28</v>
      </c>
      <c r="K37" s="396">
        <v>618.84</v>
      </c>
      <c r="L37" s="136">
        <f t="shared" si="6"/>
        <v>145.07999999999993</v>
      </c>
      <c r="M37" s="136"/>
      <c r="N37" s="237">
        <f t="shared" si="4"/>
        <v>763.92</v>
      </c>
      <c r="O37" s="238">
        <v>20</v>
      </c>
      <c r="P37" s="238">
        <f t="shared" si="3"/>
        <v>0</v>
      </c>
      <c r="Q37" s="271">
        <f t="shared" si="5"/>
        <v>0</v>
      </c>
    </row>
    <row r="38" spans="2:17" ht="12.75">
      <c r="B38" s="384"/>
      <c r="C38" s="382">
        <v>18</v>
      </c>
      <c r="D38" s="378">
        <v>28306</v>
      </c>
      <c r="E38" s="379" t="s">
        <v>107</v>
      </c>
      <c r="F38" s="380">
        <v>7329.5</v>
      </c>
      <c r="G38" s="381">
        <f t="shared" si="2"/>
        <v>0</v>
      </c>
      <c r="H38" s="389">
        <v>7329.5</v>
      </c>
      <c r="I38" s="392">
        <v>50</v>
      </c>
      <c r="J38" s="389">
        <f aca="true" t="shared" si="7" ref="J38:J46">F38/I38</f>
        <v>146.59</v>
      </c>
      <c r="K38" s="393">
        <v>5936.9</v>
      </c>
      <c r="L38" s="136">
        <f t="shared" si="6"/>
        <v>-985.6386757990858</v>
      </c>
      <c r="M38" s="136"/>
      <c r="N38" s="237">
        <f t="shared" si="4"/>
        <v>4951.261324200914</v>
      </c>
      <c r="O38" s="238">
        <v>60</v>
      </c>
      <c r="P38" s="238">
        <f t="shared" si="3"/>
        <v>40.53150684931507</v>
      </c>
      <c r="Q38" s="271">
        <f t="shared" si="5"/>
        <v>122.15833333333333</v>
      </c>
    </row>
    <row r="39" spans="2:17" ht="12.75">
      <c r="B39" s="384"/>
      <c r="C39" s="382">
        <v>19</v>
      </c>
      <c r="D39" s="378">
        <v>28671</v>
      </c>
      <c r="E39" s="379" t="s">
        <v>107</v>
      </c>
      <c r="F39" s="380">
        <v>2692.52</v>
      </c>
      <c r="G39" s="381">
        <f t="shared" si="2"/>
        <v>0</v>
      </c>
      <c r="H39" s="389">
        <v>2692.52</v>
      </c>
      <c r="I39" s="392">
        <v>50</v>
      </c>
      <c r="J39" s="389">
        <f t="shared" si="7"/>
        <v>53.8504</v>
      </c>
      <c r="K39" s="393">
        <v>2127.08</v>
      </c>
      <c r="L39" s="136">
        <f t="shared" si="6"/>
        <v>-353.0904529680365</v>
      </c>
      <c r="M39" s="136"/>
      <c r="N39" s="237">
        <f t="shared" si="4"/>
        <v>1773.9895470319634</v>
      </c>
      <c r="O39" s="238">
        <v>60</v>
      </c>
      <c r="P39" s="238">
        <f t="shared" si="3"/>
        <v>39.53150684931507</v>
      </c>
      <c r="Q39" s="271">
        <f t="shared" si="5"/>
        <v>44.87533333333333</v>
      </c>
    </row>
    <row r="40" spans="2:17" s="233" customFormat="1" ht="12.75">
      <c r="B40" s="384"/>
      <c r="C40" s="382">
        <v>20</v>
      </c>
      <c r="D40" s="378">
        <v>29402</v>
      </c>
      <c r="E40" s="379" t="s">
        <v>107</v>
      </c>
      <c r="F40" s="380">
        <v>239.83</v>
      </c>
      <c r="G40" s="381">
        <f t="shared" si="2"/>
        <v>0</v>
      </c>
      <c r="H40" s="389">
        <v>239.83</v>
      </c>
      <c r="I40" s="392">
        <v>50</v>
      </c>
      <c r="J40" s="389">
        <f t="shared" si="7"/>
        <v>4.796600000000001</v>
      </c>
      <c r="K40" s="393">
        <v>180</v>
      </c>
      <c r="L40" s="232">
        <f t="shared" si="6"/>
        <v>-29.991263013698614</v>
      </c>
      <c r="M40" s="232"/>
      <c r="N40" s="237">
        <f t="shared" si="4"/>
        <v>150.0087369863014</v>
      </c>
      <c r="O40" s="238">
        <v>60</v>
      </c>
      <c r="P40" s="238">
        <f t="shared" si="3"/>
        <v>37.52876712328767</v>
      </c>
      <c r="Q40" s="271">
        <f t="shared" si="5"/>
        <v>3.9971666666666668</v>
      </c>
    </row>
    <row r="41" spans="2:17" s="233" customFormat="1" ht="12.75">
      <c r="B41" s="384"/>
      <c r="C41" s="382">
        <v>21</v>
      </c>
      <c r="D41" s="378">
        <v>29767</v>
      </c>
      <c r="E41" s="379" t="s">
        <v>113</v>
      </c>
      <c r="F41" s="380">
        <v>554.98</v>
      </c>
      <c r="G41" s="381">
        <f t="shared" si="2"/>
        <v>0</v>
      </c>
      <c r="H41" s="389">
        <v>554.98</v>
      </c>
      <c r="I41" s="392">
        <v>50</v>
      </c>
      <c r="J41" s="389">
        <f t="shared" si="7"/>
        <v>11.0996</v>
      </c>
      <c r="K41" s="393">
        <v>410.75</v>
      </c>
      <c r="L41" s="232">
        <f t="shared" si="6"/>
        <v>96.06837945205478</v>
      </c>
      <c r="M41" s="232"/>
      <c r="N41" s="237">
        <f t="shared" si="4"/>
        <v>506.8183794520548</v>
      </c>
      <c r="O41" s="238">
        <v>40</v>
      </c>
      <c r="P41" s="238">
        <f t="shared" si="3"/>
        <v>36.52876712328767</v>
      </c>
      <c r="Q41" s="271">
        <f t="shared" si="5"/>
        <v>13.874500000000001</v>
      </c>
    </row>
    <row r="42" spans="2:17" s="233" customFormat="1" ht="12.75">
      <c r="B42" s="384"/>
      <c r="C42" s="382">
        <v>22</v>
      </c>
      <c r="D42" s="378">
        <v>32628</v>
      </c>
      <c r="E42" s="379" t="s">
        <v>114</v>
      </c>
      <c r="F42" s="380">
        <v>741.54</v>
      </c>
      <c r="G42" s="381">
        <f t="shared" si="2"/>
        <v>0</v>
      </c>
      <c r="H42" s="389">
        <v>741.54</v>
      </c>
      <c r="I42" s="392">
        <v>50</v>
      </c>
      <c r="J42" s="389">
        <f t="shared" si="7"/>
        <v>14.8308</v>
      </c>
      <c r="K42" s="393">
        <v>415.25</v>
      </c>
      <c r="L42" s="232">
        <f>N42-K42</f>
        <v>-60.66521095890414</v>
      </c>
      <c r="M42" s="232"/>
      <c r="N42" s="237">
        <f t="shared" si="4"/>
        <v>354.58478904109586</v>
      </c>
      <c r="O42" s="238">
        <v>60</v>
      </c>
      <c r="P42" s="238">
        <f t="shared" si="3"/>
        <v>28.69041095890411</v>
      </c>
      <c r="Q42" s="271">
        <f t="shared" si="5"/>
        <v>12.359</v>
      </c>
    </row>
    <row r="43" spans="2:17" ht="12.75">
      <c r="B43" s="384"/>
      <c r="C43" s="382">
        <v>34</v>
      </c>
      <c r="D43" s="378">
        <v>30497</v>
      </c>
      <c r="E43" s="379" t="s">
        <v>115</v>
      </c>
      <c r="F43" s="380">
        <v>824.52</v>
      </c>
      <c r="G43" s="381">
        <f t="shared" si="2"/>
        <v>0</v>
      </c>
      <c r="H43" s="389">
        <v>824.52</v>
      </c>
      <c r="I43" s="392">
        <v>50</v>
      </c>
      <c r="J43" s="389">
        <f t="shared" si="7"/>
        <v>16.4904</v>
      </c>
      <c r="K43" s="393">
        <v>568.91</v>
      </c>
      <c r="L43" s="136">
        <f>N43-K43</f>
        <v>142.83147671232882</v>
      </c>
      <c r="M43" s="136"/>
      <c r="N43" s="237">
        <f t="shared" si="4"/>
        <v>711.7414767123288</v>
      </c>
      <c r="O43" s="238">
        <v>40</v>
      </c>
      <c r="P43" s="238">
        <f t="shared" si="3"/>
        <v>34.52876712328767</v>
      </c>
      <c r="Q43" s="271">
        <f t="shared" si="5"/>
        <v>20.613</v>
      </c>
    </row>
    <row r="44" spans="2:17" ht="12.75">
      <c r="B44" s="384">
        <v>5</v>
      </c>
      <c r="C44" s="382">
        <v>35</v>
      </c>
      <c r="D44" s="378">
        <v>30497</v>
      </c>
      <c r="E44" s="379" t="s">
        <v>116</v>
      </c>
      <c r="F44" s="380">
        <v>4129.5</v>
      </c>
      <c r="G44" s="381">
        <f t="shared" si="2"/>
        <v>0</v>
      </c>
      <c r="H44" s="389">
        <v>4129.5</v>
      </c>
      <c r="I44" s="392">
        <v>25</v>
      </c>
      <c r="J44" s="389">
        <v>0</v>
      </c>
      <c r="K44" s="393">
        <v>4129.5</v>
      </c>
      <c r="L44" s="136">
        <f>N44-K44</f>
        <v>-55.59874755381588</v>
      </c>
      <c r="M44" s="136"/>
      <c r="N44" s="237">
        <f t="shared" si="4"/>
        <v>4073.901252446184</v>
      </c>
      <c r="O44" s="238">
        <v>35</v>
      </c>
      <c r="P44" s="238">
        <f t="shared" si="3"/>
        <v>34.52876712328767</v>
      </c>
      <c r="Q44" s="271">
        <f t="shared" si="5"/>
        <v>55.59874755381588</v>
      </c>
    </row>
    <row r="45" spans="2:17" ht="12.75">
      <c r="B45" s="384"/>
      <c r="C45" s="382">
        <v>36</v>
      </c>
      <c r="D45" s="378">
        <v>30497</v>
      </c>
      <c r="E45" s="379" t="s">
        <v>117</v>
      </c>
      <c r="F45" s="380">
        <v>5147.68</v>
      </c>
      <c r="G45" s="381">
        <f t="shared" si="2"/>
        <v>0</v>
      </c>
      <c r="H45" s="389">
        <v>5147.68</v>
      </c>
      <c r="I45" s="392">
        <v>50</v>
      </c>
      <c r="J45" s="389">
        <f t="shared" si="7"/>
        <v>102.95360000000001</v>
      </c>
      <c r="K45" s="393">
        <v>3551.78</v>
      </c>
      <c r="L45" s="136">
        <f t="shared" si="6"/>
        <v>-589.3959342465755</v>
      </c>
      <c r="M45" s="136"/>
      <c r="N45" s="237">
        <f t="shared" si="4"/>
        <v>2962.3840657534247</v>
      </c>
      <c r="O45" s="238">
        <v>60</v>
      </c>
      <c r="P45" s="238">
        <f t="shared" si="3"/>
        <v>34.52876712328767</v>
      </c>
      <c r="Q45" s="271">
        <f t="shared" si="5"/>
        <v>85.79466666666667</v>
      </c>
    </row>
    <row r="46" spans="2:17" ht="12.75">
      <c r="B46" s="384"/>
      <c r="C46" s="382">
        <v>37</v>
      </c>
      <c r="D46" s="378">
        <v>30497</v>
      </c>
      <c r="E46" s="379" t="s">
        <v>110</v>
      </c>
      <c r="F46" s="380">
        <v>7886.05</v>
      </c>
      <c r="G46" s="381">
        <f>H46-F46</f>
        <v>0</v>
      </c>
      <c r="H46" s="389">
        <v>7886.05</v>
      </c>
      <c r="I46" s="392">
        <v>50</v>
      </c>
      <c r="J46" s="389">
        <f t="shared" si="7"/>
        <v>157.721</v>
      </c>
      <c r="K46" s="393">
        <v>5441.34</v>
      </c>
      <c r="L46" s="136">
        <f aca="true" t="shared" si="8" ref="L46:L73">N46-K46</f>
        <v>-903.0802671232877</v>
      </c>
      <c r="M46" s="136"/>
      <c r="N46" s="237">
        <f t="shared" si="4"/>
        <v>4538.259732876712</v>
      </c>
      <c r="O46" s="238">
        <v>60</v>
      </c>
      <c r="P46" s="238">
        <f t="shared" si="3"/>
        <v>34.52876712328767</v>
      </c>
      <c r="Q46" s="271">
        <f t="shared" si="5"/>
        <v>131.43416666666667</v>
      </c>
    </row>
    <row r="47" spans="2:17" s="410" customFormat="1" ht="12.75">
      <c r="B47" s="397">
        <v>1</v>
      </c>
      <c r="C47" s="398">
        <v>38</v>
      </c>
      <c r="D47" s="399">
        <v>30497</v>
      </c>
      <c r="E47" s="400" t="s">
        <v>99</v>
      </c>
      <c r="F47" s="401">
        <v>806.16</v>
      </c>
      <c r="G47" s="402">
        <f t="shared" si="2"/>
        <v>-806.16</v>
      </c>
      <c r="H47" s="403">
        <v>0</v>
      </c>
      <c r="I47" s="414">
        <v>25</v>
      </c>
      <c r="J47" s="413">
        <v>0</v>
      </c>
      <c r="K47" s="415">
        <v>806.16</v>
      </c>
      <c r="L47" s="406">
        <f t="shared" si="8"/>
        <v>-806.16</v>
      </c>
      <c r="M47" s="406"/>
      <c r="N47" s="407">
        <f t="shared" si="4"/>
        <v>0</v>
      </c>
      <c r="O47" s="408">
        <v>20</v>
      </c>
      <c r="P47" s="408">
        <f t="shared" si="3"/>
        <v>0</v>
      </c>
      <c r="Q47" s="409">
        <f t="shared" si="5"/>
        <v>0</v>
      </c>
    </row>
    <row r="48" spans="2:17" ht="12.75">
      <c r="B48" s="384"/>
      <c r="C48" s="382">
        <v>39</v>
      </c>
      <c r="D48" s="378">
        <v>30497</v>
      </c>
      <c r="E48" s="379" t="s">
        <v>118</v>
      </c>
      <c r="F48" s="380">
        <v>51.59</v>
      </c>
      <c r="G48" s="381">
        <f t="shared" si="2"/>
        <v>0</v>
      </c>
      <c r="H48" s="389">
        <v>51.59</v>
      </c>
      <c r="I48" s="392">
        <v>25</v>
      </c>
      <c r="J48" s="389">
        <v>0</v>
      </c>
      <c r="K48" s="393">
        <v>51.59</v>
      </c>
      <c r="L48" s="136">
        <f t="shared" si="8"/>
        <v>-0.6945972602739658</v>
      </c>
      <c r="M48" s="136"/>
      <c r="N48" s="237">
        <f t="shared" si="4"/>
        <v>50.89540273972604</v>
      </c>
      <c r="O48" s="238">
        <v>35</v>
      </c>
      <c r="P48" s="238">
        <f t="shared" si="3"/>
        <v>34.52876712328767</v>
      </c>
      <c r="Q48" s="271">
        <f t="shared" si="5"/>
        <v>0.6945972602739658</v>
      </c>
    </row>
    <row r="49" spans="2:17" ht="12.75">
      <c r="B49" s="385"/>
      <c r="C49" s="382">
        <v>40</v>
      </c>
      <c r="D49" s="378">
        <v>30863</v>
      </c>
      <c r="E49" s="379" t="s">
        <v>119</v>
      </c>
      <c r="F49" s="380">
        <v>1550.49</v>
      </c>
      <c r="G49" s="381">
        <f t="shared" si="2"/>
        <v>0</v>
      </c>
      <c r="H49" s="389">
        <v>1550.49</v>
      </c>
      <c r="I49" s="392">
        <v>50</v>
      </c>
      <c r="J49" s="389">
        <f aca="true" t="shared" si="9" ref="J49:J64">F49/I49</f>
        <v>31.0098</v>
      </c>
      <c r="K49" s="393">
        <v>1038.84</v>
      </c>
      <c r="L49" s="136">
        <f t="shared" si="8"/>
        <v>260.70425547945206</v>
      </c>
      <c r="M49" s="136"/>
      <c r="N49" s="237">
        <f t="shared" si="4"/>
        <v>1299.544255479452</v>
      </c>
      <c r="O49" s="238">
        <v>40</v>
      </c>
      <c r="P49" s="238">
        <f t="shared" si="3"/>
        <v>33.52602739726027</v>
      </c>
      <c r="Q49" s="271">
        <f t="shared" si="5"/>
        <v>38.76225</v>
      </c>
    </row>
    <row r="50" spans="2:17" ht="12.75">
      <c r="B50" s="384"/>
      <c r="C50" s="382">
        <v>41</v>
      </c>
      <c r="D50" s="378">
        <v>31228</v>
      </c>
      <c r="E50" s="379" t="s">
        <v>110</v>
      </c>
      <c r="F50" s="380">
        <v>2017.45</v>
      </c>
      <c r="G50" s="381">
        <f t="shared" si="2"/>
        <v>0</v>
      </c>
      <c r="H50" s="389">
        <v>2017.45</v>
      </c>
      <c r="I50" s="392">
        <v>50</v>
      </c>
      <c r="J50" s="389">
        <f t="shared" si="9"/>
        <v>40.349000000000004</v>
      </c>
      <c r="K50" s="393">
        <v>1311.38</v>
      </c>
      <c r="L50" s="136">
        <f>N50-K50</f>
        <v>-217.71943378995456</v>
      </c>
      <c r="M50" s="136"/>
      <c r="N50" s="237">
        <f t="shared" si="4"/>
        <v>1093.6605662100455</v>
      </c>
      <c r="O50" s="238">
        <v>60</v>
      </c>
      <c r="P50" s="238">
        <f t="shared" si="3"/>
        <v>32.52602739726027</v>
      </c>
      <c r="Q50" s="271">
        <f t="shared" si="5"/>
        <v>33.62416666666667</v>
      </c>
    </row>
    <row r="51" spans="2:17" ht="12.75">
      <c r="B51" s="385"/>
      <c r="C51" s="382">
        <v>42</v>
      </c>
      <c r="D51" s="378">
        <v>31593</v>
      </c>
      <c r="E51" s="379" t="s">
        <v>119</v>
      </c>
      <c r="F51" s="380">
        <v>91.1</v>
      </c>
      <c r="G51" s="381">
        <f t="shared" si="2"/>
        <v>0</v>
      </c>
      <c r="H51" s="389">
        <v>91.1</v>
      </c>
      <c r="I51" s="392">
        <v>50</v>
      </c>
      <c r="J51" s="389">
        <f t="shared" si="9"/>
        <v>1.8219999999999998</v>
      </c>
      <c r="K51" s="393">
        <v>54.6</v>
      </c>
      <c r="L51" s="136">
        <f t="shared" si="8"/>
        <v>17.200527397260267</v>
      </c>
      <c r="M51" s="136"/>
      <c r="N51" s="237">
        <f t="shared" si="4"/>
        <v>71.80052739726027</v>
      </c>
      <c r="O51" s="238">
        <v>40</v>
      </c>
      <c r="P51" s="238">
        <f t="shared" si="3"/>
        <v>31.526027397260275</v>
      </c>
      <c r="Q51" s="271">
        <f t="shared" si="5"/>
        <v>2.2775</v>
      </c>
    </row>
    <row r="52" spans="2:17" ht="12.75">
      <c r="B52" s="384"/>
      <c r="C52" s="382">
        <v>43</v>
      </c>
      <c r="D52" s="378">
        <v>31958</v>
      </c>
      <c r="E52" s="379" t="s">
        <v>120</v>
      </c>
      <c r="F52" s="380">
        <v>4798.61</v>
      </c>
      <c r="G52" s="381">
        <f t="shared" si="2"/>
        <v>0</v>
      </c>
      <c r="H52" s="389">
        <v>4798.61</v>
      </c>
      <c r="I52" s="392">
        <v>50</v>
      </c>
      <c r="J52" s="389">
        <f t="shared" si="9"/>
        <v>95.97219999999999</v>
      </c>
      <c r="K52" s="393">
        <v>2975.07</v>
      </c>
      <c r="L52" s="136">
        <f>N52-K52</f>
        <v>-533.6949945205483</v>
      </c>
      <c r="M52" s="136"/>
      <c r="N52" s="237">
        <f t="shared" si="4"/>
        <v>2441.375005479452</v>
      </c>
      <c r="O52" s="238">
        <v>60</v>
      </c>
      <c r="P52" s="238">
        <f t="shared" si="3"/>
        <v>30.526027397260275</v>
      </c>
      <c r="Q52" s="271">
        <f t="shared" si="5"/>
        <v>79.97683333333333</v>
      </c>
    </row>
    <row r="53" spans="2:17" ht="12.75">
      <c r="B53" s="384"/>
      <c r="C53" s="382">
        <v>44</v>
      </c>
      <c r="D53" s="378">
        <v>33785</v>
      </c>
      <c r="E53" s="379" t="s">
        <v>121</v>
      </c>
      <c r="F53" s="380">
        <v>12651.06</v>
      </c>
      <c r="G53" s="381">
        <f t="shared" si="2"/>
        <v>0</v>
      </c>
      <c r="H53" s="389">
        <v>12651.06</v>
      </c>
      <c r="I53" s="392">
        <v>25</v>
      </c>
      <c r="J53" s="389">
        <v>0</v>
      </c>
      <c r="K53" s="393">
        <v>12651.06</v>
      </c>
      <c r="L53" s="136">
        <f t="shared" si="8"/>
        <v>-3426.4319060665366</v>
      </c>
      <c r="M53" s="136"/>
      <c r="N53" s="237">
        <f t="shared" si="4"/>
        <v>9224.628093933463</v>
      </c>
      <c r="O53" s="238">
        <v>35</v>
      </c>
      <c r="P53" s="238">
        <f t="shared" si="3"/>
        <v>25.52054794520548</v>
      </c>
      <c r="Q53" s="271">
        <f t="shared" si="5"/>
        <v>361.45885714285714</v>
      </c>
    </row>
    <row r="54" spans="2:17" ht="12.75">
      <c r="B54" s="385"/>
      <c r="C54" s="382">
        <v>45</v>
      </c>
      <c r="D54" s="378">
        <v>32324</v>
      </c>
      <c r="E54" s="379" t="s">
        <v>119</v>
      </c>
      <c r="F54" s="380">
        <v>80.24</v>
      </c>
      <c r="G54" s="381">
        <f t="shared" si="2"/>
        <v>0</v>
      </c>
      <c r="H54" s="389">
        <v>80.24</v>
      </c>
      <c r="I54" s="392">
        <v>10</v>
      </c>
      <c r="J54" s="389">
        <v>0</v>
      </c>
      <c r="K54" s="393">
        <v>72.26</v>
      </c>
      <c r="L54" s="136">
        <f t="shared" si="8"/>
        <v>-13.036284931506856</v>
      </c>
      <c r="M54" s="136"/>
      <c r="N54" s="237">
        <f t="shared" si="4"/>
        <v>59.22371506849315</v>
      </c>
      <c r="O54" s="238">
        <v>40</v>
      </c>
      <c r="P54" s="238">
        <f t="shared" si="3"/>
        <v>29.523287671232875</v>
      </c>
      <c r="Q54" s="271">
        <f t="shared" si="5"/>
        <v>2.006</v>
      </c>
    </row>
    <row r="55" spans="2:17" ht="12.75">
      <c r="B55" s="384"/>
      <c r="C55" s="382">
        <v>46</v>
      </c>
      <c r="D55" s="378">
        <v>34515</v>
      </c>
      <c r="E55" s="379" t="s">
        <v>122</v>
      </c>
      <c r="F55" s="380">
        <v>1512</v>
      </c>
      <c r="G55" s="381">
        <f t="shared" si="2"/>
        <v>0</v>
      </c>
      <c r="H55" s="389">
        <v>1512</v>
      </c>
      <c r="I55" s="392">
        <v>50</v>
      </c>
      <c r="J55" s="389">
        <f t="shared" si="9"/>
        <v>30.24</v>
      </c>
      <c r="K55" s="393">
        <v>710.85</v>
      </c>
      <c r="L55" s="136">
        <f t="shared" si="8"/>
        <v>-118.13219178082193</v>
      </c>
      <c r="M55" s="136"/>
      <c r="N55" s="237">
        <f t="shared" si="4"/>
        <v>592.7178082191781</v>
      </c>
      <c r="O55" s="238">
        <v>60</v>
      </c>
      <c r="P55" s="238">
        <f t="shared" si="3"/>
        <v>23.52054794520548</v>
      </c>
      <c r="Q55" s="271">
        <f t="shared" si="5"/>
        <v>25.2</v>
      </c>
    </row>
    <row r="56" spans="2:17" ht="12.75">
      <c r="B56" s="384"/>
      <c r="C56" s="382">
        <v>47</v>
      </c>
      <c r="D56" s="378">
        <v>36068</v>
      </c>
      <c r="E56" s="379" t="s">
        <v>123</v>
      </c>
      <c r="F56" s="380">
        <v>744.37</v>
      </c>
      <c r="G56" s="381">
        <f t="shared" si="2"/>
        <v>0</v>
      </c>
      <c r="H56" s="389">
        <v>744.37</v>
      </c>
      <c r="I56" s="392">
        <v>50</v>
      </c>
      <c r="J56" s="389">
        <f t="shared" si="9"/>
        <v>14.8874</v>
      </c>
      <c r="K56" s="393">
        <v>286.7</v>
      </c>
      <c r="L56" s="136">
        <f t="shared" si="8"/>
        <v>31.985530593607336</v>
      </c>
      <c r="M56" s="136"/>
      <c r="N56" s="237">
        <f t="shared" si="4"/>
        <v>318.6855305936073</v>
      </c>
      <c r="O56" s="238">
        <v>45</v>
      </c>
      <c r="P56" s="238">
        <f t="shared" si="3"/>
        <v>19.265753424657536</v>
      </c>
      <c r="Q56" s="271">
        <f t="shared" si="5"/>
        <v>16.541555555555554</v>
      </c>
    </row>
    <row r="57" spans="2:17" ht="12.75">
      <c r="B57" s="384"/>
      <c r="C57" s="382">
        <v>48</v>
      </c>
      <c r="D57" s="378">
        <v>36160</v>
      </c>
      <c r="E57" s="379" t="s">
        <v>124</v>
      </c>
      <c r="F57" s="380">
        <v>1904.25</v>
      </c>
      <c r="G57" s="381">
        <f t="shared" si="2"/>
        <v>0</v>
      </c>
      <c r="H57" s="389">
        <v>1904.25</v>
      </c>
      <c r="I57" s="392">
        <v>50</v>
      </c>
      <c r="J57" s="389">
        <f t="shared" si="9"/>
        <v>38.085</v>
      </c>
      <c r="K57" s="393">
        <v>723.81</v>
      </c>
      <c r="L57" s="136">
        <f t="shared" si="8"/>
        <v>-120.36273972602737</v>
      </c>
      <c r="M57" s="136"/>
      <c r="N57" s="237">
        <f t="shared" si="4"/>
        <v>603.4472602739726</v>
      </c>
      <c r="O57" s="238">
        <v>60</v>
      </c>
      <c r="P57" s="238">
        <f t="shared" si="3"/>
        <v>19.013698630136986</v>
      </c>
      <c r="Q57" s="271">
        <f t="shared" si="5"/>
        <v>31.7375</v>
      </c>
    </row>
    <row r="58" spans="2:17" ht="12.75">
      <c r="B58" s="384"/>
      <c r="C58" s="382">
        <v>49</v>
      </c>
      <c r="D58" s="378">
        <v>36809</v>
      </c>
      <c r="E58" s="379" t="s">
        <v>125</v>
      </c>
      <c r="F58" s="380">
        <v>204</v>
      </c>
      <c r="G58" s="381">
        <f t="shared" si="2"/>
        <v>0</v>
      </c>
      <c r="H58" s="389">
        <v>204</v>
      </c>
      <c r="I58" s="392">
        <v>50</v>
      </c>
      <c r="J58" s="389">
        <f t="shared" si="9"/>
        <v>4.08</v>
      </c>
      <c r="K58" s="393">
        <v>70.29</v>
      </c>
      <c r="L58" s="136">
        <f t="shared" si="8"/>
        <v>30.16902152641879</v>
      </c>
      <c r="M58" s="136"/>
      <c r="N58" s="237">
        <f t="shared" si="4"/>
        <v>100.4590215264188</v>
      </c>
      <c r="O58" s="238">
        <v>35</v>
      </c>
      <c r="P58" s="238">
        <f t="shared" si="3"/>
        <v>17.235616438356164</v>
      </c>
      <c r="Q58" s="271">
        <f t="shared" si="5"/>
        <v>5.828571428571428</v>
      </c>
    </row>
    <row r="59" spans="2:17" ht="12.75">
      <c r="B59" s="384"/>
      <c r="C59" s="382">
        <v>50</v>
      </c>
      <c r="D59" s="378">
        <v>37184</v>
      </c>
      <c r="E59" s="379" t="s">
        <v>126</v>
      </c>
      <c r="F59" s="380">
        <v>630</v>
      </c>
      <c r="G59" s="381">
        <f t="shared" si="2"/>
        <v>0</v>
      </c>
      <c r="H59" s="389">
        <v>630</v>
      </c>
      <c r="I59" s="392">
        <v>50</v>
      </c>
      <c r="J59" s="389">
        <f t="shared" si="9"/>
        <v>12.6</v>
      </c>
      <c r="K59" s="393">
        <v>204.12</v>
      </c>
      <c r="L59" s="136">
        <f t="shared" si="8"/>
        <v>87.62794520547942</v>
      </c>
      <c r="M59" s="136"/>
      <c r="N59" s="237">
        <f t="shared" si="4"/>
        <v>291.7479452054794</v>
      </c>
      <c r="O59" s="238">
        <v>35</v>
      </c>
      <c r="P59" s="238">
        <f t="shared" si="3"/>
        <v>16.208219178082192</v>
      </c>
      <c r="Q59" s="271">
        <f t="shared" si="5"/>
        <v>18</v>
      </c>
    </row>
    <row r="60" spans="2:17" ht="12.75">
      <c r="B60" s="385"/>
      <c r="C60" s="382">
        <v>51</v>
      </c>
      <c r="D60" s="378">
        <v>37438</v>
      </c>
      <c r="E60" s="379" t="s">
        <v>127</v>
      </c>
      <c r="F60" s="380">
        <v>289.18</v>
      </c>
      <c r="G60" s="381">
        <f t="shared" si="2"/>
        <v>0</v>
      </c>
      <c r="H60" s="389">
        <v>289.18</v>
      </c>
      <c r="I60" s="392">
        <v>50</v>
      </c>
      <c r="J60" s="389">
        <f t="shared" si="9"/>
        <v>5.7836</v>
      </c>
      <c r="K60" s="393">
        <v>89.62</v>
      </c>
      <c r="L60" s="136">
        <f t="shared" si="8"/>
        <v>22.52638082191781</v>
      </c>
      <c r="M60" s="136"/>
      <c r="N60" s="237">
        <f t="shared" si="4"/>
        <v>112.14638082191782</v>
      </c>
      <c r="O60" s="238">
        <v>40</v>
      </c>
      <c r="P60" s="238">
        <f t="shared" si="3"/>
        <v>15.512328767123288</v>
      </c>
      <c r="Q60" s="271">
        <f t="shared" si="5"/>
        <v>7.2295</v>
      </c>
    </row>
    <row r="61" spans="2:17" ht="12.75">
      <c r="B61" s="384"/>
      <c r="C61" s="382">
        <v>52</v>
      </c>
      <c r="D61" s="378">
        <v>37955</v>
      </c>
      <c r="E61" s="379" t="s">
        <v>126</v>
      </c>
      <c r="F61" s="380">
        <v>487.55</v>
      </c>
      <c r="G61" s="381">
        <f t="shared" si="2"/>
        <v>0</v>
      </c>
      <c r="H61" s="389">
        <v>487.55</v>
      </c>
      <c r="I61" s="392">
        <v>50</v>
      </c>
      <c r="J61" s="389">
        <f t="shared" si="9"/>
        <v>9.751</v>
      </c>
      <c r="K61" s="393">
        <v>137.35</v>
      </c>
      <c r="L61" s="136">
        <f t="shared" si="8"/>
        <v>59.00575342465757</v>
      </c>
      <c r="M61" s="136"/>
      <c r="N61" s="237">
        <f t="shared" si="4"/>
        <v>196.35575342465756</v>
      </c>
      <c r="O61" s="238">
        <v>35</v>
      </c>
      <c r="P61" s="238">
        <f t="shared" si="3"/>
        <v>14.095890410958905</v>
      </c>
      <c r="Q61" s="271">
        <f t="shared" si="5"/>
        <v>13.93</v>
      </c>
    </row>
    <row r="62" spans="2:17" ht="12.75">
      <c r="B62" s="384"/>
      <c r="C62" s="382">
        <v>53</v>
      </c>
      <c r="D62" s="378">
        <v>38878</v>
      </c>
      <c r="E62" s="379" t="s">
        <v>128</v>
      </c>
      <c r="F62" s="380">
        <v>1050</v>
      </c>
      <c r="G62" s="381">
        <f t="shared" si="2"/>
        <v>0</v>
      </c>
      <c r="H62" s="389">
        <v>1050</v>
      </c>
      <c r="I62" s="392">
        <v>50</v>
      </c>
      <c r="J62" s="389">
        <f t="shared" si="9"/>
        <v>21</v>
      </c>
      <c r="K62" s="393">
        <v>241.5</v>
      </c>
      <c r="L62" s="136">
        <f t="shared" si="8"/>
        <v>105.51369863013696</v>
      </c>
      <c r="M62" s="136"/>
      <c r="N62" s="237">
        <f t="shared" si="4"/>
        <v>347.01369863013696</v>
      </c>
      <c r="O62" s="238">
        <v>35</v>
      </c>
      <c r="P62" s="238">
        <f t="shared" si="3"/>
        <v>11.567123287671233</v>
      </c>
      <c r="Q62" s="271">
        <f t="shared" si="5"/>
        <v>30</v>
      </c>
    </row>
    <row r="63" spans="2:17" ht="12.75">
      <c r="B63" s="385"/>
      <c r="C63" s="382">
        <v>54</v>
      </c>
      <c r="D63" s="378">
        <v>38898</v>
      </c>
      <c r="E63" s="379" t="s">
        <v>129</v>
      </c>
      <c r="F63" s="380">
        <v>548.58</v>
      </c>
      <c r="G63" s="381">
        <f t="shared" si="2"/>
        <v>0</v>
      </c>
      <c r="H63" s="389">
        <v>548.58</v>
      </c>
      <c r="I63" s="392">
        <v>50</v>
      </c>
      <c r="J63" s="389">
        <f t="shared" si="9"/>
        <v>10.9716</v>
      </c>
      <c r="K63" s="393">
        <v>126.16</v>
      </c>
      <c r="L63" s="136">
        <f t="shared" si="8"/>
        <v>31.72583287671236</v>
      </c>
      <c r="M63" s="136"/>
      <c r="N63" s="237">
        <f t="shared" si="4"/>
        <v>157.88583287671236</v>
      </c>
      <c r="O63" s="238">
        <v>40</v>
      </c>
      <c r="P63" s="238">
        <f t="shared" si="3"/>
        <v>11.512328767123288</v>
      </c>
      <c r="Q63" s="271">
        <f t="shared" si="5"/>
        <v>13.714500000000001</v>
      </c>
    </row>
    <row r="64" spans="2:17" ht="12.75">
      <c r="B64" s="385"/>
      <c r="C64" s="382">
        <v>55</v>
      </c>
      <c r="D64" s="378">
        <v>39171</v>
      </c>
      <c r="E64" s="379" t="s">
        <v>130</v>
      </c>
      <c r="F64" s="380">
        <v>1125.71</v>
      </c>
      <c r="G64" s="381">
        <f t="shared" si="2"/>
        <v>0</v>
      </c>
      <c r="H64" s="389">
        <v>1125.71</v>
      </c>
      <c r="I64" s="392">
        <v>50</v>
      </c>
      <c r="J64" s="389">
        <f t="shared" si="9"/>
        <v>22.514200000000002</v>
      </c>
      <c r="K64" s="393">
        <v>236.36</v>
      </c>
      <c r="L64" s="136">
        <f t="shared" si="8"/>
        <v>369.5187109589042</v>
      </c>
      <c r="M64" s="136"/>
      <c r="N64" s="237">
        <f t="shared" si="4"/>
        <v>605.8787109589042</v>
      </c>
      <c r="O64" s="238">
        <v>20</v>
      </c>
      <c r="P64" s="238">
        <f t="shared" si="3"/>
        <v>10.764383561643836</v>
      </c>
      <c r="Q64" s="271">
        <f t="shared" si="5"/>
        <v>56.2855</v>
      </c>
    </row>
    <row r="65" spans="2:17" ht="12.75">
      <c r="B65" s="384"/>
      <c r="C65" s="382">
        <v>56</v>
      </c>
      <c r="D65" s="378">
        <v>39355</v>
      </c>
      <c r="E65" s="379" t="s">
        <v>131</v>
      </c>
      <c r="F65" s="380">
        <v>13839.01</v>
      </c>
      <c r="G65" s="381">
        <f t="shared" si="2"/>
        <v>0</v>
      </c>
      <c r="H65" s="389">
        <v>13839.01</v>
      </c>
      <c r="I65" s="392">
        <v>50</v>
      </c>
      <c r="J65" s="389">
        <f>F65/I65</f>
        <v>276.7802</v>
      </c>
      <c r="K65" s="393">
        <v>2906.19</v>
      </c>
      <c r="L65" s="136">
        <f t="shared" si="8"/>
        <v>-539.656098173516</v>
      </c>
      <c r="M65" s="136"/>
      <c r="N65" s="237">
        <f t="shared" si="4"/>
        <v>2366.533901826484</v>
      </c>
      <c r="O65" s="238">
        <v>60</v>
      </c>
      <c r="P65" s="238">
        <f t="shared" si="3"/>
        <v>10.26027397260274</v>
      </c>
      <c r="Q65" s="271">
        <f t="shared" si="5"/>
        <v>230.65016666666668</v>
      </c>
    </row>
    <row r="66" spans="2:17" ht="12.75">
      <c r="B66" s="384"/>
      <c r="C66" s="382">
        <v>57</v>
      </c>
      <c r="D66" s="378">
        <v>39355</v>
      </c>
      <c r="E66" s="379" t="s">
        <v>132</v>
      </c>
      <c r="F66" s="380">
        <v>8504.79</v>
      </c>
      <c r="G66" s="381">
        <f t="shared" si="2"/>
        <v>0</v>
      </c>
      <c r="H66" s="389">
        <v>8504.79</v>
      </c>
      <c r="I66" s="392">
        <v>50</v>
      </c>
      <c r="J66" s="389">
        <f>F66/I66</f>
        <v>170.09580000000003</v>
      </c>
      <c r="K66" s="393">
        <v>1786.05</v>
      </c>
      <c r="L66" s="136">
        <f t="shared" si="8"/>
        <v>-331.6920753424656</v>
      </c>
      <c r="M66" s="136"/>
      <c r="N66" s="237">
        <f t="shared" si="4"/>
        <v>1454.3579246575343</v>
      </c>
      <c r="O66" s="238">
        <v>60</v>
      </c>
      <c r="P66" s="238">
        <f t="shared" si="3"/>
        <v>10.26027397260274</v>
      </c>
      <c r="Q66" s="271">
        <f t="shared" si="5"/>
        <v>141.74650000000003</v>
      </c>
    </row>
    <row r="67" spans="2:17" ht="12.75">
      <c r="B67" s="384"/>
      <c r="C67" s="382">
        <v>58</v>
      </c>
      <c r="D67" s="378">
        <v>39355</v>
      </c>
      <c r="E67" s="379" t="s">
        <v>133</v>
      </c>
      <c r="F67" s="380">
        <v>7699.05</v>
      </c>
      <c r="G67" s="381">
        <f t="shared" si="2"/>
        <v>0</v>
      </c>
      <c r="H67" s="389">
        <v>7699.05</v>
      </c>
      <c r="I67" s="392">
        <v>50</v>
      </c>
      <c r="J67" s="389">
        <f>F67/I67</f>
        <v>153.981</v>
      </c>
      <c r="K67" s="393">
        <v>1616.79</v>
      </c>
      <c r="L67" s="136">
        <f t="shared" si="8"/>
        <v>-300.21729452054797</v>
      </c>
      <c r="M67" s="136"/>
      <c r="N67" s="237">
        <f t="shared" si="4"/>
        <v>1316.572705479452</v>
      </c>
      <c r="O67" s="238">
        <v>60</v>
      </c>
      <c r="P67" s="238">
        <f t="shared" si="3"/>
        <v>10.26027397260274</v>
      </c>
      <c r="Q67" s="271">
        <f t="shared" si="5"/>
        <v>128.3175</v>
      </c>
    </row>
    <row r="68" spans="2:17" ht="12.75">
      <c r="B68" s="384"/>
      <c r="C68" s="382">
        <v>59</v>
      </c>
      <c r="D68" s="378">
        <v>39588</v>
      </c>
      <c r="E68" s="379" t="s">
        <v>143</v>
      </c>
      <c r="F68" s="380">
        <v>10065.74</v>
      </c>
      <c r="G68" s="381">
        <f t="shared" si="2"/>
        <v>0</v>
      </c>
      <c r="H68" s="389">
        <v>10065.74</v>
      </c>
      <c r="I68" s="392">
        <v>50</v>
      </c>
      <c r="J68" s="389">
        <v>167.76</v>
      </c>
      <c r="K68" s="393">
        <v>1593.72</v>
      </c>
      <c r="L68" s="136">
        <f>N68-K68</f>
        <v>20.47538264840159</v>
      </c>
      <c r="M68" s="136"/>
      <c r="N68" s="237">
        <f aca="true" t="shared" si="10" ref="N68:N73">IF((($F$9)-D68)&gt;O68*365,H68,(H68/(O68*365)*(($F$9)-D68)))</f>
        <v>1614.1953826484016</v>
      </c>
      <c r="O68" s="238">
        <v>60</v>
      </c>
      <c r="P68" s="238">
        <f aca="true" t="shared" si="11" ref="P68:P73">IF((($F$9)-D68)&gt;=O68*365,0,(($F$9)-D68))/365</f>
        <v>9.621917808219179</v>
      </c>
      <c r="Q68" s="271">
        <f aca="true" t="shared" si="12" ref="Q68:Q73">IF((O68-P68)&lt;1,(H68-N68),(IF(P68=0,(0),(H68/O68))))</f>
        <v>167.76233333333332</v>
      </c>
    </row>
    <row r="69" spans="2:17" ht="12.75">
      <c r="B69" s="385"/>
      <c r="C69" s="382">
        <v>60</v>
      </c>
      <c r="D69" s="378">
        <v>39609</v>
      </c>
      <c r="E69" s="379" t="s">
        <v>141</v>
      </c>
      <c r="F69" s="380">
        <v>3222.9</v>
      </c>
      <c r="G69" s="381">
        <f t="shared" si="2"/>
        <v>0</v>
      </c>
      <c r="H69" s="389">
        <v>3222.9</v>
      </c>
      <c r="I69" s="392">
        <v>50</v>
      </c>
      <c r="J69" s="389">
        <v>53.72</v>
      </c>
      <c r="K69" s="393">
        <v>510.34</v>
      </c>
      <c r="L69" s="136">
        <f>N69-K69</f>
        <v>3.4108630136987017</v>
      </c>
      <c r="M69" s="136"/>
      <c r="N69" s="237">
        <f t="shared" si="10"/>
        <v>513.7508630136987</v>
      </c>
      <c r="O69" s="238">
        <v>60</v>
      </c>
      <c r="P69" s="238">
        <f t="shared" si="11"/>
        <v>9.564383561643835</v>
      </c>
      <c r="Q69" s="271">
        <f t="shared" si="12"/>
        <v>53.715</v>
      </c>
    </row>
    <row r="70" spans="2:17" ht="12.75">
      <c r="B70" s="385"/>
      <c r="C70" s="382">
        <v>61</v>
      </c>
      <c r="D70" s="378">
        <v>39609</v>
      </c>
      <c r="E70" s="379" t="s">
        <v>140</v>
      </c>
      <c r="F70" s="380">
        <v>740.98</v>
      </c>
      <c r="G70" s="381">
        <f t="shared" si="2"/>
        <v>0</v>
      </c>
      <c r="H70" s="389">
        <v>740.98</v>
      </c>
      <c r="I70" s="392">
        <v>50</v>
      </c>
      <c r="J70" s="389">
        <v>18.52</v>
      </c>
      <c r="K70" s="393">
        <v>175.94</v>
      </c>
      <c r="L70" s="136">
        <f t="shared" si="8"/>
        <v>1.2354232876712388</v>
      </c>
      <c r="M70" s="136"/>
      <c r="N70" s="237">
        <f t="shared" si="10"/>
        <v>177.17542328767124</v>
      </c>
      <c r="O70" s="238">
        <v>40</v>
      </c>
      <c r="P70" s="238">
        <f t="shared" si="11"/>
        <v>9.564383561643835</v>
      </c>
      <c r="Q70" s="271">
        <f t="shared" si="12"/>
        <v>18.5245</v>
      </c>
    </row>
    <row r="71" spans="2:17" ht="12.75">
      <c r="B71" s="384"/>
      <c r="C71" s="382">
        <v>62</v>
      </c>
      <c r="D71" s="378">
        <v>39675</v>
      </c>
      <c r="E71" s="379" t="s">
        <v>137</v>
      </c>
      <c r="F71" s="380">
        <v>7209.61</v>
      </c>
      <c r="G71" s="381">
        <f t="shared" si="2"/>
        <v>0</v>
      </c>
      <c r="H71" s="389">
        <v>7209.61</v>
      </c>
      <c r="I71" s="392">
        <v>50</v>
      </c>
      <c r="J71" s="389">
        <v>120.16</v>
      </c>
      <c r="K71" s="393">
        <v>1141.52</v>
      </c>
      <c r="L71" s="136">
        <f>N71-K71</f>
        <v>-13.989668949771612</v>
      </c>
      <c r="M71" s="136"/>
      <c r="N71" s="237">
        <f t="shared" si="10"/>
        <v>1127.5303310502284</v>
      </c>
      <c r="O71" s="238">
        <v>60</v>
      </c>
      <c r="P71" s="238">
        <f t="shared" si="11"/>
        <v>9.383561643835616</v>
      </c>
      <c r="Q71" s="271">
        <f t="shared" si="12"/>
        <v>120.16016666666665</v>
      </c>
    </row>
    <row r="72" spans="2:17" ht="12.75">
      <c r="B72" s="384"/>
      <c r="C72" s="382">
        <v>63</v>
      </c>
      <c r="D72" s="378">
        <v>39488</v>
      </c>
      <c r="E72" s="379" t="s">
        <v>138</v>
      </c>
      <c r="F72" s="380">
        <v>464</v>
      </c>
      <c r="G72" s="381">
        <f t="shared" si="2"/>
        <v>0</v>
      </c>
      <c r="H72" s="389">
        <v>464</v>
      </c>
      <c r="I72" s="392">
        <v>50</v>
      </c>
      <c r="J72" s="389">
        <v>13.26</v>
      </c>
      <c r="K72" s="393">
        <v>125.97</v>
      </c>
      <c r="L72" s="136">
        <f t="shared" si="8"/>
        <v>5.2212328767123495</v>
      </c>
      <c r="M72" s="136"/>
      <c r="N72" s="237">
        <f t="shared" si="10"/>
        <v>131.19123287671235</v>
      </c>
      <c r="O72" s="238">
        <v>35</v>
      </c>
      <c r="P72" s="238">
        <f t="shared" si="11"/>
        <v>9.895890410958904</v>
      </c>
      <c r="Q72" s="271">
        <f t="shared" si="12"/>
        <v>13.257142857142858</v>
      </c>
    </row>
    <row r="73" spans="2:17" ht="12.75">
      <c r="B73" s="385"/>
      <c r="C73" s="382">
        <v>64</v>
      </c>
      <c r="D73" s="378">
        <v>39588</v>
      </c>
      <c r="E73" s="379" t="s">
        <v>139</v>
      </c>
      <c r="F73" s="380">
        <v>123</v>
      </c>
      <c r="G73" s="381">
        <f t="shared" si="2"/>
        <v>0</v>
      </c>
      <c r="H73" s="389">
        <v>123</v>
      </c>
      <c r="I73" s="392">
        <v>50</v>
      </c>
      <c r="J73" s="389">
        <v>3.51</v>
      </c>
      <c r="K73" s="393">
        <v>33.35</v>
      </c>
      <c r="L73" s="136">
        <f t="shared" si="8"/>
        <v>0.46416829745597</v>
      </c>
      <c r="M73" s="136"/>
      <c r="N73" s="237">
        <f t="shared" si="10"/>
        <v>33.81416829745597</v>
      </c>
      <c r="O73" s="238">
        <v>35</v>
      </c>
      <c r="P73" s="238">
        <f t="shared" si="11"/>
        <v>9.621917808219179</v>
      </c>
      <c r="Q73" s="271">
        <f t="shared" si="12"/>
        <v>3.5142857142857142</v>
      </c>
    </row>
    <row r="74" spans="2:17" ht="12.75">
      <c r="B74" s="384"/>
      <c r="C74" s="382">
        <v>65</v>
      </c>
      <c r="D74" s="378">
        <v>40225</v>
      </c>
      <c r="E74" s="379" t="s">
        <v>144</v>
      </c>
      <c r="F74" s="380">
        <v>525</v>
      </c>
      <c r="G74" s="381">
        <f t="shared" si="2"/>
        <v>0</v>
      </c>
      <c r="H74" s="389">
        <v>525</v>
      </c>
      <c r="I74" s="392">
        <v>50</v>
      </c>
      <c r="J74" s="389">
        <v>10.5</v>
      </c>
      <c r="K74" s="393">
        <v>78.75</v>
      </c>
      <c r="L74" s="136">
        <f>N74-K74</f>
        <v>39.400684931506845</v>
      </c>
      <c r="M74" s="136"/>
      <c r="N74" s="237">
        <f>IF((($F$9)-D74)&gt;O74*365,H74,(H74/(O74*365)*(($F$9)-D74)))</f>
        <v>118.15068493150685</v>
      </c>
      <c r="O74" s="238">
        <v>35</v>
      </c>
      <c r="P74" s="238">
        <f>IF((($F$9)-D74)&gt;=O74*365,0,(($F$9)-D74))/365</f>
        <v>7.876712328767123</v>
      </c>
      <c r="Q74" s="271">
        <f>IF((O74-P74)&lt;1,(H74-N74),(IF(P74=0,(0),(H74/O74))))</f>
        <v>15</v>
      </c>
    </row>
    <row r="75" spans="2:17" ht="12.75">
      <c r="B75" s="384"/>
      <c r="C75" s="382">
        <v>66</v>
      </c>
      <c r="D75" s="378">
        <v>41255</v>
      </c>
      <c r="E75" s="379" t="s">
        <v>145</v>
      </c>
      <c r="F75" s="380">
        <v>1120.72</v>
      </c>
      <c r="G75" s="381">
        <f t="shared" si="2"/>
        <v>0</v>
      </c>
      <c r="H75" s="389">
        <v>1120.72</v>
      </c>
      <c r="I75" s="392">
        <v>50</v>
      </c>
      <c r="J75" s="389">
        <v>22.41</v>
      </c>
      <c r="K75" s="393">
        <v>123.26</v>
      </c>
      <c r="L75" s="136">
        <f>N75-K75</f>
        <v>-9.959813698630128</v>
      </c>
      <c r="M75" s="136"/>
      <c r="N75" s="237">
        <f>IF((($F$9)-D75)&gt;O75*365,H75,(H75/(O75*365)*(($F$9)-D75)))</f>
        <v>113.30018630136988</v>
      </c>
      <c r="O75" s="238">
        <v>50</v>
      </c>
      <c r="P75" s="238">
        <f>IF((($F$9)-D75)&gt;=O75*365,0,(($F$9)-D75))/365</f>
        <v>5.054794520547945</v>
      </c>
      <c r="Q75" s="271">
        <f>IF((O75-P75)&lt;1,(H75-N75),(IF(P75=0,(0),(H75/O75))))</f>
        <v>22.4144</v>
      </c>
    </row>
    <row r="76" spans="2:17" ht="12.75">
      <c r="B76" s="384"/>
      <c r="C76" s="382">
        <v>67</v>
      </c>
      <c r="D76" s="378">
        <v>41862</v>
      </c>
      <c r="E76" s="379" t="s">
        <v>146</v>
      </c>
      <c r="F76" s="380">
        <v>371.6</v>
      </c>
      <c r="G76" s="381">
        <f t="shared" si="2"/>
        <v>0</v>
      </c>
      <c r="H76" s="389">
        <v>371.6</v>
      </c>
      <c r="I76" s="392">
        <v>50</v>
      </c>
      <c r="J76" s="389">
        <v>37.16</v>
      </c>
      <c r="K76" s="393">
        <v>130.06</v>
      </c>
      <c r="L76" s="136">
        <f>N76-K76</f>
        <v>-4.02142465753424</v>
      </c>
      <c r="M76" s="136"/>
      <c r="N76" s="237">
        <f>IF((($F$9)-D76)&gt;O76*365,H76,(H76/(O76*365)*(($F$9)-D76)))</f>
        <v>126.03857534246576</v>
      </c>
      <c r="O76" s="238">
        <v>10</v>
      </c>
      <c r="P76" s="238">
        <f>IF((($F$9)-D76)&gt;=O76*365,0,(($F$9)-D76))/365</f>
        <v>3.3917808219178083</v>
      </c>
      <c r="Q76" s="271">
        <f>IF((O76-P76)&lt;1,(H76-N76),(IF(P76=0,(0),(H76/O76))))</f>
        <v>37.160000000000004</v>
      </c>
    </row>
    <row r="77" spans="2:17" ht="13.5" thickBot="1">
      <c r="B77" s="385"/>
      <c r="C77" s="382">
        <v>68</v>
      </c>
      <c r="D77" s="378">
        <v>42433</v>
      </c>
      <c r="E77" s="379" t="s">
        <v>147</v>
      </c>
      <c r="F77" s="380">
        <v>232.58</v>
      </c>
      <c r="G77" s="381">
        <f t="shared" si="2"/>
        <v>0</v>
      </c>
      <c r="H77" s="389">
        <v>232.58</v>
      </c>
      <c r="I77" s="392">
        <v>50</v>
      </c>
      <c r="J77" s="389">
        <v>4.65</v>
      </c>
      <c r="K77" s="393">
        <v>6.98</v>
      </c>
      <c r="L77" s="136">
        <f>N77-K77</f>
        <v>5.163315851272017</v>
      </c>
      <c r="M77" s="136"/>
      <c r="N77" s="237">
        <f>IF((($F$9)-D77)&gt;O77*365,H77,(H77/(O77*365)*(($F$9)-D77)))</f>
        <v>12.143315851272018</v>
      </c>
      <c r="O77" s="238">
        <v>35</v>
      </c>
      <c r="P77" s="238">
        <f>IF((($F$9)-D77)&gt;=O77*365,0,(($F$9)-D77))/365</f>
        <v>1.8273972602739725</v>
      </c>
      <c r="Q77" s="271">
        <f>IF((O77-P77)&lt;1,(H77-N77),(IF(P77=0,(0),(H77/O77))))</f>
        <v>6.645142857142858</v>
      </c>
    </row>
    <row r="78" spans="2:17" s="71" customFormat="1" ht="11.25" thickBot="1" thickTop="1">
      <c r="B78" s="116" t="s">
        <v>23</v>
      </c>
      <c r="C78" s="140"/>
      <c r="D78" s="140"/>
      <c r="E78" s="144" t="s">
        <v>67</v>
      </c>
      <c r="F78" s="157">
        <f>SUM(F21:F77)</f>
        <v>127074.53000000001</v>
      </c>
      <c r="G78" s="142">
        <f>SUM(G21:G77)</f>
        <v>-2135.33</v>
      </c>
      <c r="H78" s="157">
        <f>SUM(H21:H77)</f>
        <v>124939.2</v>
      </c>
      <c r="I78" s="140"/>
      <c r="J78" s="157">
        <f>SUM(J21:J77)</f>
        <v>2015.9046000000005</v>
      </c>
      <c r="K78" s="157">
        <f>SUM(K21:K77)</f>
        <v>66707.04</v>
      </c>
      <c r="L78" s="143">
        <f>SUM(L21:L77)</f>
        <v>-10742.806168538815</v>
      </c>
      <c r="M78" s="143"/>
      <c r="N78" s="143">
        <f>SUM(N21:N77)</f>
        <v>55964.23383146117</v>
      </c>
      <c r="O78" s="141" t="s">
        <v>23</v>
      </c>
      <c r="P78" s="192" t="s">
        <v>23</v>
      </c>
      <c r="Q78" s="195">
        <f>SUM(Q21:Q77)</f>
        <v>2344.0872503696446</v>
      </c>
    </row>
    <row r="79" spans="2:17" s="71" customFormat="1" ht="10.5" thickBot="1">
      <c r="B79" s="96"/>
      <c r="C79" s="96"/>
      <c r="D79" s="96"/>
      <c r="E79" s="205"/>
      <c r="F79" s="159"/>
      <c r="G79" s="206"/>
      <c r="H79" s="159"/>
      <c r="I79" s="96"/>
      <c r="J79" s="159"/>
      <c r="K79" s="159"/>
      <c r="L79" s="207"/>
      <c r="M79" s="207"/>
      <c r="N79" s="207"/>
      <c r="O79" s="207"/>
      <c r="P79" s="99"/>
      <c r="Q79" s="159"/>
    </row>
    <row r="80" spans="2:17" ht="12.75">
      <c r="B80" s="95"/>
      <c r="C80" s="80" t="s">
        <v>69</v>
      </c>
      <c r="D80" s="80"/>
      <c r="E80" s="80"/>
      <c r="F80" s="160"/>
      <c r="G80" s="208"/>
      <c r="H80" s="160"/>
      <c r="I80" s="80"/>
      <c r="J80" s="184"/>
      <c r="K80" s="160"/>
      <c r="L80" s="108"/>
      <c r="M80" s="108"/>
      <c r="N80" s="108"/>
      <c r="O80" s="80"/>
      <c r="P80" s="109"/>
      <c r="Q80" s="168"/>
    </row>
    <row r="81" spans="2:17" ht="13.5" thickBot="1">
      <c r="B81" s="209" t="s">
        <v>23</v>
      </c>
      <c r="C81" s="210"/>
      <c r="D81" s="211">
        <v>0</v>
      </c>
      <c r="E81" s="211" t="s">
        <v>68</v>
      </c>
      <c r="F81" s="212">
        <v>0</v>
      </c>
      <c r="G81" s="213">
        <f>H81-F81</f>
        <v>0</v>
      </c>
      <c r="H81" s="212">
        <v>0</v>
      </c>
      <c r="I81" s="214">
        <v>0</v>
      </c>
      <c r="J81" s="215">
        <v>0</v>
      </c>
      <c r="K81" s="212">
        <v>0</v>
      </c>
      <c r="L81" s="216">
        <f>N81-K81</f>
        <v>0</v>
      </c>
      <c r="M81" s="216"/>
      <c r="N81" s="216">
        <f>IF((($F$9+0.5)-D81)&gt;O81,H81,(H81/O81)*(($F$9+0.5)-D81))</f>
        <v>0</v>
      </c>
      <c r="O81" s="214">
        <v>0</v>
      </c>
      <c r="P81" s="217">
        <f>IF((($F$9+0.5)-D81)&gt;=O81,0,O81-(($F$9+0.5)-D81))</f>
        <v>0</v>
      </c>
      <c r="Q81" s="218">
        <f>IF(P81&lt;1,(H81-N81),(H81-N81)/P81)</f>
        <v>0</v>
      </c>
    </row>
    <row r="82" spans="2:17" ht="15.75" customHeight="1" thickBot="1">
      <c r="B82" s="106"/>
      <c r="C82" s="101"/>
      <c r="D82" s="96"/>
      <c r="E82" s="96"/>
      <c r="F82" s="159"/>
      <c r="G82" s="98"/>
      <c r="H82" s="159"/>
      <c r="I82" s="99"/>
      <c r="J82" s="183"/>
      <c r="K82" s="159"/>
      <c r="L82" s="97"/>
      <c r="M82" s="97"/>
      <c r="N82" s="97"/>
      <c r="O82" s="99"/>
      <c r="P82" s="100"/>
      <c r="Q82" s="159"/>
    </row>
    <row r="83" spans="2:17" ht="13.5" thickBot="1">
      <c r="B83" s="219">
        <v>12</v>
      </c>
      <c r="C83" s="220" t="s">
        <v>24</v>
      </c>
      <c r="D83" s="221"/>
      <c r="E83" s="221" t="s">
        <v>68</v>
      </c>
      <c r="F83" s="222"/>
      <c r="G83" s="223"/>
      <c r="H83" s="222"/>
      <c r="I83" s="224"/>
      <c r="J83" s="225"/>
      <c r="K83" s="222"/>
      <c r="L83" s="226"/>
      <c r="M83" s="226"/>
      <c r="N83" s="226"/>
      <c r="O83" s="224"/>
      <c r="P83" s="227"/>
      <c r="Q83" s="228"/>
    </row>
    <row r="84" spans="2:17" ht="13.5" thickBot="1">
      <c r="B84" s="106"/>
      <c r="C84" s="107"/>
      <c r="D84" s="96"/>
      <c r="E84" s="96"/>
      <c r="F84" s="159"/>
      <c r="G84" s="98"/>
      <c r="H84" s="159"/>
      <c r="I84" s="99"/>
      <c r="J84" s="183"/>
      <c r="K84" s="159"/>
      <c r="L84" s="97"/>
      <c r="M84" s="97"/>
      <c r="N84" s="97"/>
      <c r="O84" s="99"/>
      <c r="P84" s="100"/>
      <c r="Q84" s="159"/>
    </row>
    <row r="85" spans="2:17" ht="12.75">
      <c r="B85" s="95"/>
      <c r="C85" s="80" t="s">
        <v>25</v>
      </c>
      <c r="D85" s="80"/>
      <c r="E85" s="80"/>
      <c r="F85" s="160"/>
      <c r="G85" s="108"/>
      <c r="H85" s="160"/>
      <c r="I85" s="80"/>
      <c r="J85" s="184"/>
      <c r="K85" s="160"/>
      <c r="L85" s="108"/>
      <c r="M85" s="108"/>
      <c r="N85" s="108"/>
      <c r="O85" s="80"/>
      <c r="P85" s="109"/>
      <c r="Q85" s="168"/>
    </row>
    <row r="86" spans="2:17" ht="12.75">
      <c r="B86" s="110"/>
      <c r="C86" s="102" t="s">
        <v>26</v>
      </c>
      <c r="D86" s="102"/>
      <c r="E86" s="102"/>
      <c r="F86" s="158">
        <f>F78</f>
        <v>127074.53000000001</v>
      </c>
      <c r="G86" s="104">
        <f>G78</f>
        <v>-2135.33</v>
      </c>
      <c r="H86" s="158">
        <f>H78</f>
        <v>124939.2</v>
      </c>
      <c r="I86" s="102"/>
      <c r="J86" s="182"/>
      <c r="K86" s="158"/>
      <c r="L86" s="103"/>
      <c r="M86" s="103"/>
      <c r="N86" s="103"/>
      <c r="O86" s="102"/>
      <c r="P86" s="105"/>
      <c r="Q86" s="196"/>
    </row>
    <row r="87" spans="2:17" ht="12.75">
      <c r="B87" s="110"/>
      <c r="C87" s="102" t="s">
        <v>27</v>
      </c>
      <c r="D87" s="102"/>
      <c r="E87" s="102"/>
      <c r="F87" s="158">
        <f>F18</f>
        <v>3210.79</v>
      </c>
      <c r="G87" s="111">
        <f>H87-F87</f>
        <v>0</v>
      </c>
      <c r="H87" s="158">
        <f>H18</f>
        <v>3210.79</v>
      </c>
      <c r="I87" s="102"/>
      <c r="J87" s="185"/>
      <c r="K87" s="158"/>
      <c r="L87" s="103"/>
      <c r="M87" s="103"/>
      <c r="N87" s="103"/>
      <c r="O87" s="102"/>
      <c r="P87" s="105"/>
      <c r="Q87" s="196"/>
    </row>
    <row r="88" spans="2:17" ht="12.75">
      <c r="B88" s="110"/>
      <c r="C88" s="102" t="s">
        <v>28</v>
      </c>
      <c r="D88" s="102"/>
      <c r="E88" s="102"/>
      <c r="F88" s="158">
        <v>0</v>
      </c>
      <c r="G88" s="98">
        <f>H88-F88</f>
        <v>0</v>
      </c>
      <c r="H88" s="158">
        <v>0</v>
      </c>
      <c r="I88" s="102"/>
      <c r="J88" s="182"/>
      <c r="K88" s="158"/>
      <c r="L88" s="103"/>
      <c r="M88" s="103"/>
      <c r="N88" s="103"/>
      <c r="O88" s="102"/>
      <c r="P88" s="105"/>
      <c r="Q88" s="196"/>
    </row>
    <row r="89" spans="2:17" ht="12.75">
      <c r="B89" s="110"/>
      <c r="C89" s="102" t="s">
        <v>29</v>
      </c>
      <c r="D89" s="102"/>
      <c r="E89" s="102"/>
      <c r="F89" s="161">
        <f>F81</f>
        <v>0</v>
      </c>
      <c r="G89" s="98">
        <f>H89-F89</f>
        <v>0</v>
      </c>
      <c r="H89" s="161">
        <f>H81</f>
        <v>0</v>
      </c>
      <c r="I89" s="102"/>
      <c r="J89" s="182"/>
      <c r="K89" s="158"/>
      <c r="L89" s="103"/>
      <c r="M89" s="103"/>
      <c r="N89" s="103"/>
      <c r="O89" s="102"/>
      <c r="P89" s="105"/>
      <c r="Q89" s="196"/>
    </row>
    <row r="90" spans="2:17" ht="12.75">
      <c r="B90" s="110"/>
      <c r="C90" s="102"/>
      <c r="D90" s="102"/>
      <c r="E90" s="102"/>
      <c r="F90" s="158"/>
      <c r="G90" s="111"/>
      <c r="H90" s="158"/>
      <c r="I90" s="102"/>
      <c r="J90" s="182"/>
      <c r="K90" s="158"/>
      <c r="L90" s="103"/>
      <c r="M90" s="103"/>
      <c r="N90" s="103"/>
      <c r="O90" s="102"/>
      <c r="P90" s="105"/>
      <c r="Q90" s="196"/>
    </row>
    <row r="91" spans="2:17" ht="13.5" thickBot="1">
      <c r="B91" s="197"/>
      <c r="C91" s="198" t="s">
        <v>30</v>
      </c>
      <c r="D91" s="198"/>
      <c r="E91" s="198"/>
      <c r="F91" s="199">
        <f>F86+F87+F88+F89</f>
        <v>130285.32</v>
      </c>
      <c r="G91" s="200">
        <f>G86+G87+G88+G89</f>
        <v>-2135.33</v>
      </c>
      <c r="H91" s="199">
        <f>H86+H87+H88+H89</f>
        <v>128149.98999999999</v>
      </c>
      <c r="I91" s="198"/>
      <c r="J91" s="201"/>
      <c r="K91" s="199"/>
      <c r="L91" s="202"/>
      <c r="M91" s="202"/>
      <c r="N91" s="202"/>
      <c r="O91" s="198"/>
      <c r="P91" s="203"/>
      <c r="Q91" s="204"/>
    </row>
    <row r="92" spans="2:17" ht="12.75">
      <c r="B92" s="70"/>
      <c r="C92" s="112"/>
      <c r="D92" s="112"/>
      <c r="E92" s="112"/>
      <c r="F92" s="162"/>
      <c r="G92" s="113"/>
      <c r="H92" s="162"/>
      <c r="I92" s="112"/>
      <c r="J92" s="186"/>
      <c r="K92" s="162"/>
      <c r="L92" s="112"/>
      <c r="M92" s="112"/>
      <c r="N92" s="112"/>
      <c r="O92" s="112"/>
      <c r="P92" s="193"/>
      <c r="Q92" s="162"/>
    </row>
    <row r="93" spans="2:17" ht="12.75">
      <c r="B93" s="74"/>
      <c r="C93" s="74"/>
      <c r="D93" s="74"/>
      <c r="E93" s="74"/>
      <c r="F93" s="163"/>
      <c r="G93" s="74"/>
      <c r="H93" s="163"/>
      <c r="I93" s="74"/>
      <c r="J93" s="187"/>
      <c r="K93" s="163"/>
      <c r="L93" s="74"/>
      <c r="M93" s="74"/>
      <c r="N93" s="74"/>
      <c r="O93" s="74"/>
      <c r="P93" s="191"/>
      <c r="Q93" s="163"/>
    </row>
    <row r="94" spans="2:17" ht="12.75">
      <c r="B94" s="74"/>
      <c r="C94" s="74"/>
      <c r="D94" s="74"/>
      <c r="E94" s="74"/>
      <c r="F94" s="163"/>
      <c r="G94" s="74"/>
      <c r="H94" s="163"/>
      <c r="I94" s="74"/>
      <c r="J94" s="187"/>
      <c r="K94" s="163"/>
      <c r="L94" s="74"/>
      <c r="M94" s="74"/>
      <c r="N94" s="74"/>
      <c r="O94" s="74"/>
      <c r="P94" s="191"/>
      <c r="Q94" s="163"/>
    </row>
    <row r="95" spans="2:17" ht="12.75">
      <c r="B95" s="74"/>
      <c r="C95" s="74"/>
      <c r="D95" s="74"/>
      <c r="E95" s="74"/>
      <c r="F95" s="163"/>
      <c r="G95" s="74"/>
      <c r="H95" s="163"/>
      <c r="I95" s="74"/>
      <c r="J95" s="187"/>
      <c r="K95" s="163"/>
      <c r="L95" s="74"/>
      <c r="M95" s="74"/>
      <c r="N95" s="74"/>
      <c r="O95" s="74"/>
      <c r="P95" s="191"/>
      <c r="Q95" s="163"/>
    </row>
    <row r="96" spans="2:17" ht="12.75">
      <c r="B96" s="74"/>
      <c r="C96" s="74"/>
      <c r="D96" s="74"/>
      <c r="E96" s="74"/>
      <c r="F96" s="163"/>
      <c r="G96" s="74"/>
      <c r="H96" s="163"/>
      <c r="I96" s="74"/>
      <c r="J96" s="187"/>
      <c r="K96" s="163"/>
      <c r="L96" s="74"/>
      <c r="M96" s="74"/>
      <c r="N96" s="74"/>
      <c r="O96" s="74"/>
      <c r="P96" s="191"/>
      <c r="Q96" s="163"/>
    </row>
    <row r="97" spans="2:17" ht="12.75">
      <c r="B97" s="74"/>
      <c r="C97" s="74"/>
      <c r="D97" s="74"/>
      <c r="E97" s="74"/>
      <c r="F97" s="163"/>
      <c r="G97" s="74"/>
      <c r="H97" s="163"/>
      <c r="I97" s="74"/>
      <c r="J97" s="187"/>
      <c r="K97" s="163"/>
      <c r="L97" s="74"/>
      <c r="M97" s="74"/>
      <c r="N97" s="74"/>
      <c r="O97" s="74"/>
      <c r="P97" s="191"/>
      <c r="Q97" s="163"/>
    </row>
    <row r="99" ht="12.75">
      <c r="G99" t="s">
        <v>23</v>
      </c>
    </row>
  </sheetData>
  <sheetProtection/>
  <printOptions headings="1" horizontalCentered="1"/>
  <pageMargins left="0.25" right="0.25" top="1" bottom="1" header="0.5" footer="0.5"/>
  <pageSetup cellComments="atEnd" horizontalDpi="300" verticalDpi="300" orientation="landscape" scale="85" r:id="rId3"/>
  <headerFooter alignWithMargins="0">
    <oddHeader>&amp;LR-2018-3001506&amp;CADJUSTED DEPRECIATION SCHEDULE&amp;RAttachment-2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showGridLines="0" zoomScalePageLayoutView="0" workbookViewId="0" topLeftCell="A1">
      <selection activeCell="G16" sqref="G16"/>
    </sheetView>
  </sheetViews>
  <sheetFormatPr defaultColWidth="9.140625" defaultRowHeight="12.75"/>
  <cols>
    <col min="1" max="1" width="27.7109375" style="0" customWidth="1"/>
    <col min="2" max="2" width="3.7109375" style="0" customWidth="1"/>
    <col min="4" max="4" width="3.7109375" style="0" customWidth="1"/>
    <col min="5" max="5" width="10.57421875" style="0" customWidth="1"/>
    <col min="6" max="6" width="3.7109375" style="0" customWidth="1"/>
    <col min="8" max="8" width="3.7109375" style="0" customWidth="1"/>
  </cols>
  <sheetData>
    <row r="1" spans="1:8" ht="13.5">
      <c r="A1" s="58" t="s">
        <v>31</v>
      </c>
      <c r="B1" s="59"/>
      <c r="C1" s="59"/>
      <c r="D1" s="60"/>
      <c r="E1" s="60"/>
      <c r="F1" s="60"/>
      <c r="G1" s="60"/>
      <c r="H1" s="59"/>
    </row>
    <row r="2" spans="1:8" ht="13.5">
      <c r="A2" s="50" t="str">
        <f>DEPSCH!B9</f>
        <v>FOR HISTORIC TEST YEAR END: DEC 31, 2017</v>
      </c>
      <c r="B2" s="19"/>
      <c r="C2" s="19"/>
      <c r="D2" s="19"/>
      <c r="E2" s="51"/>
      <c r="F2" s="19"/>
      <c r="G2" s="19"/>
      <c r="H2" s="35"/>
    </row>
    <row r="3" spans="1:8" ht="13.5">
      <c r="A3" s="18"/>
      <c r="B3" s="19"/>
      <c r="C3" s="20" t="s">
        <v>2</v>
      </c>
      <c r="D3" s="19"/>
      <c r="E3" s="21" t="s">
        <v>32</v>
      </c>
      <c r="F3" s="19"/>
      <c r="G3" s="22" t="s">
        <v>3</v>
      </c>
      <c r="H3" s="23"/>
    </row>
    <row r="4" spans="1:8" ht="13.5">
      <c r="A4" s="18"/>
      <c r="B4" s="19"/>
      <c r="C4" s="20" t="s">
        <v>33</v>
      </c>
      <c r="D4" s="19"/>
      <c r="E4" s="21" t="s">
        <v>33</v>
      </c>
      <c r="F4" s="19"/>
      <c r="G4" s="20" t="s">
        <v>33</v>
      </c>
      <c r="H4" s="23"/>
    </row>
    <row r="5" spans="1:8" ht="3" customHeight="1" thickBot="1">
      <c r="A5" s="24"/>
      <c r="B5" s="25"/>
      <c r="C5" s="16"/>
      <c r="D5" s="19"/>
      <c r="E5" s="17"/>
      <c r="F5" s="19"/>
      <c r="G5" s="16"/>
      <c r="H5" s="23"/>
    </row>
    <row r="6" spans="1:8" ht="13.5">
      <c r="A6" s="26" t="s">
        <v>34</v>
      </c>
      <c r="B6" s="27"/>
      <c r="C6" s="55">
        <f>DEPSCH!F78</f>
        <v>127074.53000000001</v>
      </c>
      <c r="D6" s="53"/>
      <c r="E6" s="55">
        <f>DEPSCH!G78</f>
        <v>-2135.33</v>
      </c>
      <c r="F6" s="53"/>
      <c r="G6" s="55">
        <f>DEPSCH!H78</f>
        <v>124939.2</v>
      </c>
      <c r="H6" s="23"/>
    </row>
    <row r="7" spans="1:8" ht="13.5">
      <c r="A7" s="28" t="s">
        <v>35</v>
      </c>
      <c r="B7" s="29"/>
      <c r="C7" s="55">
        <f>DEPSCH!K78+DEPSCH!K18</f>
        <v>66707.04</v>
      </c>
      <c r="D7" s="53"/>
      <c r="E7" s="55">
        <f>G7-C7</f>
        <v>-10742.806168538824</v>
      </c>
      <c r="F7" s="53"/>
      <c r="G7" s="62">
        <f>DEPSCH!N78+DEPSCH!N18</f>
        <v>55964.23383146117</v>
      </c>
      <c r="H7" s="23"/>
    </row>
    <row r="8" spans="1:8" ht="3" customHeight="1" thickBot="1">
      <c r="A8" s="28"/>
      <c r="B8" s="29"/>
      <c r="C8" s="54"/>
      <c r="D8" s="53"/>
      <c r="E8" s="54"/>
      <c r="F8" s="53"/>
      <c r="G8" s="54"/>
      <c r="H8" s="23"/>
    </row>
    <row r="9" spans="1:8" ht="14.25" thickTop="1">
      <c r="A9" s="30" t="s">
        <v>36</v>
      </c>
      <c r="B9" s="31"/>
      <c r="C9" s="63">
        <f>C6-C7</f>
        <v>60367.49000000002</v>
      </c>
      <c r="D9" s="53"/>
      <c r="E9" s="63">
        <f>E6-E7</f>
        <v>8607.476168538824</v>
      </c>
      <c r="F9" s="53"/>
      <c r="G9" s="63">
        <f>G6-G7</f>
        <v>68974.96616853883</v>
      </c>
      <c r="H9" s="32"/>
    </row>
    <row r="10" spans="1:8" ht="14.25" thickBot="1">
      <c r="A10" s="28" t="s">
        <v>37</v>
      </c>
      <c r="B10" s="29"/>
      <c r="C10" s="64">
        <f>DEPSCH!F18</f>
        <v>3210.79</v>
      </c>
      <c r="D10" s="53"/>
      <c r="E10" s="64">
        <f>DEPSCH!G18</f>
        <v>0</v>
      </c>
      <c r="F10" s="53"/>
      <c r="G10" s="64">
        <f>DEPSCH!H18</f>
        <v>3210.79</v>
      </c>
      <c r="H10" s="23"/>
    </row>
    <row r="11" spans="1:8" ht="3" customHeight="1" thickBot="1">
      <c r="A11" s="28"/>
      <c r="B11" s="29"/>
      <c r="C11" s="54"/>
      <c r="D11" s="53"/>
      <c r="E11" s="54"/>
      <c r="F11" s="53"/>
      <c r="G11" s="54"/>
      <c r="H11" s="23"/>
    </row>
    <row r="12" spans="1:8" ht="14.25" thickTop="1">
      <c r="A12" s="33" t="s">
        <v>30</v>
      </c>
      <c r="B12" s="34"/>
      <c r="C12" s="63">
        <f>C9+C10</f>
        <v>63578.28000000002</v>
      </c>
      <c r="D12" s="53"/>
      <c r="E12" s="63">
        <f>E9+E10</f>
        <v>8607.476168538824</v>
      </c>
      <c r="F12" s="53"/>
      <c r="G12" s="63">
        <f>G9+G10</f>
        <v>72185.75616853882</v>
      </c>
      <c r="H12" s="23"/>
    </row>
    <row r="13" spans="1:8" ht="13.5">
      <c r="A13" s="61" t="s">
        <v>38</v>
      </c>
      <c r="B13" s="31"/>
      <c r="C13" s="52"/>
      <c r="D13" s="53"/>
      <c r="E13" s="52"/>
      <c r="F13" s="53"/>
      <c r="G13" s="52"/>
      <c r="H13" s="23"/>
    </row>
    <row r="14" spans="1:8" ht="13.5">
      <c r="A14" s="26" t="s">
        <v>39</v>
      </c>
      <c r="B14" s="27"/>
      <c r="C14" s="55">
        <v>0</v>
      </c>
      <c r="D14" s="52"/>
      <c r="E14" s="55">
        <f>SUM(G14-C14)</f>
        <v>0</v>
      </c>
      <c r="F14" s="52"/>
      <c r="G14" s="55">
        <v>0</v>
      </c>
      <c r="H14" s="23"/>
    </row>
    <row r="15" spans="1:8" ht="13.5">
      <c r="A15" s="28" t="s">
        <v>40</v>
      </c>
      <c r="B15" s="29"/>
      <c r="C15" s="63">
        <v>0</v>
      </c>
      <c r="D15" s="52"/>
      <c r="E15" s="55">
        <f>-(SUM(C15-G15))</f>
        <v>3838</v>
      </c>
      <c r="F15" s="52"/>
      <c r="G15" s="52">
        <v>3838</v>
      </c>
      <c r="H15" s="23"/>
    </row>
    <row r="16" spans="1:8" ht="13.5">
      <c r="A16" s="28" t="s">
        <v>41</v>
      </c>
      <c r="B16" s="29"/>
      <c r="C16" s="63">
        <v>0</v>
      </c>
      <c r="D16" s="52"/>
      <c r="E16" s="55">
        <f>SUM(G16-C16)</f>
        <v>689.7496616853883</v>
      </c>
      <c r="F16" s="52"/>
      <c r="G16" s="52">
        <f>G9*0.01</f>
        <v>689.7496616853883</v>
      </c>
      <c r="H16" s="23"/>
    </row>
    <row r="17" spans="1:8" ht="3" customHeight="1" thickBot="1">
      <c r="A17" s="28"/>
      <c r="B17" s="29"/>
      <c r="C17" s="54"/>
      <c r="D17" s="53"/>
      <c r="E17" s="54"/>
      <c r="F17" s="53"/>
      <c r="G17" s="54"/>
      <c r="H17" s="36"/>
    </row>
    <row r="18" spans="1:8" ht="14.25" thickTop="1">
      <c r="A18" s="33" t="s">
        <v>42</v>
      </c>
      <c r="B18" s="34"/>
      <c r="C18" s="63">
        <f>C12+C14+C15+C16</f>
        <v>63578.28000000002</v>
      </c>
      <c r="D18" s="63"/>
      <c r="E18" s="63">
        <f>E12+E14+E15+E16</f>
        <v>13135.225830224212</v>
      </c>
      <c r="F18" s="63"/>
      <c r="G18" s="63">
        <f>G12+G14+G15+G16</f>
        <v>76713.50583022421</v>
      </c>
      <c r="H18" s="23"/>
    </row>
    <row r="19" spans="1:8" ht="13.5">
      <c r="A19" s="37"/>
      <c r="B19" s="38"/>
      <c r="C19" s="65" t="s">
        <v>43</v>
      </c>
      <c r="D19" s="66"/>
      <c r="E19" s="65" t="s">
        <v>43</v>
      </c>
      <c r="F19" s="66"/>
      <c r="G19" s="65" t="s">
        <v>43</v>
      </c>
      <c r="H19" s="40"/>
    </row>
    <row r="20" spans="1:19" ht="13.5">
      <c r="A20" s="41" t="s">
        <v>44</v>
      </c>
      <c r="B20" s="42"/>
      <c r="C20" s="67" t="s">
        <v>33</v>
      </c>
      <c r="D20" s="68"/>
      <c r="E20" s="69"/>
      <c r="F20" s="68"/>
      <c r="G20" s="69"/>
      <c r="H20" s="43"/>
      <c r="O20" s="6" t="s">
        <v>45</v>
      </c>
      <c r="P20" s="3"/>
      <c r="Q20" s="2"/>
      <c r="R20" s="3"/>
      <c r="S20" s="2"/>
    </row>
    <row r="21" spans="1:19" ht="13.5">
      <c r="A21" s="26" t="s">
        <v>46</v>
      </c>
      <c r="B21" s="44"/>
      <c r="C21" s="55">
        <f>DEPSCH!Q78</f>
        <v>2344.0872503696446</v>
      </c>
      <c r="D21" s="53"/>
      <c r="E21" s="52"/>
      <c r="F21" s="53"/>
      <c r="G21" s="52"/>
      <c r="H21" s="23"/>
      <c r="O21" s="6" t="s">
        <v>47</v>
      </c>
      <c r="P21" s="3"/>
      <c r="Q21" s="2"/>
      <c r="R21" s="3"/>
      <c r="S21" s="2"/>
    </row>
    <row r="22" spans="1:19" ht="13.5">
      <c r="A22" s="28" t="s">
        <v>48</v>
      </c>
      <c r="B22" s="44"/>
      <c r="C22" s="55">
        <v>0</v>
      </c>
      <c r="D22" s="53"/>
      <c r="E22" s="52"/>
      <c r="F22" s="53"/>
      <c r="G22" s="52"/>
      <c r="H22" s="23"/>
      <c r="O22" s="3"/>
      <c r="P22" s="3"/>
      <c r="Q22" s="2"/>
      <c r="R22" s="3"/>
      <c r="S22" s="2"/>
    </row>
    <row r="23" spans="1:19" ht="13.5">
      <c r="A23" s="28" t="s">
        <v>29</v>
      </c>
      <c r="B23" s="44"/>
      <c r="C23" s="55">
        <f>DEPSCH!Q81</f>
        <v>0</v>
      </c>
      <c r="D23" s="53"/>
      <c r="E23" s="52"/>
      <c r="F23" s="53"/>
      <c r="G23" s="52"/>
      <c r="H23" s="23"/>
      <c r="O23" s="6" t="s">
        <v>49</v>
      </c>
      <c r="P23" s="3"/>
      <c r="Q23" s="2"/>
      <c r="R23" s="3"/>
      <c r="S23" s="2"/>
    </row>
    <row r="24" spans="1:19" ht="3" customHeight="1" thickBot="1">
      <c r="A24" s="28"/>
      <c r="B24" s="44"/>
      <c r="C24" s="54"/>
      <c r="D24" s="53"/>
      <c r="E24" s="52"/>
      <c r="F24" s="53"/>
      <c r="G24" s="52"/>
      <c r="H24" s="23"/>
      <c r="O24" s="6"/>
      <c r="P24" s="3"/>
      <c r="Q24" s="2"/>
      <c r="R24" s="3"/>
      <c r="S24" s="2"/>
    </row>
    <row r="25" spans="1:19" ht="14.25" thickTop="1">
      <c r="A25" s="30" t="s">
        <v>50</v>
      </c>
      <c r="B25" s="44"/>
      <c r="C25" s="63">
        <f>SUM(C21:C23)</f>
        <v>2344.0872503696446</v>
      </c>
      <c r="D25" s="53"/>
      <c r="E25" s="52"/>
      <c r="F25" s="53"/>
      <c r="G25" s="52"/>
      <c r="H25" s="23"/>
      <c r="O25" s="6" t="s">
        <v>51</v>
      </c>
      <c r="P25" s="3"/>
      <c r="Q25" s="2"/>
      <c r="R25" s="3"/>
      <c r="S25" s="2"/>
    </row>
    <row r="26" spans="1:19" ht="13.5">
      <c r="A26" s="45"/>
      <c r="B26" s="44"/>
      <c r="C26" s="52"/>
      <c r="D26" s="53"/>
      <c r="E26" s="52"/>
      <c r="F26" s="53"/>
      <c r="G26" s="52"/>
      <c r="H26" s="23"/>
      <c r="O26" s="2"/>
      <c r="P26" s="2"/>
      <c r="Q26" s="2"/>
      <c r="R26" s="2"/>
      <c r="S26" s="2"/>
    </row>
    <row r="27" spans="1:19" ht="13.5">
      <c r="A27" s="46" t="s">
        <v>52</v>
      </c>
      <c r="B27" s="19"/>
      <c r="C27" s="55">
        <f>DEPSCH!J78</f>
        <v>2015.9046000000005</v>
      </c>
      <c r="D27" s="53"/>
      <c r="E27" s="52"/>
      <c r="F27" s="53"/>
      <c r="G27" s="52"/>
      <c r="H27" s="23"/>
      <c r="O27" s="6" t="s">
        <v>53</v>
      </c>
      <c r="P27" s="3"/>
      <c r="Q27" s="2"/>
      <c r="R27" s="3"/>
      <c r="S27" s="2"/>
    </row>
    <row r="28" spans="1:19" ht="13.5">
      <c r="A28" s="28" t="s">
        <v>48</v>
      </c>
      <c r="B28" s="19"/>
      <c r="C28" s="55">
        <v>0</v>
      </c>
      <c r="D28" s="53"/>
      <c r="E28" s="52"/>
      <c r="F28" s="53"/>
      <c r="G28" s="52"/>
      <c r="H28" s="23"/>
      <c r="O28" s="6"/>
      <c r="P28" s="3"/>
      <c r="Q28" s="2"/>
      <c r="R28" s="3"/>
      <c r="S28" s="2"/>
    </row>
    <row r="29" spans="1:19" ht="13.5">
      <c r="A29" s="28" t="s">
        <v>29</v>
      </c>
      <c r="B29" s="19"/>
      <c r="C29" s="55">
        <v>0</v>
      </c>
      <c r="D29" s="53"/>
      <c r="E29" s="52"/>
      <c r="F29" s="53"/>
      <c r="G29" s="52"/>
      <c r="H29" s="23"/>
      <c r="O29" s="6"/>
      <c r="P29" s="3"/>
      <c r="Q29" s="2"/>
      <c r="R29" s="3"/>
      <c r="S29" s="2"/>
    </row>
    <row r="30" spans="1:8" ht="3" customHeight="1" thickBot="1">
      <c r="A30" s="46"/>
      <c r="B30" s="19"/>
      <c r="C30" s="54"/>
      <c r="D30" s="53"/>
      <c r="E30" s="52"/>
      <c r="F30" s="53"/>
      <c r="G30" s="52"/>
      <c r="H30" s="23"/>
    </row>
    <row r="31" spans="1:8" ht="14.25" thickTop="1">
      <c r="A31" s="47" t="s">
        <v>54</v>
      </c>
      <c r="B31" s="19"/>
      <c r="C31" s="63">
        <f>SUM(C27:C29)</f>
        <v>2015.9046000000005</v>
      </c>
      <c r="D31" s="53"/>
      <c r="E31" s="52"/>
      <c r="F31" s="53"/>
      <c r="G31" s="52"/>
      <c r="H31" s="23"/>
    </row>
    <row r="32" spans="1:8" ht="13.5">
      <c r="A32" s="18"/>
      <c r="B32" s="19"/>
      <c r="C32" s="52"/>
      <c r="D32" s="53"/>
      <c r="E32" s="52"/>
      <c r="F32" s="53"/>
      <c r="G32" s="52"/>
      <c r="H32" s="23"/>
    </row>
    <row r="33" spans="1:8" ht="13.5">
      <c r="A33" s="48" t="s">
        <v>55</v>
      </c>
      <c r="B33" s="39"/>
      <c r="C33" s="66">
        <f>C25-C31</f>
        <v>328.1826503696441</v>
      </c>
      <c r="D33" s="66"/>
      <c r="E33" s="66"/>
      <c r="F33" s="66"/>
      <c r="G33" s="66"/>
      <c r="H33" s="49"/>
    </row>
    <row r="34" spans="1:8" ht="13.5">
      <c r="A34" s="2"/>
      <c r="B34" s="2"/>
      <c r="C34" s="3"/>
      <c r="D34" s="2"/>
      <c r="E34" s="3"/>
      <c r="F34" s="2"/>
      <c r="G34" s="3"/>
      <c r="H34" s="1"/>
    </row>
    <row r="35" spans="1:8" ht="13.5">
      <c r="A35" s="6"/>
      <c r="B35" s="6"/>
      <c r="C35" s="3"/>
      <c r="D35" s="2"/>
      <c r="E35" s="3"/>
      <c r="F35" s="2"/>
      <c r="G35" s="3"/>
      <c r="H35" s="1"/>
    </row>
    <row r="36" spans="1:8" ht="13.5">
      <c r="A36" s="3"/>
      <c r="B36" s="3"/>
      <c r="C36" s="3"/>
      <c r="D36" s="2"/>
      <c r="E36" s="2"/>
      <c r="F36" s="2"/>
      <c r="G36" s="2"/>
      <c r="H36" s="1"/>
    </row>
    <row r="37" spans="1:8" ht="13.5">
      <c r="A37" s="8"/>
      <c r="B37" s="8"/>
      <c r="C37" s="2"/>
      <c r="D37" s="2"/>
      <c r="E37" s="2"/>
      <c r="F37" s="2"/>
      <c r="G37" s="2"/>
      <c r="H37" s="1"/>
    </row>
    <row r="38" spans="1:8" ht="13.5">
      <c r="A38" s="6"/>
      <c r="B38" s="6"/>
      <c r="C38" s="7"/>
      <c r="D38" s="2"/>
      <c r="E38" s="3"/>
      <c r="F38" s="2"/>
      <c r="G38" s="3"/>
      <c r="H38" s="1"/>
    </row>
    <row r="39" spans="1:8" ht="13.5">
      <c r="A39" s="3"/>
      <c r="B39" s="3"/>
      <c r="C39" s="7"/>
      <c r="D39" s="2"/>
      <c r="E39" s="3"/>
      <c r="F39" s="2"/>
      <c r="G39" s="3"/>
      <c r="H39" s="1"/>
    </row>
    <row r="40" spans="1:8" ht="13.5">
      <c r="A40" s="2"/>
      <c r="B40" s="2"/>
      <c r="C40" s="7"/>
      <c r="D40" s="2"/>
      <c r="E40" s="3"/>
      <c r="F40" s="2"/>
      <c r="G40" s="3"/>
      <c r="H40" s="1"/>
    </row>
    <row r="41" spans="1:8" ht="13.5">
      <c r="A41" s="3"/>
      <c r="B41" s="3"/>
      <c r="C41" s="7"/>
      <c r="D41" s="2"/>
      <c r="E41" s="2"/>
      <c r="F41" s="2"/>
      <c r="G41" s="2"/>
      <c r="H41" s="1"/>
    </row>
    <row r="42" spans="1:8" ht="13.5">
      <c r="A42" s="3"/>
      <c r="B42" s="3"/>
      <c r="C42" s="5"/>
      <c r="D42" s="2"/>
      <c r="E42" s="3"/>
      <c r="F42" s="2"/>
      <c r="G42" s="3"/>
      <c r="H42" s="1"/>
    </row>
    <row r="43" spans="1:8" ht="13.5">
      <c r="A43" s="3"/>
      <c r="B43" s="3"/>
      <c r="C43" s="7"/>
      <c r="D43" s="2"/>
      <c r="E43" s="3"/>
      <c r="F43" s="2"/>
      <c r="G43" s="3"/>
      <c r="H43" s="1"/>
    </row>
    <row r="44" spans="1:8" ht="13.5">
      <c r="A44" s="1"/>
      <c r="B44" s="1"/>
      <c r="C44" s="1"/>
      <c r="D44" s="1"/>
      <c r="E44" s="3"/>
      <c r="F44" s="2"/>
      <c r="G44" s="3"/>
      <c r="H44" s="1"/>
    </row>
    <row r="45" spans="1:8" ht="13.5">
      <c r="A45" s="6"/>
      <c r="B45" s="6"/>
      <c r="C45" s="1"/>
      <c r="D45" s="1"/>
      <c r="E45" s="3"/>
      <c r="F45" s="2"/>
      <c r="G45" s="3"/>
      <c r="H45" s="1"/>
    </row>
    <row r="46" spans="1:8" ht="13.5">
      <c r="A46" s="9"/>
      <c r="B46" s="9"/>
      <c r="C46" s="7"/>
      <c r="D46" s="1"/>
      <c r="E46" s="3"/>
      <c r="F46" s="2"/>
      <c r="G46" s="3"/>
      <c r="H46" s="1"/>
    </row>
    <row r="47" spans="1:8" ht="13.5">
      <c r="A47" s="1"/>
      <c r="B47" s="1"/>
      <c r="C47" s="1"/>
      <c r="D47" s="1"/>
      <c r="E47" s="3"/>
      <c r="F47" s="2"/>
      <c r="G47" s="3"/>
      <c r="H47" s="1"/>
    </row>
    <row r="48" spans="1:8" ht="13.5">
      <c r="A48" s="3"/>
      <c r="B48" s="3"/>
      <c r="C48" s="7"/>
      <c r="D48" s="1"/>
      <c r="E48" s="2"/>
      <c r="F48" s="2"/>
      <c r="G48" s="2"/>
      <c r="H48" s="1"/>
    </row>
    <row r="49" spans="1:8" ht="13.5">
      <c r="A49" s="1"/>
      <c r="B49" s="1"/>
      <c r="C49" s="7"/>
      <c r="D49" s="1"/>
      <c r="E49" s="3"/>
      <c r="F49" s="2"/>
      <c r="G49" s="2"/>
      <c r="H49" s="1"/>
    </row>
    <row r="50" spans="1:8" ht="13.5">
      <c r="A50" s="3"/>
      <c r="B50" s="3"/>
      <c r="C50" s="4"/>
      <c r="D50" s="1"/>
      <c r="E50" s="2"/>
      <c r="F50" s="2"/>
      <c r="G50" s="2"/>
      <c r="H50" s="1"/>
    </row>
    <row r="51" spans="1:8" ht="13.5">
      <c r="A51" s="1"/>
      <c r="B51" s="1"/>
      <c r="C51" s="7"/>
      <c r="D51" s="1"/>
      <c r="E51" s="10"/>
      <c r="F51" s="2"/>
      <c r="G51" s="11"/>
      <c r="H51" s="3"/>
    </row>
    <row r="52" spans="1:8" ht="13.5">
      <c r="A52" s="1"/>
      <c r="B52" s="1"/>
      <c r="C52" s="1"/>
      <c r="D52" s="1"/>
      <c r="E52" s="2"/>
      <c r="F52" s="2"/>
      <c r="G52" s="12"/>
      <c r="H52" s="1"/>
    </row>
    <row r="53" spans="1:8" ht="13.5">
      <c r="A53" s="1"/>
      <c r="B53" s="1"/>
      <c r="C53" s="13"/>
      <c r="D53" s="1"/>
      <c r="E53" s="14"/>
      <c r="F53" s="2"/>
      <c r="G53" s="11"/>
      <c r="H53" s="3"/>
    </row>
    <row r="54" spans="1:8" ht="13.5">
      <c r="A54" s="1"/>
      <c r="B54" s="1"/>
      <c r="C54" s="7"/>
      <c r="D54" s="1"/>
      <c r="E54" s="14"/>
      <c r="F54" s="2"/>
      <c r="G54" s="11"/>
      <c r="H54" s="3"/>
    </row>
    <row r="55" spans="1:8" ht="13.5">
      <c r="A55" s="1"/>
      <c r="B55" s="1"/>
      <c r="C55" s="4"/>
      <c r="D55" s="1"/>
      <c r="E55" s="14"/>
      <c r="F55" s="2"/>
      <c r="G55" s="11"/>
      <c r="H55" s="3"/>
    </row>
    <row r="56" spans="1:8" ht="13.5">
      <c r="A56" s="11"/>
      <c r="B56" s="11"/>
      <c r="C56" s="3"/>
      <c r="D56" s="1"/>
      <c r="E56" s="14"/>
      <c r="F56" s="2"/>
      <c r="G56" s="11"/>
      <c r="H56" s="3"/>
    </row>
    <row r="57" spans="1:8" ht="13.5">
      <c r="A57" s="11"/>
      <c r="B57" s="11"/>
      <c r="C57" s="3"/>
      <c r="D57" s="1"/>
      <c r="E57" s="14"/>
      <c r="F57" s="2"/>
      <c r="G57" s="11"/>
      <c r="H57" s="3"/>
    </row>
    <row r="58" spans="1:8" ht="13.5">
      <c r="A58" s="11"/>
      <c r="B58" s="11"/>
      <c r="C58" s="3"/>
      <c r="D58" s="1"/>
      <c r="E58" s="14"/>
      <c r="F58" s="2"/>
      <c r="G58" s="11"/>
      <c r="H58" s="3"/>
    </row>
    <row r="59" spans="1:8" ht="13.5">
      <c r="A59" s="15"/>
      <c r="B59" s="15"/>
      <c r="C59" s="15"/>
      <c r="D59" s="15"/>
      <c r="E59" s="15"/>
      <c r="F59" s="15"/>
      <c r="G59" s="15"/>
      <c r="H59" s="1"/>
    </row>
  </sheetData>
  <sheetProtection/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&amp;LR-2018-3001506&amp;CAdjusted Depreciation Schedule&amp;RAttachment-2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2" width="3.7109375" style="0" customWidth="1"/>
    <col min="3" max="3" width="11.28125" style="0" customWidth="1"/>
    <col min="4" max="4" width="3.7109375" style="0" customWidth="1"/>
    <col min="5" max="5" width="9.57421875" style="0" customWidth="1"/>
    <col min="6" max="6" width="3.7109375" style="0" customWidth="1"/>
    <col min="7" max="7" width="11.28125" style="0" customWidth="1"/>
    <col min="8" max="8" width="10.28125" style="0" customWidth="1"/>
    <col min="9" max="9" width="0" style="0" hidden="1" customWidth="1"/>
  </cols>
  <sheetData>
    <row r="1" spans="1:8" ht="15">
      <c r="A1" s="274"/>
      <c r="B1" s="274"/>
      <c r="C1" s="274"/>
      <c r="D1" s="275"/>
      <c r="E1" s="276"/>
      <c r="F1" s="277"/>
      <c r="G1" s="272" t="s">
        <v>83</v>
      </c>
      <c r="H1" s="277"/>
    </row>
    <row r="2" spans="1:8" ht="15">
      <c r="A2" s="274"/>
      <c r="B2" s="274"/>
      <c r="C2" s="274"/>
      <c r="D2" s="275"/>
      <c r="E2" s="277"/>
      <c r="F2" s="277"/>
      <c r="G2" s="273"/>
      <c r="H2" s="277"/>
    </row>
    <row r="3" spans="1:8" ht="15">
      <c r="A3" s="274"/>
      <c r="B3" s="274"/>
      <c r="C3" s="274"/>
      <c r="D3" s="275"/>
      <c r="E3" s="277"/>
      <c r="F3" s="277"/>
      <c r="G3" s="273" t="s">
        <v>84</v>
      </c>
      <c r="H3" s="277"/>
    </row>
    <row r="4" spans="1:8" ht="15">
      <c r="A4" s="274"/>
      <c r="B4" s="274"/>
      <c r="C4" s="274"/>
      <c r="D4" s="275"/>
      <c r="E4" s="275"/>
      <c r="F4" s="275"/>
      <c r="G4" s="276"/>
      <c r="H4" s="278"/>
    </row>
    <row r="5" spans="1:8" ht="15">
      <c r="A5" s="274"/>
      <c r="B5" s="274"/>
      <c r="C5" s="279" t="s">
        <v>56</v>
      </c>
      <c r="D5" s="280"/>
      <c r="E5" s="275"/>
      <c r="F5" s="280"/>
      <c r="G5" s="280"/>
      <c r="H5" s="281"/>
    </row>
    <row r="6" spans="1:8" ht="15">
      <c r="A6" s="274"/>
      <c r="B6" s="274"/>
      <c r="C6" s="282"/>
      <c r="D6" s="280"/>
      <c r="E6" s="275"/>
      <c r="F6" s="280"/>
      <c r="G6" s="280"/>
      <c r="H6" s="281"/>
    </row>
    <row r="7" spans="1:8" ht="15">
      <c r="A7" s="274"/>
      <c r="B7" s="280"/>
      <c r="C7" s="283" t="s">
        <v>4</v>
      </c>
      <c r="D7" s="280"/>
      <c r="E7" s="284" t="s">
        <v>57</v>
      </c>
      <c r="F7" s="280"/>
      <c r="G7" s="283" t="s">
        <v>58</v>
      </c>
      <c r="H7" s="285"/>
    </row>
    <row r="8" spans="1:8" ht="15" customHeight="1">
      <c r="A8" s="274"/>
      <c r="B8" s="280"/>
      <c r="C8" s="283" t="s">
        <v>33</v>
      </c>
      <c r="D8" s="280"/>
      <c r="E8" s="283" t="s">
        <v>33</v>
      </c>
      <c r="F8" s="280"/>
      <c r="G8" s="283" t="s">
        <v>33</v>
      </c>
      <c r="H8" s="285"/>
    </row>
    <row r="9" spans="1:8" ht="15">
      <c r="A9" s="274" t="s">
        <v>26</v>
      </c>
      <c r="B9" s="286"/>
      <c r="C9" s="287">
        <f>SUMMARY!C6</f>
        <v>127074.53000000001</v>
      </c>
      <c r="D9" s="288"/>
      <c r="E9" s="289">
        <f>G9-C9</f>
        <v>-2135.3300000000163</v>
      </c>
      <c r="F9" s="290" t="s">
        <v>59</v>
      </c>
      <c r="G9" s="291">
        <f>SUMMARY!G6</f>
        <v>124939.2</v>
      </c>
      <c r="H9" s="285"/>
    </row>
    <row r="10" spans="1:8" ht="15">
      <c r="A10" s="274" t="s">
        <v>149</v>
      </c>
      <c r="B10" s="286"/>
      <c r="C10" s="292"/>
      <c r="D10" s="290"/>
      <c r="E10" s="292"/>
      <c r="F10" s="290"/>
      <c r="G10" s="291"/>
      <c r="H10" s="285"/>
    </row>
    <row r="11" spans="1:8" ht="15">
      <c r="A11" s="274" t="s">
        <v>60</v>
      </c>
      <c r="B11" s="293"/>
      <c r="C11" s="294">
        <f>SUMMARY!C7</f>
        <v>66707.04</v>
      </c>
      <c r="D11" s="290"/>
      <c r="E11" s="295">
        <f>G11-C11</f>
        <v>-10742.806168538824</v>
      </c>
      <c r="F11" s="290" t="s">
        <v>61</v>
      </c>
      <c r="G11" s="295">
        <f>SUMMARY!G7</f>
        <v>55964.23383146117</v>
      </c>
      <c r="H11" s="285"/>
    </row>
    <row r="12" spans="1:8" ht="15">
      <c r="A12" s="274" t="s">
        <v>36</v>
      </c>
      <c r="B12" s="293"/>
      <c r="C12" s="296">
        <f>C9-C11</f>
        <v>60367.49000000002</v>
      </c>
      <c r="D12" s="290"/>
      <c r="E12" s="289">
        <f>G12-C12</f>
        <v>8607.476168538808</v>
      </c>
      <c r="F12" s="290"/>
      <c r="G12" s="297">
        <f>G9-G11</f>
        <v>68974.96616853883</v>
      </c>
      <c r="H12" s="298"/>
    </row>
    <row r="13" spans="1:8" ht="15">
      <c r="A13" s="274" t="s">
        <v>62</v>
      </c>
      <c r="B13" s="293"/>
      <c r="C13" s="299">
        <f>SUMMARY!C10</f>
        <v>3210.79</v>
      </c>
      <c r="D13" s="290"/>
      <c r="E13" s="295">
        <f>G13-C13</f>
        <v>0</v>
      </c>
      <c r="F13" s="290"/>
      <c r="G13" s="300">
        <f>SUMMARY!G10</f>
        <v>3210.79</v>
      </c>
      <c r="H13" s="298"/>
    </row>
    <row r="14" spans="1:8" ht="15">
      <c r="A14" s="275" t="s">
        <v>30</v>
      </c>
      <c r="B14" s="293"/>
      <c r="C14" s="301">
        <f>SUMMARY!C12</f>
        <v>63578.28000000002</v>
      </c>
      <c r="D14" s="301"/>
      <c r="E14" s="301">
        <f>SUMMARY!E12</f>
        <v>8607.476168538824</v>
      </c>
      <c r="F14" s="301"/>
      <c r="G14" s="301">
        <f>SUMMARY!G12</f>
        <v>72185.75616853882</v>
      </c>
      <c r="H14" s="298"/>
    </row>
    <row r="15" spans="1:8" ht="15">
      <c r="A15" s="302" t="s">
        <v>38</v>
      </c>
      <c r="B15" s="293"/>
      <c r="C15" s="303" t="s">
        <v>23</v>
      </c>
      <c r="D15" s="290"/>
      <c r="E15" s="301" t="s">
        <v>23</v>
      </c>
      <c r="F15" s="290"/>
      <c r="G15" s="303" t="s">
        <v>23</v>
      </c>
      <c r="H15" s="285"/>
    </row>
    <row r="16" spans="1:8" ht="15">
      <c r="A16" s="302" t="s">
        <v>63</v>
      </c>
      <c r="B16" s="293"/>
      <c r="C16" s="303">
        <f>SUMMARY!C15</f>
        <v>0</v>
      </c>
      <c r="D16" s="290"/>
      <c r="E16" s="301">
        <f>-(C16-G16)</f>
        <v>3136</v>
      </c>
      <c r="F16" s="290" t="s">
        <v>71</v>
      </c>
      <c r="G16" s="303">
        <v>3136</v>
      </c>
      <c r="H16" s="285"/>
    </row>
    <row r="17" spans="1:8" ht="15">
      <c r="A17" s="302" t="s">
        <v>64</v>
      </c>
      <c r="B17" s="293"/>
      <c r="C17" s="304">
        <f>SUMMARY!C16</f>
        <v>0</v>
      </c>
      <c r="D17" s="290"/>
      <c r="E17" s="305">
        <f>-(C17-G17)</f>
        <v>689.7496616853883</v>
      </c>
      <c r="F17" s="290" t="s">
        <v>76</v>
      </c>
      <c r="G17" s="304">
        <f>SUMMARY!G16</f>
        <v>689.7496616853883</v>
      </c>
      <c r="H17" s="285"/>
    </row>
    <row r="18" spans="1:8" ht="15">
      <c r="A18" s="306" t="s">
        <v>65</v>
      </c>
      <c r="B18" s="307"/>
      <c r="C18" s="308">
        <f>C14+C16+C17</f>
        <v>63578.28000000002</v>
      </c>
      <c r="D18" s="309"/>
      <c r="E18" s="308">
        <f>E14+E16+E17</f>
        <v>12433.225830224212</v>
      </c>
      <c r="F18" s="309"/>
      <c r="G18" s="320">
        <f>G14+G16+G17</f>
        <v>76011.50583022421</v>
      </c>
      <c r="H18" s="285"/>
    </row>
    <row r="19" spans="1:8" ht="15">
      <c r="A19" s="302"/>
      <c r="B19" s="310"/>
      <c r="C19" s="311"/>
      <c r="D19" s="275"/>
      <c r="E19" s="310"/>
      <c r="F19" s="275"/>
      <c r="G19" s="310"/>
      <c r="H19" s="285"/>
    </row>
    <row r="20" spans="1:8" ht="15">
      <c r="A20" s="302"/>
      <c r="B20" s="310"/>
      <c r="C20" s="311"/>
      <c r="D20" s="275"/>
      <c r="E20" s="310"/>
      <c r="F20" s="275"/>
      <c r="G20" s="310"/>
      <c r="H20" s="285"/>
    </row>
    <row r="21" spans="1:8" ht="15">
      <c r="A21" s="290" t="s">
        <v>87</v>
      </c>
      <c r="B21" s="310"/>
      <c r="C21" s="312"/>
      <c r="D21" s="275"/>
      <c r="E21" s="310"/>
      <c r="F21" s="275"/>
      <c r="G21" s="310"/>
      <c r="H21" s="281"/>
    </row>
    <row r="22" spans="1:8" ht="15">
      <c r="A22" s="290" t="s">
        <v>88</v>
      </c>
      <c r="B22" s="310"/>
      <c r="C22" s="312"/>
      <c r="D22" s="275"/>
      <c r="E22" s="310"/>
      <c r="F22" s="275"/>
      <c r="G22" s="310"/>
      <c r="H22" s="281"/>
    </row>
    <row r="23" spans="1:8" ht="15">
      <c r="A23" s="440" t="s">
        <v>77</v>
      </c>
      <c r="B23" s="441"/>
      <c r="C23" s="441"/>
      <c r="D23" s="441"/>
      <c r="E23" s="441"/>
      <c r="F23" s="441"/>
      <c r="G23" s="441"/>
      <c r="H23" s="441"/>
    </row>
    <row r="24" spans="1:8" ht="15">
      <c r="A24" s="442" t="s">
        <v>78</v>
      </c>
      <c r="B24" s="442"/>
      <c r="C24" s="442"/>
      <c r="D24" s="442"/>
      <c r="E24" s="442"/>
      <c r="F24" s="442"/>
      <c r="G24" s="442"/>
      <c r="H24" s="442"/>
    </row>
    <row r="25" spans="1:8" ht="15">
      <c r="A25" s="313" t="s">
        <v>79</v>
      </c>
      <c r="B25" s="313"/>
      <c r="C25" s="313"/>
      <c r="D25" s="313"/>
      <c r="E25" s="313"/>
      <c r="F25" s="313"/>
      <c r="G25" s="313"/>
      <c r="H25" s="313"/>
    </row>
    <row r="26" spans="1:8" ht="15">
      <c r="A26" s="310" t="s">
        <v>80</v>
      </c>
      <c r="B26" s="314"/>
      <c r="C26" s="311"/>
      <c r="D26" s="274"/>
      <c r="E26" s="310"/>
      <c r="F26" s="275"/>
      <c r="G26" s="310"/>
      <c r="H26" s="281"/>
    </row>
    <row r="27" spans="1:8" ht="15">
      <c r="A27" s="315" t="s">
        <v>81</v>
      </c>
      <c r="B27" s="274"/>
      <c r="C27" s="274"/>
      <c r="D27" s="274"/>
      <c r="E27" s="310"/>
      <c r="F27" s="275"/>
      <c r="G27" s="310"/>
      <c r="H27" s="281"/>
    </row>
    <row r="28" spans="1:8" ht="15">
      <c r="A28" s="315" t="s">
        <v>82</v>
      </c>
      <c r="B28" s="310"/>
      <c r="C28" s="311"/>
      <c r="D28" s="274"/>
      <c r="E28" s="275"/>
      <c r="F28" s="275"/>
      <c r="G28" s="275"/>
      <c r="H28" s="281"/>
    </row>
    <row r="29" spans="1:8" ht="15">
      <c r="A29" s="316" t="s">
        <v>85</v>
      </c>
      <c r="B29" s="281"/>
      <c r="C29" s="317"/>
      <c r="D29" s="281"/>
      <c r="E29" s="316"/>
      <c r="F29" s="318"/>
      <c r="G29" s="318"/>
      <c r="H29" s="281"/>
    </row>
    <row r="30" spans="1:8" ht="15">
      <c r="A30" s="318" t="s">
        <v>86</v>
      </c>
      <c r="B30" s="316"/>
      <c r="C30" s="319"/>
      <c r="D30" s="281"/>
      <c r="E30" s="318"/>
      <c r="F30" s="318"/>
      <c r="G30" s="318"/>
      <c r="H30" s="281"/>
    </row>
    <row r="31" spans="1:8" ht="13.5">
      <c r="A31" s="3"/>
      <c r="B31" s="1"/>
      <c r="C31" s="7"/>
      <c r="D31" s="1"/>
      <c r="E31" s="10"/>
      <c r="F31" s="2"/>
      <c r="G31" s="11"/>
      <c r="H31" s="1"/>
    </row>
    <row r="32" spans="1:8" ht="13.5">
      <c r="A32" s="3"/>
      <c r="B32" s="1"/>
      <c r="C32" s="1"/>
      <c r="D32" s="1"/>
      <c r="E32" s="2"/>
      <c r="F32" s="2"/>
      <c r="G32" s="12"/>
      <c r="H32" s="1"/>
    </row>
    <row r="33" spans="1:8" ht="13.5">
      <c r="A33" s="3"/>
      <c r="B33" s="1"/>
      <c r="C33" s="13"/>
      <c r="D33" s="1"/>
      <c r="E33" s="14"/>
      <c r="F33" s="2"/>
      <c r="G33" s="11"/>
      <c r="H33" s="1"/>
    </row>
    <row r="34" spans="1:8" ht="13.5">
      <c r="A34" s="1"/>
      <c r="B34" s="1"/>
      <c r="C34" s="7"/>
      <c r="D34" s="1"/>
      <c r="E34" s="14"/>
      <c r="F34" s="2"/>
      <c r="G34" s="11"/>
      <c r="H34" s="1"/>
    </row>
    <row r="35" spans="1:8" ht="13.5">
      <c r="A35" s="6"/>
      <c r="B35" s="1"/>
      <c r="C35" s="4"/>
      <c r="D35" s="1"/>
      <c r="E35" s="14"/>
      <c r="F35" s="2"/>
      <c r="G35" s="11"/>
      <c r="H35" s="3"/>
    </row>
    <row r="36" spans="1:8" ht="13.5">
      <c r="A36" s="9"/>
      <c r="B36" s="11"/>
      <c r="C36" s="3"/>
      <c r="D36" s="1"/>
      <c r="E36" s="14"/>
      <c r="F36" s="2"/>
      <c r="G36" s="11"/>
      <c r="H36" s="1"/>
    </row>
    <row r="37" spans="1:8" ht="13.5">
      <c r="A37" s="1"/>
      <c r="B37" s="11"/>
      <c r="C37" s="3"/>
      <c r="D37" s="1"/>
      <c r="E37" s="14"/>
      <c r="F37" s="2"/>
      <c r="G37" s="11"/>
      <c r="H37" s="3"/>
    </row>
    <row r="38" spans="1:8" ht="13.5">
      <c r="A38" s="3"/>
      <c r="B38" s="11"/>
      <c r="C38" s="3"/>
      <c r="D38" s="1"/>
      <c r="E38" s="14"/>
      <c r="F38" s="2"/>
      <c r="G38" s="11"/>
      <c r="H38" s="3"/>
    </row>
    <row r="39" spans="1:8" ht="13.5">
      <c r="A39" s="1"/>
      <c r="B39" s="15"/>
      <c r="C39" s="15"/>
      <c r="D39" s="15"/>
      <c r="E39" s="15"/>
      <c r="F39" s="15"/>
      <c r="G39" s="15"/>
      <c r="H39" s="3"/>
    </row>
    <row r="40" spans="1:8" ht="13.5">
      <c r="A40" s="3"/>
      <c r="H40" s="3"/>
    </row>
    <row r="41" spans="1:8" ht="13.5">
      <c r="A41" s="1"/>
      <c r="H41" s="3"/>
    </row>
    <row r="42" spans="1:8" ht="13.5">
      <c r="A42" s="1"/>
      <c r="H42" s="3"/>
    </row>
    <row r="43" spans="1:8" ht="13.5">
      <c r="A43" s="1"/>
      <c r="H43" s="1"/>
    </row>
    <row r="44" ht="13.5">
      <c r="A44" s="1"/>
    </row>
    <row r="45" ht="13.5">
      <c r="A45" s="1"/>
    </row>
    <row r="46" ht="13.5">
      <c r="A46" s="11"/>
    </row>
    <row r="47" ht="13.5">
      <c r="A47" s="11"/>
    </row>
    <row r="48" ht="13.5">
      <c r="A48" s="11"/>
    </row>
    <row r="49" ht="13.5">
      <c r="A49" s="15"/>
    </row>
  </sheetData>
  <sheetProtection/>
  <mergeCells count="2">
    <mergeCell ref="A23:H23"/>
    <mergeCell ref="A24:H24"/>
  </mergeCells>
  <printOptions horizontalCentered="1"/>
  <pageMargins left="0.75" right="0.75" top="1" bottom="1" header="0.5" footer="0.5"/>
  <pageSetup horizontalDpi="300" verticalDpi="300" orientation="portrait" scale="90" r:id="rId1"/>
  <headerFooter alignWithMargins="0">
    <oddFooter>&amp;C&amp;"Times New Roman,Regular"&amp;12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T8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0.9921875" style="0" customWidth="1"/>
    <col min="2" max="2" width="4.8515625" style="0" bestFit="1" customWidth="1"/>
    <col min="4" max="4" width="8.421875" style="0" bestFit="1" customWidth="1"/>
    <col min="5" max="5" width="27.8515625" style="0" bestFit="1" customWidth="1"/>
    <col min="6" max="6" width="10.140625" style="321" bestFit="1" customWidth="1"/>
    <col min="7" max="7" width="6.28125" style="321" bestFit="1" customWidth="1"/>
    <col min="8" max="8" width="7.57421875" style="321" bestFit="1" customWidth="1"/>
    <col min="9" max="9" width="7.00390625" style="0" bestFit="1" customWidth="1"/>
    <col min="10" max="10" width="7.421875" style="0" customWidth="1"/>
    <col min="11" max="12" width="7.8515625" style="321" bestFit="1" customWidth="1"/>
    <col min="13" max="13" width="7.140625" style="194" bestFit="1" customWidth="1"/>
    <col min="14" max="14" width="9.140625" style="164" customWidth="1"/>
  </cols>
  <sheetData>
    <row r="1" ht="12.75">
      <c r="B1" s="270" t="s">
        <v>89</v>
      </c>
    </row>
    <row r="2" ht="12.75"/>
    <row r="3" spans="2:20" s="56" customFormat="1" ht="12.75">
      <c r="B3" s="56" t="s">
        <v>0</v>
      </c>
      <c r="D3" s="56" t="s">
        <v>90</v>
      </c>
      <c r="F3" s="322"/>
      <c r="G3" s="322"/>
      <c r="H3" s="322"/>
      <c r="I3" s="71" t="s">
        <v>100</v>
      </c>
      <c r="J3" s="172"/>
      <c r="K3" s="322"/>
      <c r="L3" s="322"/>
      <c r="M3" s="194"/>
      <c r="N3" s="164"/>
      <c r="O3" s="190"/>
      <c r="P3" s="145"/>
      <c r="S3" s="172"/>
      <c r="T3" s="145"/>
    </row>
    <row r="4" spans="2:19" s="56" customFormat="1" ht="12.75">
      <c r="B4" s="74"/>
      <c r="F4" s="322"/>
      <c r="G4" s="322"/>
      <c r="H4" s="322"/>
      <c r="J4" s="172"/>
      <c r="K4" s="322"/>
      <c r="L4" s="322"/>
      <c r="M4" s="191"/>
      <c r="N4" s="163"/>
      <c r="O4" s="190"/>
      <c r="P4" s="145"/>
      <c r="S4" s="172"/>
    </row>
    <row r="5" spans="2:20" s="56" customFormat="1" ht="13.5" thickBot="1">
      <c r="B5" s="439" t="s">
        <v>148</v>
      </c>
      <c r="F5" s="323">
        <v>43100</v>
      </c>
      <c r="G5" s="322"/>
      <c r="H5" s="322" t="s">
        <v>91</v>
      </c>
      <c r="J5" s="172"/>
      <c r="K5" s="322"/>
      <c r="L5" s="322"/>
      <c r="M5" s="194"/>
      <c r="N5" s="164"/>
      <c r="O5" s="190"/>
      <c r="P5" s="145"/>
      <c r="S5" s="172"/>
      <c r="T5" s="233"/>
    </row>
    <row r="6" spans="2:14" ht="12.75">
      <c r="B6" s="324"/>
      <c r="C6" s="325"/>
      <c r="D6" s="326"/>
      <c r="E6" s="327" t="s">
        <v>1</v>
      </c>
      <c r="F6" s="328" t="s">
        <v>2</v>
      </c>
      <c r="G6" s="329"/>
      <c r="H6" s="330" t="s">
        <v>3</v>
      </c>
      <c r="I6" s="324"/>
      <c r="J6" s="331" t="s">
        <v>4</v>
      </c>
      <c r="K6" s="332"/>
      <c r="L6" s="333" t="s">
        <v>5</v>
      </c>
      <c r="M6" s="443" t="s">
        <v>92</v>
      </c>
      <c r="N6" s="444"/>
    </row>
    <row r="7" spans="2:14" ht="12.75">
      <c r="B7" s="334" t="s">
        <v>6</v>
      </c>
      <c r="C7" s="84" t="s">
        <v>7</v>
      </c>
      <c r="D7" s="84" t="s">
        <v>8</v>
      </c>
      <c r="E7" s="83">
        <v>39489</v>
      </c>
      <c r="F7" s="335" t="s">
        <v>9</v>
      </c>
      <c r="G7" s="336" t="s">
        <v>10</v>
      </c>
      <c r="H7" s="337" t="s">
        <v>9</v>
      </c>
      <c r="I7" s="85" t="s">
        <v>11</v>
      </c>
      <c r="J7" s="174" t="s">
        <v>12</v>
      </c>
      <c r="K7" s="338" t="s">
        <v>5</v>
      </c>
      <c r="L7" s="339" t="s">
        <v>93</v>
      </c>
      <c r="M7" s="340" t="s">
        <v>94</v>
      </c>
      <c r="N7" s="166" t="s">
        <v>12</v>
      </c>
    </row>
    <row r="8" spans="2:14" ht="13.5" thickBot="1">
      <c r="B8" s="87" t="s">
        <v>14</v>
      </c>
      <c r="C8" s="88" t="s">
        <v>15</v>
      </c>
      <c r="D8" s="88" t="s">
        <v>16</v>
      </c>
      <c r="E8" s="89" t="s">
        <v>17</v>
      </c>
      <c r="F8" s="341" t="s">
        <v>18</v>
      </c>
      <c r="G8" s="342" t="s">
        <v>19</v>
      </c>
      <c r="H8" s="343" t="s">
        <v>18</v>
      </c>
      <c r="I8" s="90" t="s">
        <v>20</v>
      </c>
      <c r="J8" s="175" t="s">
        <v>19</v>
      </c>
      <c r="K8" s="343" t="s">
        <v>19</v>
      </c>
      <c r="L8" s="344" t="s">
        <v>19</v>
      </c>
      <c r="M8" s="345"/>
      <c r="N8" s="167" t="s">
        <v>19</v>
      </c>
    </row>
    <row r="9" spans="2:14" ht="4.5" customHeight="1" thickBot="1">
      <c r="B9" s="92"/>
      <c r="C9" s="92"/>
      <c r="D9" s="92"/>
      <c r="E9" s="92"/>
      <c r="F9" s="346"/>
      <c r="G9" s="346"/>
      <c r="H9" s="346"/>
      <c r="I9" s="74"/>
      <c r="J9" s="176"/>
      <c r="K9" s="346"/>
      <c r="L9" s="346"/>
      <c r="M9" s="190"/>
      <c r="N9" s="145"/>
    </row>
    <row r="10" spans="2:14" ht="12.75">
      <c r="B10" s="347"/>
      <c r="C10" s="348" t="s">
        <v>95</v>
      </c>
      <c r="D10" s="138"/>
      <c r="E10" s="139"/>
      <c r="F10" s="349"/>
      <c r="G10" s="349"/>
      <c r="H10" s="349"/>
      <c r="I10" s="135"/>
      <c r="J10" s="181"/>
      <c r="K10" s="349"/>
      <c r="L10" s="350"/>
      <c r="M10" s="351"/>
      <c r="N10" s="352"/>
    </row>
    <row r="11" spans="2:14" s="233" customFormat="1" ht="12.75">
      <c r="B11" s="229">
        <v>1</v>
      </c>
      <c r="C11" s="353">
        <v>3</v>
      </c>
      <c r="D11" s="354">
        <v>27941</v>
      </c>
      <c r="E11" s="355" t="s">
        <v>96</v>
      </c>
      <c r="F11" s="356">
        <v>300</v>
      </c>
      <c r="G11" s="357">
        <f aca="true" t="shared" si="0" ref="G11:G19">H11-F11</f>
        <v>-300</v>
      </c>
      <c r="H11" s="356">
        <v>0</v>
      </c>
      <c r="I11" s="230">
        <v>20</v>
      </c>
      <c r="J11" s="231">
        <v>0</v>
      </c>
      <c r="K11" s="358">
        <v>291</v>
      </c>
      <c r="L11" s="359">
        <f aca="true" t="shared" si="1" ref="L11:L19">H11-K11</f>
        <v>-291</v>
      </c>
      <c r="M11" s="360">
        <f aca="true" t="shared" si="2" ref="M11:M19">IF((($F$9)-B22)&gt;=L22*365,0,L22*365-(($F$9)-B22))/365</f>
        <v>0</v>
      </c>
      <c r="N11" s="361">
        <f aca="true" t="shared" si="3" ref="N11:N19">IF(M11&lt;1,(F22-K22),(F22-K22)/M11)</f>
        <v>0</v>
      </c>
    </row>
    <row r="12" spans="2:14" s="233" customFormat="1" ht="12.75">
      <c r="B12" s="229">
        <v>1</v>
      </c>
      <c r="C12" s="353">
        <v>11</v>
      </c>
      <c r="D12" s="354">
        <v>36068</v>
      </c>
      <c r="E12" s="355" t="s">
        <v>97</v>
      </c>
      <c r="F12" s="356">
        <v>400</v>
      </c>
      <c r="G12" s="357">
        <f t="shared" si="0"/>
        <v>-400</v>
      </c>
      <c r="H12" s="356">
        <v>0</v>
      </c>
      <c r="I12" s="230">
        <v>20</v>
      </c>
      <c r="J12" s="231">
        <v>0</v>
      </c>
      <c r="K12" s="358">
        <v>388</v>
      </c>
      <c r="L12" s="359">
        <f t="shared" si="1"/>
        <v>-388</v>
      </c>
      <c r="M12" s="360">
        <f t="shared" si="2"/>
        <v>0</v>
      </c>
      <c r="N12" s="361">
        <f t="shared" si="3"/>
        <v>0</v>
      </c>
    </row>
    <row r="13" spans="2:14" s="233" customFormat="1" ht="12.75">
      <c r="B13" s="229">
        <v>1</v>
      </c>
      <c r="C13" s="353">
        <v>14</v>
      </c>
      <c r="D13" s="354">
        <v>27941</v>
      </c>
      <c r="E13" s="355" t="s">
        <v>142</v>
      </c>
      <c r="F13" s="356">
        <v>126.42</v>
      </c>
      <c r="G13" s="357">
        <f>H13-F13</f>
        <v>-126.42</v>
      </c>
      <c r="H13" s="356">
        <v>0</v>
      </c>
      <c r="I13" s="230">
        <v>20</v>
      </c>
      <c r="J13" s="231">
        <v>0</v>
      </c>
      <c r="K13" s="358">
        <v>126.42</v>
      </c>
      <c r="L13" s="359">
        <f>H13-K13</f>
        <v>-126.42</v>
      </c>
      <c r="M13" s="360">
        <f t="shared" si="2"/>
        <v>0</v>
      </c>
      <c r="N13" s="361">
        <f>IF(M13&lt;1,(F24-K24),(F24-K24)/M13)</f>
        <v>0</v>
      </c>
    </row>
    <row r="14" spans="2:14" s="233" customFormat="1" ht="12.75">
      <c r="B14" s="229">
        <v>1</v>
      </c>
      <c r="C14" s="353">
        <v>15</v>
      </c>
      <c r="D14" s="354">
        <v>30497</v>
      </c>
      <c r="E14" s="355" t="s">
        <v>98</v>
      </c>
      <c r="F14" s="356">
        <v>502.75</v>
      </c>
      <c r="G14" s="357">
        <f>H14-F14</f>
        <v>-502.75</v>
      </c>
      <c r="H14" s="356">
        <v>0</v>
      </c>
      <c r="I14" s="230">
        <v>25</v>
      </c>
      <c r="J14" s="231">
        <v>0</v>
      </c>
      <c r="K14" s="358">
        <v>502.75</v>
      </c>
      <c r="L14" s="359">
        <f>H14-K14</f>
        <v>-502.75</v>
      </c>
      <c r="M14" s="360">
        <f t="shared" si="2"/>
        <v>0</v>
      </c>
      <c r="N14" s="361">
        <f>IF(M14&lt;1,(F25-K25),(F25-K25)/M14)</f>
        <v>0</v>
      </c>
    </row>
    <row r="15" spans="2:14" s="233" customFormat="1" ht="12.75">
      <c r="B15" s="229">
        <v>1</v>
      </c>
      <c r="C15" s="353">
        <v>38</v>
      </c>
      <c r="D15" s="354">
        <v>39171</v>
      </c>
      <c r="E15" s="355" t="s">
        <v>99</v>
      </c>
      <c r="F15" s="356">
        <v>806.16</v>
      </c>
      <c r="G15" s="357">
        <f>H15-F15</f>
        <v>-806.16</v>
      </c>
      <c r="H15" s="356">
        <v>0</v>
      </c>
      <c r="I15" s="230">
        <v>25</v>
      </c>
      <c r="J15" s="231">
        <v>0</v>
      </c>
      <c r="K15" s="358">
        <v>806.16</v>
      </c>
      <c r="L15" s="359">
        <f>H15-K15</f>
        <v>-806.16</v>
      </c>
      <c r="M15" s="360">
        <f t="shared" si="2"/>
        <v>0</v>
      </c>
      <c r="N15" s="361">
        <f>IF(M15&lt;1,(F26-K26),(F26-K26)/M15)</f>
        <v>0</v>
      </c>
    </row>
    <row r="16" spans="2:14" s="233" customFormat="1" ht="12.75">
      <c r="B16" s="229"/>
      <c r="C16" s="353"/>
      <c r="D16" s="354"/>
      <c r="E16" s="362"/>
      <c r="F16" s="356">
        <v>0</v>
      </c>
      <c r="G16" s="357">
        <f t="shared" si="0"/>
        <v>0</v>
      </c>
      <c r="H16" s="356">
        <v>0</v>
      </c>
      <c r="I16" s="230">
        <v>0</v>
      </c>
      <c r="J16" s="231">
        <v>0</v>
      </c>
      <c r="K16" s="358">
        <v>0</v>
      </c>
      <c r="L16" s="359">
        <f t="shared" si="1"/>
        <v>0</v>
      </c>
      <c r="M16" s="360">
        <f t="shared" si="2"/>
        <v>0</v>
      </c>
      <c r="N16" s="361">
        <f t="shared" si="3"/>
        <v>0</v>
      </c>
    </row>
    <row r="17" spans="2:14" s="233" customFormat="1" ht="12.75">
      <c r="B17" s="229"/>
      <c r="C17" s="353"/>
      <c r="D17" s="354"/>
      <c r="E17" s="362"/>
      <c r="F17" s="356">
        <v>0</v>
      </c>
      <c r="G17" s="357">
        <f t="shared" si="0"/>
        <v>0</v>
      </c>
      <c r="H17" s="356">
        <v>0</v>
      </c>
      <c r="I17" s="230">
        <v>0</v>
      </c>
      <c r="J17" s="231">
        <v>0</v>
      </c>
      <c r="K17" s="358">
        <v>0</v>
      </c>
      <c r="L17" s="359">
        <f t="shared" si="1"/>
        <v>0</v>
      </c>
      <c r="M17" s="360">
        <f t="shared" si="2"/>
        <v>0</v>
      </c>
      <c r="N17" s="361">
        <f t="shared" si="3"/>
        <v>0</v>
      </c>
    </row>
    <row r="18" spans="2:14" s="233" customFormat="1" ht="12.75">
      <c r="B18" s="229"/>
      <c r="C18" s="353"/>
      <c r="D18" s="354"/>
      <c r="E18" s="362"/>
      <c r="F18" s="356">
        <v>0</v>
      </c>
      <c r="G18" s="357">
        <f t="shared" si="0"/>
        <v>0</v>
      </c>
      <c r="H18" s="356">
        <v>0</v>
      </c>
      <c r="I18" s="230">
        <v>0</v>
      </c>
      <c r="J18" s="231">
        <v>0</v>
      </c>
      <c r="K18" s="358">
        <v>0</v>
      </c>
      <c r="L18" s="359">
        <f t="shared" si="1"/>
        <v>0</v>
      </c>
      <c r="M18" s="360">
        <f t="shared" si="2"/>
        <v>0</v>
      </c>
      <c r="N18" s="361">
        <f t="shared" si="3"/>
        <v>0</v>
      </c>
    </row>
    <row r="19" spans="2:14" s="233" customFormat="1" ht="13.5" thickBot="1">
      <c r="B19" s="229"/>
      <c r="C19" s="353"/>
      <c r="D19" s="354"/>
      <c r="E19" s="362"/>
      <c r="F19" s="356">
        <v>0</v>
      </c>
      <c r="G19" s="357">
        <f t="shared" si="0"/>
        <v>0</v>
      </c>
      <c r="H19" s="356">
        <v>0</v>
      </c>
      <c r="I19" s="230">
        <v>0</v>
      </c>
      <c r="J19" s="231">
        <v>0</v>
      </c>
      <c r="K19" s="358">
        <v>0</v>
      </c>
      <c r="L19" s="359">
        <f t="shared" si="1"/>
        <v>0</v>
      </c>
      <c r="M19" s="360">
        <f t="shared" si="2"/>
        <v>0</v>
      </c>
      <c r="N19" s="361">
        <f t="shared" si="3"/>
        <v>0</v>
      </c>
    </row>
    <row r="20" spans="2:15" ht="14.25" thickBot="1" thickTop="1">
      <c r="B20" s="363"/>
      <c r="C20" s="364"/>
      <c r="D20" s="365"/>
      <c r="E20" s="366" t="s">
        <v>67</v>
      </c>
      <c r="F20" s="367">
        <f>SUM(F11:F19)</f>
        <v>2135.33</v>
      </c>
      <c r="G20" s="368">
        <f>SUM(G11:G19)</f>
        <v>-2135.33</v>
      </c>
      <c r="H20" s="367">
        <f>SUM(H11:H19)</f>
        <v>0</v>
      </c>
      <c r="I20" s="369"/>
      <c r="J20" s="178"/>
      <c r="K20" s="370">
        <f>SUM(K11:K19)</f>
        <v>2114.33</v>
      </c>
      <c r="L20" s="370">
        <f>SUM(L11:L19)</f>
        <v>-2114.33</v>
      </c>
      <c r="M20" s="128"/>
      <c r="N20" s="371">
        <f>SUM(N11:N19)</f>
        <v>0</v>
      </c>
      <c r="O20" s="372"/>
    </row>
    <row r="21" spans="2:14" ht="12.75">
      <c r="B21" s="373"/>
      <c r="C21" s="373"/>
      <c r="D21" s="373"/>
      <c r="E21" s="373"/>
      <c r="F21" s="374"/>
      <c r="G21" s="374"/>
      <c r="H21" s="374"/>
      <c r="I21" s="373"/>
      <c r="J21" s="373"/>
      <c r="K21" s="374"/>
      <c r="L21" s="374"/>
      <c r="M21" s="373"/>
      <c r="N21" s="373"/>
    </row>
    <row r="22" spans="13:14" ht="12.75">
      <c r="M22"/>
      <c r="N22"/>
    </row>
    <row r="23" spans="13:14" ht="12.75">
      <c r="M23"/>
      <c r="N23"/>
    </row>
    <row r="24" spans="13:14" ht="12.75">
      <c r="M24"/>
      <c r="N24"/>
    </row>
    <row r="25" spans="13:14" ht="12.75">
      <c r="M25"/>
      <c r="N25"/>
    </row>
    <row r="26" spans="13:14" ht="12.75">
      <c r="M26"/>
      <c r="N26"/>
    </row>
    <row r="27" spans="13:14" ht="12.75">
      <c r="M27"/>
      <c r="N27"/>
    </row>
    <row r="28" spans="13:14" ht="12.75">
      <c r="M28"/>
      <c r="N28"/>
    </row>
    <row r="29" spans="13:14" ht="12.75">
      <c r="M29"/>
      <c r="N29"/>
    </row>
    <row r="30" spans="13:14" ht="12.75">
      <c r="M30"/>
      <c r="N30"/>
    </row>
    <row r="31" spans="13:14" ht="12.75">
      <c r="M31"/>
      <c r="N31"/>
    </row>
    <row r="32" spans="13:14" ht="12.75">
      <c r="M32"/>
      <c r="N32"/>
    </row>
    <row r="33" spans="13:14" ht="12.75">
      <c r="M33"/>
      <c r="N33"/>
    </row>
    <row r="34" spans="13:14" ht="12.75">
      <c r="M34"/>
      <c r="N34"/>
    </row>
    <row r="35" spans="13:14" ht="12.75">
      <c r="M35"/>
      <c r="N35"/>
    </row>
    <row r="36" spans="13:14" ht="12.75">
      <c r="M36"/>
      <c r="N36"/>
    </row>
    <row r="37" spans="13:14" ht="12.75">
      <c r="M37"/>
      <c r="N37"/>
    </row>
    <row r="38" spans="13:14" ht="12.75">
      <c r="M38"/>
      <c r="N38"/>
    </row>
    <row r="39" spans="13:14" ht="12.75">
      <c r="M39"/>
      <c r="N39"/>
    </row>
    <row r="40" spans="13:14" ht="12.75">
      <c r="M40"/>
      <c r="N40"/>
    </row>
    <row r="41" spans="13:14" ht="12.75">
      <c r="M41"/>
      <c r="N41"/>
    </row>
    <row r="42" spans="13:14" ht="12.75">
      <c r="M42"/>
      <c r="N42"/>
    </row>
    <row r="43" spans="13:14" ht="12.75">
      <c r="M43"/>
      <c r="N43"/>
    </row>
    <row r="44" spans="13:14" ht="12.75">
      <c r="M44"/>
      <c r="N44"/>
    </row>
    <row r="45" spans="13:14" ht="12.75">
      <c r="M45"/>
      <c r="N45"/>
    </row>
    <row r="46" spans="13:14" ht="12.75">
      <c r="M46"/>
      <c r="N46"/>
    </row>
    <row r="47" spans="13:14" ht="12.75">
      <c r="M47"/>
      <c r="N47"/>
    </row>
    <row r="48" spans="13:14" ht="12.75">
      <c r="M48"/>
      <c r="N48"/>
    </row>
    <row r="49" spans="13:14" ht="12.75">
      <c r="M49"/>
      <c r="N49"/>
    </row>
    <row r="50" spans="13:14" ht="12.75">
      <c r="M50"/>
      <c r="N50"/>
    </row>
    <row r="51" spans="13:14" ht="12.75">
      <c r="M51"/>
      <c r="N51"/>
    </row>
    <row r="52" spans="13:14" ht="12.75">
      <c r="M52"/>
      <c r="N52"/>
    </row>
    <row r="53" spans="13:14" ht="12.75">
      <c r="M53"/>
      <c r="N53"/>
    </row>
    <row r="54" spans="13:14" ht="12.75">
      <c r="M54"/>
      <c r="N54"/>
    </row>
    <row r="55" spans="13:14" ht="12.75">
      <c r="M55"/>
      <c r="N55"/>
    </row>
    <row r="56" spans="13:14" ht="12.75">
      <c r="M56"/>
      <c r="N56"/>
    </row>
    <row r="57" spans="13:14" ht="12.75">
      <c r="M57"/>
      <c r="N57"/>
    </row>
    <row r="58" spans="13:14" ht="12.75">
      <c r="M58"/>
      <c r="N58"/>
    </row>
    <row r="59" spans="13:14" ht="12.75">
      <c r="M59"/>
      <c r="N59"/>
    </row>
    <row r="60" spans="13:14" ht="12.75">
      <c r="M60"/>
      <c r="N60"/>
    </row>
    <row r="61" spans="13:14" ht="12.75">
      <c r="M61"/>
      <c r="N61"/>
    </row>
    <row r="62" spans="13:14" ht="12.75">
      <c r="M62"/>
      <c r="N62"/>
    </row>
    <row r="63" spans="13:14" ht="12.75">
      <c r="M63"/>
      <c r="N63"/>
    </row>
    <row r="64" spans="13:14" ht="12.75">
      <c r="M64"/>
      <c r="N64"/>
    </row>
    <row r="65" spans="13:14" ht="12.75">
      <c r="M65"/>
      <c r="N65"/>
    </row>
    <row r="66" spans="13:14" ht="12.75">
      <c r="M66"/>
      <c r="N66"/>
    </row>
    <row r="67" spans="13:14" ht="12.75">
      <c r="M67"/>
      <c r="N67"/>
    </row>
    <row r="68" spans="13:14" ht="12.75">
      <c r="M68"/>
      <c r="N68"/>
    </row>
    <row r="69" spans="13:14" ht="12.75">
      <c r="M69"/>
      <c r="N69"/>
    </row>
    <row r="70" spans="13:14" ht="12.75">
      <c r="M70"/>
      <c r="N70"/>
    </row>
    <row r="71" spans="13:14" ht="12.75">
      <c r="M71"/>
      <c r="N71"/>
    </row>
    <row r="72" spans="13:14" ht="12.75">
      <c r="M72"/>
      <c r="N72"/>
    </row>
    <row r="73" spans="13:14" ht="12.75">
      <c r="M73"/>
      <c r="N73"/>
    </row>
    <row r="74" spans="13:14" ht="12.75">
      <c r="M74"/>
      <c r="N74"/>
    </row>
    <row r="75" spans="13:14" ht="12.75">
      <c r="M75"/>
      <c r="N75"/>
    </row>
    <row r="76" spans="13:14" ht="12.75">
      <c r="M76"/>
      <c r="N76"/>
    </row>
    <row r="77" spans="13:14" ht="12.75">
      <c r="M77"/>
      <c r="N77"/>
    </row>
    <row r="78" spans="13:14" ht="12.75">
      <c r="M78"/>
      <c r="N78"/>
    </row>
    <row r="79" spans="13:14" ht="12.75">
      <c r="M79"/>
      <c r="N79"/>
    </row>
    <row r="80" spans="13:14" ht="12.75">
      <c r="M80"/>
      <c r="N80"/>
    </row>
    <row r="81" spans="13:14" ht="12.75">
      <c r="M81"/>
      <c r="N81"/>
    </row>
    <row r="82" spans="13:14" ht="12.75">
      <c r="M82"/>
      <c r="N82"/>
    </row>
    <row r="83" spans="13:14" ht="12.75">
      <c r="M83"/>
      <c r="N83"/>
    </row>
    <row r="84" spans="13:14" ht="12.75">
      <c r="M84"/>
      <c r="N84"/>
    </row>
    <row r="85" spans="13:14" ht="12.75">
      <c r="M85"/>
      <c r="N85"/>
    </row>
  </sheetData>
  <sheetProtection/>
  <mergeCells count="1">
    <mergeCell ref="M6:N6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Sugarcreek Water Company Depreciation Schedule</dc:title>
  <dc:subject>EXCEL</dc:subject>
  <dc:creator>R. Rhodes</dc:creator>
  <cp:keywords/>
  <dc:description/>
  <cp:lastModifiedBy>Randy Rhodes</cp:lastModifiedBy>
  <cp:lastPrinted>2018-07-18T17:32:07Z</cp:lastPrinted>
  <dcterms:created xsi:type="dcterms:W3CDTF">2003-10-16T15:03:35Z</dcterms:created>
  <dcterms:modified xsi:type="dcterms:W3CDTF">2018-07-18T17:32:18Z</dcterms:modified>
  <cp:category/>
  <cp:version/>
  <cp:contentType/>
  <cp:contentStatus/>
</cp:coreProperties>
</file>