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96" windowWidth="9372" windowHeight="4968" tabRatio="599"/>
  </bookViews>
  <sheets>
    <sheet name=" DEPSCH BY ACCO #" sheetId="1" r:id="rId1"/>
    <sheet name="SUMMARY" sheetId="2" r:id="rId2"/>
    <sheet name="RB SCH" sheetId="3" r:id="rId3"/>
    <sheet name="RETIRE SCH" sheetId="6" r:id="rId4"/>
    <sheet name="CO DERSCH" sheetId="5" r:id="rId5"/>
  </sheets>
  <definedNames>
    <definedName name="_xlnm.Print_Area" localSheetId="0">' DEPSCH BY ACCO #'!$A$1:$V$238</definedName>
    <definedName name="_xlnm.Print_Area" localSheetId="4">'CO DERSCH'!$A$2:$I$182</definedName>
    <definedName name="_xlnm.Print_Area" localSheetId="2">'RB SCH'!$A$1:$H$35</definedName>
    <definedName name="_xlnm.Print_Area" localSheetId="3">'RETIRE SCH'!$A$1:$N$22</definedName>
    <definedName name="_xlnm.Print_Area" localSheetId="1">SUMMARY!$B$1:$I$35</definedName>
    <definedName name="_xlnm.Print_Titles" localSheetId="0">' DEPSCH BY ACCO #'!$8:$11</definedName>
  </definedNames>
  <calcPr calcId="145621"/>
</workbook>
</file>

<file path=xl/calcChain.xml><?xml version="1.0" encoding="utf-8"?>
<calcChain xmlns="http://schemas.openxmlformats.org/spreadsheetml/2006/main">
  <c r="G217" i="1" l="1"/>
  <c r="U220" i="1"/>
  <c r="V220" i="1" s="1"/>
  <c r="S220" i="1"/>
  <c r="M220" i="1" s="1"/>
  <c r="L220" i="1"/>
  <c r="G220" i="1"/>
  <c r="U219" i="1"/>
  <c r="V219" i="1" s="1"/>
  <c r="S219" i="1"/>
  <c r="M219" i="1" s="1"/>
  <c r="L219" i="1"/>
  <c r="G219" i="1"/>
  <c r="U218" i="1"/>
  <c r="V218" i="1" s="1"/>
  <c r="S218" i="1"/>
  <c r="M218" i="1" s="1"/>
  <c r="L218" i="1"/>
  <c r="G218" i="1"/>
  <c r="U217" i="1"/>
  <c r="V217" i="1" s="1"/>
  <c r="S217" i="1"/>
  <c r="M217" i="1"/>
  <c r="L217" i="1"/>
  <c r="J181" i="1" l="1"/>
  <c r="U221" i="1"/>
  <c r="V221" i="1" s="1"/>
  <c r="S221" i="1"/>
  <c r="M221" i="1" s="1"/>
  <c r="L221" i="1"/>
  <c r="G221" i="1"/>
  <c r="K223" i="1" l="1"/>
  <c r="H223" i="1"/>
  <c r="F223" i="1"/>
  <c r="U222" i="1" l="1"/>
  <c r="V222" i="1" s="1"/>
  <c r="S222" i="1"/>
  <c r="M222" i="1" s="1"/>
  <c r="L222" i="1"/>
  <c r="G222" i="1"/>
  <c r="U215" i="1"/>
  <c r="V215" i="1" s="1"/>
  <c r="S215" i="1"/>
  <c r="M215" i="1" s="1"/>
  <c r="L215" i="1"/>
  <c r="G215" i="1"/>
  <c r="G212" i="1" l="1"/>
  <c r="L212" i="1"/>
  <c r="S212" i="1"/>
  <c r="M212" i="1" s="1"/>
  <c r="U212" i="1"/>
  <c r="V212" i="1" s="1"/>
  <c r="G213" i="1"/>
  <c r="L213" i="1"/>
  <c r="S213" i="1"/>
  <c r="M213" i="1" s="1"/>
  <c r="U213" i="1"/>
  <c r="V213" i="1" s="1"/>
  <c r="G214" i="1"/>
  <c r="L214" i="1"/>
  <c r="S214" i="1"/>
  <c r="M214" i="1" s="1"/>
  <c r="U214" i="1"/>
  <c r="V214" i="1" s="1"/>
  <c r="G216" i="1"/>
  <c r="L216" i="1"/>
  <c r="S216" i="1"/>
  <c r="M216" i="1" s="1"/>
  <c r="U216" i="1"/>
  <c r="V216" i="1" s="1"/>
  <c r="L17" i="6"/>
  <c r="N17" i="6" s="1"/>
  <c r="G17" i="6"/>
  <c r="N16" i="6"/>
  <c r="G16" i="6"/>
  <c r="D9" i="2"/>
  <c r="L211" i="1"/>
  <c r="G211" i="1"/>
  <c r="F232" i="1"/>
  <c r="D8" i="2" s="1"/>
  <c r="C9" i="3" s="1"/>
  <c r="U210" i="1"/>
  <c r="V210" i="1" s="1"/>
  <c r="U211" i="1"/>
  <c r="S210" i="1"/>
  <c r="M210" i="1" s="1"/>
  <c r="S211" i="1"/>
  <c r="M211" i="1" s="1"/>
  <c r="L210" i="1"/>
  <c r="G210" i="1"/>
  <c r="I191" i="5"/>
  <c r="U207" i="1"/>
  <c r="V207" i="1" s="1"/>
  <c r="S207" i="1"/>
  <c r="M207" i="1" s="1"/>
  <c r="L207" i="1"/>
  <c r="G207" i="1"/>
  <c r="L18" i="6"/>
  <c r="N18" i="6" s="1"/>
  <c r="G18" i="6"/>
  <c r="C13" i="3"/>
  <c r="O170" i="1"/>
  <c r="M170" i="1" s="1"/>
  <c r="S209" i="1"/>
  <c r="M209" i="1" s="1"/>
  <c r="O20" i="1"/>
  <c r="O21" i="1"/>
  <c r="M21" i="1" s="1"/>
  <c r="O22" i="1"/>
  <c r="M22" i="1" s="1"/>
  <c r="O23" i="1"/>
  <c r="M23" i="1" s="1"/>
  <c r="O24" i="1"/>
  <c r="M24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O31" i="1"/>
  <c r="M31" i="1" s="1"/>
  <c r="O32" i="1"/>
  <c r="M32" i="1" s="1"/>
  <c r="O33" i="1"/>
  <c r="M33" i="1" s="1"/>
  <c r="O34" i="1"/>
  <c r="M34" i="1" s="1"/>
  <c r="O35" i="1"/>
  <c r="M35" i="1" s="1"/>
  <c r="O36" i="1"/>
  <c r="M36" i="1" s="1"/>
  <c r="O37" i="1"/>
  <c r="M37" i="1" s="1"/>
  <c r="O38" i="1"/>
  <c r="M38" i="1" s="1"/>
  <c r="O39" i="1"/>
  <c r="M39" i="1" s="1"/>
  <c r="O40" i="1"/>
  <c r="M40" i="1" s="1"/>
  <c r="O41" i="1"/>
  <c r="M41" i="1" s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M48" i="1" s="1"/>
  <c r="O49" i="1"/>
  <c r="M49" i="1" s="1"/>
  <c r="O50" i="1"/>
  <c r="M50" i="1" s="1"/>
  <c r="O51" i="1"/>
  <c r="M51" i="1" s="1"/>
  <c r="O52" i="1"/>
  <c r="M52" i="1" s="1"/>
  <c r="O53" i="1"/>
  <c r="M53" i="1" s="1"/>
  <c r="O54" i="1"/>
  <c r="M54" i="1" s="1"/>
  <c r="O55" i="1"/>
  <c r="M55" i="1" s="1"/>
  <c r="O56" i="1"/>
  <c r="M56" i="1" s="1"/>
  <c r="O57" i="1"/>
  <c r="M57" i="1" s="1"/>
  <c r="O58" i="1"/>
  <c r="M58" i="1" s="1"/>
  <c r="O59" i="1"/>
  <c r="M59" i="1" s="1"/>
  <c r="O60" i="1"/>
  <c r="M60" i="1" s="1"/>
  <c r="O61" i="1"/>
  <c r="M61" i="1" s="1"/>
  <c r="O62" i="1"/>
  <c r="M62" i="1" s="1"/>
  <c r="O63" i="1"/>
  <c r="M63" i="1" s="1"/>
  <c r="O64" i="1"/>
  <c r="M64" i="1" s="1"/>
  <c r="O65" i="1"/>
  <c r="M65" i="1" s="1"/>
  <c r="O66" i="1"/>
  <c r="M66" i="1" s="1"/>
  <c r="O67" i="1"/>
  <c r="M67" i="1" s="1"/>
  <c r="O68" i="1"/>
  <c r="M68" i="1" s="1"/>
  <c r="O69" i="1"/>
  <c r="M69" i="1" s="1"/>
  <c r="O70" i="1"/>
  <c r="M70" i="1" s="1"/>
  <c r="O71" i="1"/>
  <c r="M71" i="1" s="1"/>
  <c r="O72" i="1"/>
  <c r="M72" i="1" s="1"/>
  <c r="O73" i="1"/>
  <c r="M73" i="1" s="1"/>
  <c r="O74" i="1"/>
  <c r="M74" i="1" s="1"/>
  <c r="O75" i="1"/>
  <c r="M75" i="1" s="1"/>
  <c r="O76" i="1"/>
  <c r="M76" i="1" s="1"/>
  <c r="O77" i="1"/>
  <c r="M77" i="1" s="1"/>
  <c r="O78" i="1"/>
  <c r="M78" i="1" s="1"/>
  <c r="O79" i="1"/>
  <c r="M79" i="1" s="1"/>
  <c r="O80" i="1"/>
  <c r="M80" i="1" s="1"/>
  <c r="O81" i="1"/>
  <c r="M81" i="1" s="1"/>
  <c r="O82" i="1"/>
  <c r="M82" i="1" s="1"/>
  <c r="O83" i="1"/>
  <c r="M83" i="1" s="1"/>
  <c r="O84" i="1"/>
  <c r="M84" i="1" s="1"/>
  <c r="O85" i="1"/>
  <c r="M85" i="1" s="1"/>
  <c r="O86" i="1"/>
  <c r="M86" i="1" s="1"/>
  <c r="O87" i="1"/>
  <c r="M87" i="1" s="1"/>
  <c r="O88" i="1"/>
  <c r="M88" i="1" s="1"/>
  <c r="O89" i="1"/>
  <c r="M89" i="1" s="1"/>
  <c r="O90" i="1"/>
  <c r="M90" i="1" s="1"/>
  <c r="O91" i="1"/>
  <c r="M91" i="1" s="1"/>
  <c r="O92" i="1"/>
  <c r="M92" i="1" s="1"/>
  <c r="O93" i="1"/>
  <c r="M93" i="1" s="1"/>
  <c r="O94" i="1"/>
  <c r="M94" i="1" s="1"/>
  <c r="O95" i="1"/>
  <c r="M95" i="1" s="1"/>
  <c r="O96" i="1"/>
  <c r="M96" i="1" s="1"/>
  <c r="O97" i="1"/>
  <c r="M97" i="1" s="1"/>
  <c r="O98" i="1"/>
  <c r="M98" i="1" s="1"/>
  <c r="O99" i="1"/>
  <c r="M99" i="1" s="1"/>
  <c r="O100" i="1"/>
  <c r="M100" i="1" s="1"/>
  <c r="O101" i="1"/>
  <c r="M101" i="1" s="1"/>
  <c r="O102" i="1"/>
  <c r="M102" i="1" s="1"/>
  <c r="O103" i="1"/>
  <c r="M103" i="1" s="1"/>
  <c r="O104" i="1"/>
  <c r="M104" i="1" s="1"/>
  <c r="O105" i="1"/>
  <c r="M105" i="1" s="1"/>
  <c r="O106" i="1"/>
  <c r="M106" i="1" s="1"/>
  <c r="O107" i="1"/>
  <c r="M107" i="1" s="1"/>
  <c r="O108" i="1"/>
  <c r="M108" i="1" s="1"/>
  <c r="O109" i="1"/>
  <c r="M109" i="1" s="1"/>
  <c r="O110" i="1"/>
  <c r="M110" i="1" s="1"/>
  <c r="O111" i="1"/>
  <c r="M111" i="1" s="1"/>
  <c r="O112" i="1"/>
  <c r="M112" i="1" s="1"/>
  <c r="O113" i="1"/>
  <c r="M113" i="1" s="1"/>
  <c r="O114" i="1"/>
  <c r="M114" i="1" s="1"/>
  <c r="O115" i="1"/>
  <c r="M115" i="1" s="1"/>
  <c r="O116" i="1"/>
  <c r="M116" i="1" s="1"/>
  <c r="O117" i="1"/>
  <c r="M117" i="1" s="1"/>
  <c r="O118" i="1"/>
  <c r="M118" i="1" s="1"/>
  <c r="O119" i="1"/>
  <c r="M119" i="1" s="1"/>
  <c r="O120" i="1"/>
  <c r="M120" i="1" s="1"/>
  <c r="O121" i="1"/>
  <c r="M121" i="1" s="1"/>
  <c r="O122" i="1"/>
  <c r="M122" i="1" s="1"/>
  <c r="O123" i="1"/>
  <c r="M123" i="1" s="1"/>
  <c r="O124" i="1"/>
  <c r="M124" i="1" s="1"/>
  <c r="O125" i="1"/>
  <c r="M125" i="1" s="1"/>
  <c r="O126" i="1"/>
  <c r="M126" i="1" s="1"/>
  <c r="O127" i="1"/>
  <c r="M127" i="1" s="1"/>
  <c r="O128" i="1"/>
  <c r="M128" i="1" s="1"/>
  <c r="O129" i="1"/>
  <c r="M129" i="1" s="1"/>
  <c r="O130" i="1"/>
  <c r="M130" i="1" s="1"/>
  <c r="O131" i="1"/>
  <c r="M131" i="1" s="1"/>
  <c r="O132" i="1"/>
  <c r="M132" i="1" s="1"/>
  <c r="O133" i="1"/>
  <c r="M133" i="1" s="1"/>
  <c r="O134" i="1"/>
  <c r="M134" i="1" s="1"/>
  <c r="O135" i="1"/>
  <c r="M135" i="1" s="1"/>
  <c r="O136" i="1"/>
  <c r="M136" i="1" s="1"/>
  <c r="O137" i="1"/>
  <c r="M137" i="1" s="1"/>
  <c r="O138" i="1"/>
  <c r="M138" i="1" s="1"/>
  <c r="O139" i="1"/>
  <c r="M139" i="1" s="1"/>
  <c r="O140" i="1"/>
  <c r="M140" i="1" s="1"/>
  <c r="O141" i="1"/>
  <c r="M141" i="1" s="1"/>
  <c r="O142" i="1"/>
  <c r="M142" i="1" s="1"/>
  <c r="O143" i="1"/>
  <c r="M143" i="1" s="1"/>
  <c r="O144" i="1"/>
  <c r="M144" i="1" s="1"/>
  <c r="O145" i="1"/>
  <c r="M145" i="1" s="1"/>
  <c r="O146" i="1"/>
  <c r="M146" i="1" s="1"/>
  <c r="O147" i="1"/>
  <c r="M147" i="1" s="1"/>
  <c r="O148" i="1"/>
  <c r="M148" i="1" s="1"/>
  <c r="O149" i="1"/>
  <c r="M149" i="1" s="1"/>
  <c r="O150" i="1"/>
  <c r="M150" i="1" s="1"/>
  <c r="O151" i="1"/>
  <c r="M151" i="1" s="1"/>
  <c r="O152" i="1"/>
  <c r="M152" i="1" s="1"/>
  <c r="O153" i="1"/>
  <c r="M153" i="1" s="1"/>
  <c r="O154" i="1"/>
  <c r="M154" i="1" s="1"/>
  <c r="O155" i="1"/>
  <c r="M155" i="1" s="1"/>
  <c r="O156" i="1"/>
  <c r="M156" i="1" s="1"/>
  <c r="O157" i="1"/>
  <c r="M157" i="1" s="1"/>
  <c r="O158" i="1"/>
  <c r="M158" i="1" s="1"/>
  <c r="O159" i="1"/>
  <c r="M159" i="1" s="1"/>
  <c r="O160" i="1"/>
  <c r="M160" i="1" s="1"/>
  <c r="O161" i="1"/>
  <c r="M161" i="1" s="1"/>
  <c r="O162" i="1"/>
  <c r="M162" i="1" s="1"/>
  <c r="O163" i="1"/>
  <c r="M163" i="1" s="1"/>
  <c r="O164" i="1"/>
  <c r="M164" i="1" s="1"/>
  <c r="O165" i="1"/>
  <c r="M165" i="1" s="1"/>
  <c r="O166" i="1"/>
  <c r="M166" i="1" s="1"/>
  <c r="O167" i="1"/>
  <c r="M167" i="1" s="1"/>
  <c r="O168" i="1"/>
  <c r="M168" i="1" s="1"/>
  <c r="O169" i="1"/>
  <c r="M169" i="1" s="1"/>
  <c r="O171" i="1"/>
  <c r="M171" i="1" s="1"/>
  <c r="O172" i="1"/>
  <c r="M172" i="1" s="1"/>
  <c r="O173" i="1"/>
  <c r="M173" i="1" s="1"/>
  <c r="O174" i="1"/>
  <c r="M174" i="1" s="1"/>
  <c r="O175" i="1"/>
  <c r="M175" i="1" s="1"/>
  <c r="O176" i="1"/>
  <c r="M176" i="1" s="1"/>
  <c r="O177" i="1"/>
  <c r="M177" i="1" s="1"/>
  <c r="O178" i="1"/>
  <c r="M178" i="1" s="1"/>
  <c r="O179" i="1"/>
  <c r="M179" i="1" s="1"/>
  <c r="O180" i="1"/>
  <c r="M180" i="1" s="1"/>
  <c r="O181" i="1"/>
  <c r="M181" i="1" s="1"/>
  <c r="O182" i="1"/>
  <c r="M182" i="1" s="1"/>
  <c r="O183" i="1"/>
  <c r="M183" i="1" s="1"/>
  <c r="S184" i="1"/>
  <c r="S185" i="1"/>
  <c r="M185" i="1" s="1"/>
  <c r="S186" i="1"/>
  <c r="M186" i="1" s="1"/>
  <c r="S187" i="1"/>
  <c r="M187" i="1" s="1"/>
  <c r="S188" i="1"/>
  <c r="M188" i="1" s="1"/>
  <c r="S189" i="1"/>
  <c r="M189" i="1" s="1"/>
  <c r="S190" i="1"/>
  <c r="M190" i="1" s="1"/>
  <c r="S191" i="1"/>
  <c r="M191" i="1" s="1"/>
  <c r="S192" i="1"/>
  <c r="M192" i="1" s="1"/>
  <c r="S193" i="1"/>
  <c r="M193" i="1" s="1"/>
  <c r="S194" i="1"/>
  <c r="M194" i="1" s="1"/>
  <c r="S195" i="1"/>
  <c r="M195" i="1" s="1"/>
  <c r="S196" i="1"/>
  <c r="M196" i="1" s="1"/>
  <c r="S197" i="1"/>
  <c r="M197" i="1" s="1"/>
  <c r="S198" i="1"/>
  <c r="M198" i="1" s="1"/>
  <c r="S199" i="1"/>
  <c r="M199" i="1" s="1"/>
  <c r="S200" i="1"/>
  <c r="M200" i="1" s="1"/>
  <c r="S201" i="1"/>
  <c r="M201" i="1" s="1"/>
  <c r="S202" i="1"/>
  <c r="M202" i="1" s="1"/>
  <c r="S203" i="1"/>
  <c r="M203" i="1" s="1"/>
  <c r="S204" i="1"/>
  <c r="M204" i="1" s="1"/>
  <c r="S205" i="1"/>
  <c r="M205" i="1" s="1"/>
  <c r="S208" i="1"/>
  <c r="M208" i="1" s="1"/>
  <c r="S206" i="1"/>
  <c r="M206" i="1" s="1"/>
  <c r="G15" i="1"/>
  <c r="U208" i="1"/>
  <c r="V208" i="1" s="1"/>
  <c r="L208" i="1"/>
  <c r="G208" i="1"/>
  <c r="K17" i="1"/>
  <c r="F17" i="1"/>
  <c r="F233" i="1" s="1"/>
  <c r="H17" i="1"/>
  <c r="H12" i="2" s="1"/>
  <c r="Q113" i="1"/>
  <c r="R113" i="1" s="1"/>
  <c r="L113" i="1"/>
  <c r="G113" i="1"/>
  <c r="Q90" i="1"/>
  <c r="R90" i="1" s="1"/>
  <c r="L90" i="1"/>
  <c r="G90" i="1"/>
  <c r="Q88" i="1"/>
  <c r="R88" i="1" s="1"/>
  <c r="Q87" i="1"/>
  <c r="R87" i="1" s="1"/>
  <c r="Q78" i="1"/>
  <c r="R78" i="1" s="1"/>
  <c r="Q77" i="1"/>
  <c r="R77" i="1" s="1"/>
  <c r="Q76" i="1"/>
  <c r="R76" i="1" s="1"/>
  <c r="L76" i="1"/>
  <c r="G76" i="1"/>
  <c r="F235" i="1"/>
  <c r="G7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9" i="1"/>
  <c r="G80" i="1"/>
  <c r="G81" i="1"/>
  <c r="G82" i="1"/>
  <c r="G83" i="1"/>
  <c r="G84" i="1"/>
  <c r="G85" i="1"/>
  <c r="G86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9" i="1"/>
  <c r="U209" i="1"/>
  <c r="V209" i="1" s="1"/>
  <c r="U201" i="1"/>
  <c r="V201" i="1" s="1"/>
  <c r="U202" i="1"/>
  <c r="V202" i="1" s="1"/>
  <c r="U203" i="1"/>
  <c r="V203" i="1" s="1"/>
  <c r="U205" i="1"/>
  <c r="V205" i="1" s="1"/>
  <c r="U204" i="1"/>
  <c r="V204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6" i="1"/>
  <c r="V206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9" i="1"/>
  <c r="R89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R141" i="1" s="1"/>
  <c r="Q142" i="1"/>
  <c r="R142" i="1" s="1"/>
  <c r="Q143" i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R154" i="1" s="1"/>
  <c r="Q155" i="1"/>
  <c r="R155" i="1" s="1"/>
  <c r="Q156" i="1"/>
  <c r="R156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R175" i="1" s="1"/>
  <c r="Q176" i="1"/>
  <c r="R176" i="1" s="1"/>
  <c r="Q177" i="1"/>
  <c r="R177" i="1" s="1"/>
  <c r="Q178" i="1"/>
  <c r="R178" i="1" s="1"/>
  <c r="Q179" i="1"/>
  <c r="R179" i="1" s="1"/>
  <c r="Q180" i="1"/>
  <c r="R180" i="1" s="1"/>
  <c r="Q181" i="1"/>
  <c r="R181" i="1" s="1"/>
  <c r="Q182" i="1"/>
  <c r="R182" i="1" s="1"/>
  <c r="Q183" i="1"/>
  <c r="R183" i="1" s="1"/>
  <c r="L75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9" i="1"/>
  <c r="L80" i="1"/>
  <c r="L81" i="1"/>
  <c r="L82" i="1"/>
  <c r="L83" i="1"/>
  <c r="L84" i="1"/>
  <c r="L85" i="1"/>
  <c r="L86" i="1"/>
  <c r="L89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9" i="1"/>
  <c r="R17" i="1"/>
  <c r="O17" i="1"/>
  <c r="N17" i="1"/>
  <c r="N223" i="1" s="1"/>
  <c r="M17" i="1"/>
  <c r="L17" i="1"/>
  <c r="J17" i="1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F192" i="5"/>
  <c r="J192" i="5"/>
  <c r="I190" i="5"/>
  <c r="I189" i="5"/>
  <c r="I188" i="5"/>
  <c r="I187" i="5"/>
  <c r="I186" i="5"/>
  <c r="I185" i="5"/>
  <c r="I184" i="5"/>
  <c r="I183" i="5"/>
  <c r="J39" i="1"/>
  <c r="J40" i="1"/>
  <c r="J41" i="1"/>
  <c r="J91" i="1"/>
  <c r="J92" i="1"/>
  <c r="J95" i="1"/>
  <c r="J96" i="1"/>
  <c r="J97" i="1"/>
  <c r="J101" i="1"/>
  <c r="J102" i="1"/>
  <c r="J103" i="1"/>
  <c r="J105" i="1"/>
  <c r="J106" i="1"/>
  <c r="J107" i="1"/>
  <c r="J108" i="1"/>
  <c r="J110" i="1"/>
  <c r="J112" i="1"/>
  <c r="J114" i="1"/>
  <c r="J115" i="1"/>
  <c r="J117" i="1"/>
  <c r="J118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7" i="1"/>
  <c r="J169" i="1"/>
  <c r="J173" i="1"/>
  <c r="J174" i="1"/>
  <c r="J177" i="1"/>
  <c r="J178" i="1"/>
  <c r="J180" i="1"/>
  <c r="J182" i="1"/>
  <c r="J183" i="1"/>
  <c r="J184" i="1"/>
  <c r="J187" i="1"/>
  <c r="J188" i="1"/>
  <c r="J189" i="1"/>
  <c r="J190" i="1"/>
  <c r="J192" i="1"/>
  <c r="J193" i="1"/>
  <c r="J194" i="1"/>
  <c r="J199" i="1"/>
  <c r="J200" i="1"/>
  <c r="H8" i="2"/>
  <c r="G14" i="1"/>
  <c r="G16" i="1"/>
  <c r="G17" i="1" s="1"/>
  <c r="F12" i="2" s="1"/>
  <c r="D31" i="2"/>
  <c r="D30" i="2"/>
  <c r="Q229" i="1"/>
  <c r="R229" i="1" s="1"/>
  <c r="D24" i="2" s="1"/>
  <c r="O229" i="1"/>
  <c r="M229" i="1" s="1"/>
  <c r="G229" i="1"/>
  <c r="E7" i="6"/>
  <c r="L20" i="6"/>
  <c r="N20" i="6"/>
  <c r="L19" i="6"/>
  <c r="N19" i="6"/>
  <c r="N14" i="6"/>
  <c r="N13" i="6"/>
  <c r="N12" i="6"/>
  <c r="N11" i="6"/>
  <c r="G19" i="6"/>
  <c r="G15" i="6"/>
  <c r="G14" i="6"/>
  <c r="G13" i="6"/>
  <c r="G12" i="6"/>
  <c r="G11" i="6"/>
  <c r="G16" i="3"/>
  <c r="N15" i="6"/>
  <c r="G20" i="6"/>
  <c r="F21" i="6"/>
  <c r="G21" i="6"/>
  <c r="H21" i="6"/>
  <c r="K21" i="6"/>
  <c r="L21" i="6"/>
  <c r="S9" i="1"/>
  <c r="O9" i="1"/>
  <c r="B3" i="2"/>
  <c r="E162" i="1"/>
  <c r="E159" i="1"/>
  <c r="E156" i="1"/>
  <c r="E155" i="1"/>
  <c r="E154" i="1"/>
  <c r="E146" i="1"/>
  <c r="E145" i="1"/>
  <c r="E142" i="1"/>
  <c r="E95" i="1"/>
  <c r="E81" i="1"/>
  <c r="E79" i="1"/>
  <c r="E69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6" i="1"/>
  <c r="E25" i="1"/>
  <c r="E24" i="1"/>
  <c r="E23" i="1"/>
  <c r="E22" i="1"/>
  <c r="E20" i="1"/>
  <c r="E21" i="1"/>
  <c r="H235" i="1"/>
  <c r="G235" i="1"/>
  <c r="G234" i="1"/>
  <c r="Q226" i="1"/>
  <c r="O226" i="1"/>
  <c r="M226" i="1" s="1"/>
  <c r="G226" i="1"/>
  <c r="H233" i="1"/>
  <c r="H232" i="1"/>
  <c r="C16" i="3"/>
  <c r="E16" i="3" s="1"/>
  <c r="F17" i="2"/>
  <c r="F16" i="2"/>
  <c r="B4" i="2"/>
  <c r="V211" i="1"/>
  <c r="F237" i="1"/>
  <c r="G233" i="1"/>
  <c r="R226" i="1" l="1"/>
  <c r="D25" i="2" s="1"/>
  <c r="L223" i="1"/>
  <c r="R223" i="1"/>
  <c r="V223" i="1"/>
  <c r="M184" i="1"/>
  <c r="S223" i="1"/>
  <c r="J223" i="1"/>
  <c r="D29" i="2" s="1"/>
  <c r="D33" i="2" s="1"/>
  <c r="G223" i="1"/>
  <c r="G232" i="1" s="1"/>
  <c r="G237" i="1" s="1"/>
  <c r="M20" i="1"/>
  <c r="O223" i="1"/>
  <c r="H237" i="1"/>
  <c r="N21" i="6"/>
  <c r="D11" i="2"/>
  <c r="D14" i="2" s="1"/>
  <c r="C11" i="3"/>
  <c r="C12" i="3" s="1"/>
  <c r="M30" i="1"/>
  <c r="M223" i="1" s="1"/>
  <c r="H9" i="2" l="1"/>
  <c r="D23" i="2"/>
  <c r="D27" i="2" s="1"/>
  <c r="D35" i="2" s="1"/>
  <c r="F8" i="2"/>
  <c r="F9" i="2"/>
  <c r="G11" i="3"/>
  <c r="G12" i="3" s="1"/>
  <c r="E12" i="3" s="1"/>
  <c r="H11" i="2"/>
  <c r="D20" i="2"/>
  <c r="C18" i="3" s="1"/>
  <c r="C14" i="3"/>
  <c r="F11" i="2" l="1"/>
  <c r="F14" i="2" s="1"/>
  <c r="E14" i="3" s="1"/>
  <c r="E11" i="3"/>
  <c r="H18" i="2"/>
  <c r="H14" i="2"/>
  <c r="G17" i="3" l="1"/>
  <c r="E17" i="3" s="1"/>
  <c r="F18" i="2"/>
  <c r="F20" i="2" s="1"/>
  <c r="E18" i="3" s="1"/>
  <c r="G14" i="3"/>
  <c r="H20" i="2"/>
  <c r="G18" i="3" s="1"/>
</calcChain>
</file>

<file path=xl/comments1.xml><?xml version="1.0" encoding="utf-8"?>
<comments xmlns="http://schemas.openxmlformats.org/spreadsheetml/2006/main">
  <authors>
    <author>MIS</author>
    <author>llash</author>
  </authors>
  <commentList>
    <comment ref="N10" authorId="0">
      <text>
        <r>
          <rPr>
            <b/>
            <sz val="8"/>
            <color indexed="81"/>
            <rFont val="Tahoma"/>
            <family val="2"/>
          </rPr>
          <t>This date should always remain @ 12/31/2002.</t>
        </r>
      </text>
    </comment>
    <comment ref="B14" authorId="0">
      <text>
        <r>
          <rPr>
            <sz val="8"/>
            <color indexed="81"/>
            <rFont val="Tahoma"/>
            <family val="2"/>
          </rPr>
          <t>Note #1:  This figure is from Schedule L, Form 1120 of the Federal Tax Returns. Lash, R-00061560.</t>
        </r>
      </text>
    </comment>
    <comment ref="B15" authorId="0">
      <text>
        <r>
          <rPr>
            <sz val="8"/>
            <color indexed="81"/>
            <rFont val="Tahoma"/>
            <family val="2"/>
          </rPr>
          <t>Note #5:  This VALUE is from Co. Depreciation Schedule. Lash, R-00061560.</t>
        </r>
      </text>
    </comment>
    <comment ref="B16" authorId="0">
      <text>
        <r>
          <rPr>
            <sz val="8"/>
            <color indexed="81"/>
            <rFont val="Tahoma"/>
            <family val="2"/>
          </rPr>
          <t>Note #2:  This figure is from Schedule L, Form 1120 of the Federal Tax Returns, Line 14 of the Attached Statement to. Lash, R-00061560,.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sz val="8"/>
            <color indexed="81"/>
            <rFont val="Tahoma"/>
            <family val="2"/>
          </rPr>
          <t xml:space="preserve">Note #6:  In the Co's Depr Schedule ending 12/31/02 found at R-00038499 </t>
        </r>
        <r>
          <rPr>
            <sz val="8"/>
            <color indexed="81"/>
            <rFont val="Tahoma"/>
            <family val="2"/>
          </rPr>
          <t>the accrued depr for this Item #7 is listed as $3,599.98 where as it's original cost value is listed as $3,564.40 which is $35.58 more than the original cost (This item was over depreciated).  In this filing at R-00061560, the Co corrected the amount claimed for accrued for this item to $3,564.40, however this correction is not reflected in the Co's tax returns ($250,032 - $36 = $249,996). LASH</t>
        </r>
      </text>
    </comment>
    <comment ref="B80" authorId="1">
      <text>
        <r>
          <rPr>
            <b/>
            <sz val="8"/>
            <color indexed="81"/>
            <rFont val="Tahoma"/>
            <family val="2"/>
          </rPr>
          <t>llash: Note #7:  email from R. Rhodes 9/15/06 at R-00061560.</t>
        </r>
      </text>
    </comment>
    <comment ref="B195" authorId="0">
      <text>
        <r>
          <rPr>
            <sz val="8"/>
            <color indexed="81"/>
            <rFont val="Tahoma"/>
            <family val="2"/>
          </rPr>
          <t xml:space="preserve">Note #3:  During the R-00061560 rate case this computer was still in service. LASH
</t>
        </r>
      </text>
    </comment>
    <comment ref="B205" authorId="0">
      <text>
        <r>
          <rPr>
            <sz val="8"/>
            <color indexed="81"/>
            <rFont val="Tahoma"/>
            <family val="2"/>
          </rPr>
          <t>Note #4:  The Co listed this in one account with the title of "NEW VALVES &amp; 3 HYDRANTS - WEBCO.  The cost of 3 hydrants seem high.  To clarify we asked them to break it dw into two accounts. Lash R-00061560.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8" authorId="0">
      <text>
        <r>
          <rPr>
            <sz val="8"/>
            <color indexed="81"/>
            <rFont val="Tahoma"/>
            <family val="2"/>
          </rPr>
          <t xml:space="preserve">Tap of an existing main, a 6" and 10' valve, bends &amp; thrust block.
</t>
        </r>
      </text>
    </comment>
  </commentList>
</comments>
</file>

<file path=xl/comments2.xml><?xml version="1.0" encoding="utf-8"?>
<comments xmlns="http://schemas.openxmlformats.org/spreadsheetml/2006/main">
  <authors>
    <author>Randy Rhodes</author>
    <author>llash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Randy Rhodes:</t>
        </r>
        <r>
          <rPr>
            <sz val="9"/>
            <color indexed="81"/>
            <rFont val="Tahoma"/>
            <family val="2"/>
          </rPr>
          <t xml:space="preserve">
= Total Operating Expense - Depreciation * 12.5%</t>
        </r>
      </text>
    </comment>
    <comment ref="H18" authorId="1">
      <text>
        <r>
          <rPr>
            <sz val="8"/>
            <color indexed="81"/>
            <rFont val="Tahoma"/>
            <family val="2"/>
          </rPr>
          <t>The Co is claiming M&amp;S as an expense.</t>
        </r>
      </text>
    </comment>
  </commentList>
</comments>
</file>

<file path=xl/sharedStrings.xml><?xml version="1.0" encoding="utf-8"?>
<sst xmlns="http://schemas.openxmlformats.org/spreadsheetml/2006/main" count="932" uniqueCount="318">
  <si>
    <t xml:space="preserve">COMPANY:  </t>
  </si>
  <si>
    <t>today's date</t>
  </si>
  <si>
    <t>Company</t>
  </si>
  <si>
    <t>FUS</t>
  </si>
  <si>
    <t>COMPANY</t>
  </si>
  <si>
    <t>Accrued</t>
  </si>
  <si>
    <t>Note</t>
  </si>
  <si>
    <t>Account</t>
  </si>
  <si>
    <t>Year</t>
  </si>
  <si>
    <t>Original</t>
  </si>
  <si>
    <t>Adjust</t>
  </si>
  <si>
    <t>Life</t>
  </si>
  <si>
    <t>Annual</t>
  </si>
  <si>
    <t>Adj</t>
  </si>
  <si>
    <t>R Life</t>
  </si>
  <si>
    <t>No.</t>
  </si>
  <si>
    <t>Number</t>
  </si>
  <si>
    <t>Inst.</t>
  </si>
  <si>
    <t>Description of Plant</t>
  </si>
  <si>
    <t>Cost ($)</t>
  </si>
  <si>
    <t>($)</t>
  </si>
  <si>
    <t xml:space="preserve">    (yrs)</t>
  </si>
  <si>
    <t xml:space="preserve">     (yrs)</t>
  </si>
  <si>
    <t xml:space="preserve">DEPRECIABLE PLANT IN SERVICE </t>
  </si>
  <si>
    <t xml:space="preserve"> </t>
  </si>
  <si>
    <t>SUMMARY</t>
  </si>
  <si>
    <t>TOTAL DEPR PLANT-IN-SERVICE</t>
  </si>
  <si>
    <t>TOTAL NON-DEPR PLANT-IN-SER</t>
  </si>
  <si>
    <t>ADD:  CWIP</t>
  </si>
  <si>
    <t>LESS:  CIAC</t>
  </si>
  <si>
    <t>NET PLANT-IN-SERVICE</t>
  </si>
  <si>
    <t>Adjustment</t>
  </si>
  <si>
    <t>$</t>
  </si>
  <si>
    <t>TOTAL DEPR PLANT IN SERVICE</t>
  </si>
  <si>
    <t>LESS:  ACCRUED</t>
  </si>
  <si>
    <t>NET DEPRECIABLE PLANT</t>
  </si>
  <si>
    <t>ADD:  NON-DEPR PLANT</t>
  </si>
  <si>
    <t>ADD:</t>
  </si>
  <si>
    <t xml:space="preserve">        CONST WORK IN PROGRESS</t>
  </si>
  <si>
    <t xml:space="preserve">        CASH WORKING CAPITAL</t>
  </si>
  <si>
    <t xml:space="preserve">        MATERIALS &amp; SUPPLIES</t>
  </si>
  <si>
    <t>ORIG. COST MEASURE OF VALUE</t>
  </si>
  <si>
    <t>=</t>
  </si>
  <si>
    <t>ANNUAL DEPR EXPENSE</t>
  </si>
  <si>
    <t>PER FUS</t>
  </si>
  <si>
    <t>ADD: CWIP</t>
  </si>
  <si>
    <t>TOTAL FUS ANNUAL</t>
  </si>
  <si>
    <t>PER COMPANY</t>
  </si>
  <si>
    <t>TOTAL COMPANY ANNUAL</t>
  </si>
  <si>
    <t>ADJUSTMENT TO ANNUAL</t>
  </si>
  <si>
    <t>RATE BASE</t>
  </si>
  <si>
    <t>Adjustments</t>
  </si>
  <si>
    <t>STAFF</t>
  </si>
  <si>
    <t>(1)</t>
  </si>
  <si>
    <t>LESS: ACCRUED</t>
  </si>
  <si>
    <t>ADD:  NON-DEPRECIABLE PLANT</t>
  </si>
  <si>
    <t xml:space="preserve">     CASH WORKING CAPITAL</t>
  </si>
  <si>
    <t>MEASURE OF VALUE</t>
  </si>
  <si>
    <t>NON-DEPRECIABLE PLANT-IN-SERVICE</t>
  </si>
  <si>
    <t>SUB-TOTALS</t>
  </si>
  <si>
    <t>None</t>
  </si>
  <si>
    <t xml:space="preserve">    FUS  REMAINING LIFE DEPR.</t>
  </si>
  <si>
    <t>CONTRIBUTIONS-IN-AID-OF-CONSTRUCTION</t>
  </si>
  <si>
    <t>VENANGO WATER COMPANY</t>
  </si>
  <si>
    <t>Reservoirs - RE</t>
  </si>
  <si>
    <t>Water wells - RE</t>
  </si>
  <si>
    <t>Underground tanks - RE</t>
  </si>
  <si>
    <t>Water well improvements - RE</t>
  </si>
  <si>
    <t>TURBIDMETER</t>
  </si>
  <si>
    <t>PUMPHOUSE GAS LINE</t>
  </si>
  <si>
    <t>CL 17 CHL TESTERS</t>
  </si>
  <si>
    <t>COMPUTER PRINTER</t>
  </si>
  <si>
    <t>ANCHOR CASING</t>
  </si>
  <si>
    <t>COPIER</t>
  </si>
  <si>
    <t>LOCATOR</t>
  </si>
  <si>
    <t>M-C  11-2065</t>
  </si>
  <si>
    <t>WATER METERS</t>
  </si>
  <si>
    <t>COMPUTER EQUIPMENT</t>
  </si>
  <si>
    <t>DETENTION TANKS</t>
  </si>
  <si>
    <t>CORROSION CONTROL IMPROVEMENTS</t>
  </si>
  <si>
    <t>STORAGE TANK VALVE</t>
  </si>
  <si>
    <t>METERS</t>
  </si>
  <si>
    <t>LINE LOCATORS - 2</t>
  </si>
  <si>
    <t>LINE LOCATOR</t>
  </si>
  <si>
    <t>WATER METERS - 25</t>
  </si>
  <si>
    <t>OKIDATA PRINTER</t>
  </si>
  <si>
    <t>WATER METERS - 41</t>
  </si>
  <si>
    <t>200'-6" MAIN &amp; HYDRANT</t>
  </si>
  <si>
    <t>SHAFFER RUN SPRING HOUSE</t>
  </si>
  <si>
    <t>NEW LINES</t>
  </si>
  <si>
    <t>500,000-gal storage tank - R/E</t>
  </si>
  <si>
    <t>PIPE-PLASTIC</t>
  </si>
  <si>
    <t>ADDITIONS</t>
  </si>
  <si>
    <t>PIPE -CAST IRON (6")</t>
  </si>
  <si>
    <t>CHLORINATOR</t>
  </si>
  <si>
    <t>HYDRANTS</t>
  </si>
  <si>
    <t>WATER MAINS</t>
  </si>
  <si>
    <t>SERVICE LINES</t>
  </si>
  <si>
    <t>CONE LOCATOR</t>
  </si>
  <si>
    <t>PIPE</t>
  </si>
  <si>
    <t>PUMP MOTOR</t>
  </si>
  <si>
    <t>SERVICES - WATER MAINS TO CURB</t>
  </si>
  <si>
    <t>NEW MAIN LINES</t>
  </si>
  <si>
    <t>SERVICES - (NEW) WATER MAINS TO CURB</t>
  </si>
  <si>
    <t>NEW WATER PUMPS</t>
  </si>
  <si>
    <t>SERVICES - Mains to curb</t>
  </si>
  <si>
    <t>MAINLINE  (2")</t>
  </si>
  <si>
    <t>MAINLINE (10") &amp; 2 HYDRANTS</t>
  </si>
  <si>
    <t>MAINLINE (6") 1983</t>
  </si>
  <si>
    <t>METER (1-1/2")</t>
  </si>
  <si>
    <t>METER</t>
  </si>
  <si>
    <t>MAINLINE (600')</t>
  </si>
  <si>
    <t>MAINLINE (600' of 2")</t>
  </si>
  <si>
    <t>MAINLINE (6") improvements</t>
  </si>
  <si>
    <t>MAINLINE (2") EXTENSION</t>
  </si>
  <si>
    <t>SERVICES (6) - Mains to curb</t>
  </si>
  <si>
    <t>MAINLINE (2")</t>
  </si>
  <si>
    <t>MAINLINE (660') EXTENSION</t>
  </si>
  <si>
    <t>SERVICES (3) - Main to Curbs</t>
  </si>
  <si>
    <t>SERVICES (4) - Main to Curbs</t>
  </si>
  <si>
    <t>SERVICES (11) - Main to Curbs</t>
  </si>
  <si>
    <t>MAINLINE (4") RELOCATION</t>
  </si>
  <si>
    <t>COMPUTER 486</t>
  </si>
  <si>
    <t>SERVICE - MAIN TO CURB</t>
  </si>
  <si>
    <t>MAINLINE (900'-2")</t>
  </si>
  <si>
    <t>OFFICE AC UNIT</t>
  </si>
  <si>
    <t>WATER METERS - 35</t>
  </si>
  <si>
    <t>SERVICE - MAIN TO CURB - NEW</t>
  </si>
  <si>
    <t>METERS - 18</t>
  </si>
  <si>
    <t>METERS - 3</t>
  </si>
  <si>
    <t>CHLORINATORS - 2</t>
  </si>
  <si>
    <t>HYDRANTS - 7</t>
  </si>
  <si>
    <t>MAINLINE (52')</t>
  </si>
  <si>
    <t>METERS - 11</t>
  </si>
  <si>
    <t>METERS - 20</t>
  </si>
  <si>
    <t>METERS - 2 (NEW)</t>
  </si>
  <si>
    <t>HYDRANT - 1</t>
  </si>
  <si>
    <t>METERS - 20 (NEW)</t>
  </si>
  <si>
    <t>PIPE  (6")</t>
  </si>
  <si>
    <t>PIPE (2")</t>
  </si>
  <si>
    <t>MAINLINE (10") REPAIR</t>
  </si>
  <si>
    <t>COMPUTER 4 GB</t>
  </si>
  <si>
    <t>Asset No</t>
  </si>
  <si>
    <t>Date Acquired</t>
  </si>
  <si>
    <t>Asset Description 1</t>
  </si>
  <si>
    <t>Convention</t>
  </si>
  <si>
    <t>Cost</t>
  </si>
  <si>
    <t>Depr Basis</t>
  </si>
  <si>
    <t>Current 179</t>
  </si>
  <si>
    <t>Is Section 179 Allowable?</t>
  </si>
  <si>
    <t>Unrecovered Basis</t>
  </si>
  <si>
    <t>Pumps, mains, etc.</t>
  </si>
  <si>
    <t>Act-Days</t>
  </si>
  <si>
    <t>Yes</t>
  </si>
  <si>
    <t>Additions</t>
  </si>
  <si>
    <t>Machinery, meters, etc.</t>
  </si>
  <si>
    <t>Meters</t>
  </si>
  <si>
    <t>Pipe-plastic</t>
  </si>
  <si>
    <t>Pipe-galvanized</t>
  </si>
  <si>
    <t>Cast iron pipe (6")</t>
  </si>
  <si>
    <t>Furniture and fixtures</t>
  </si>
  <si>
    <t>Truck (Dodge)</t>
  </si>
  <si>
    <t>Water testing</t>
  </si>
  <si>
    <t>Chlorinator</t>
  </si>
  <si>
    <t>Adding machine</t>
  </si>
  <si>
    <t>Hydrants</t>
  </si>
  <si>
    <t>500,000 gallon storage tank - R/E</t>
  </si>
  <si>
    <t>Water mains</t>
  </si>
  <si>
    <t>Pump and pump stations</t>
  </si>
  <si>
    <t>Service lines</t>
  </si>
  <si>
    <t>Cone locators</t>
  </si>
  <si>
    <t>Pump motors</t>
  </si>
  <si>
    <t>Pipe</t>
  </si>
  <si>
    <t>Water main</t>
  </si>
  <si>
    <t>Meters (18)</t>
  </si>
  <si>
    <t>Pipe-6"</t>
  </si>
  <si>
    <t>Pipe-2"</t>
  </si>
  <si>
    <t>Water mains to curb</t>
  </si>
  <si>
    <t>New meters (20)</t>
  </si>
  <si>
    <t>New main lines</t>
  </si>
  <si>
    <t>Hydrants (1)</t>
  </si>
  <si>
    <t>New mains to curb</t>
  </si>
  <si>
    <t>New meters (2)</t>
  </si>
  <si>
    <t>Fire hydrants</t>
  </si>
  <si>
    <t>New water pumps</t>
  </si>
  <si>
    <t>Radio - 2 way</t>
  </si>
  <si>
    <t>Magnetic line locator</t>
  </si>
  <si>
    <t>Water meters (20)</t>
  </si>
  <si>
    <t>Mains to curb</t>
  </si>
  <si>
    <t>Meters (11)</t>
  </si>
  <si>
    <t>Mainline (2")</t>
  </si>
  <si>
    <t>Mainline 52'</t>
  </si>
  <si>
    <t>10" line and 2 hydrants</t>
  </si>
  <si>
    <t>Main to curb</t>
  </si>
  <si>
    <t>Fire hydrants (7)</t>
  </si>
  <si>
    <t>6" Main line 1983</t>
  </si>
  <si>
    <t>1-1/2" meter</t>
  </si>
  <si>
    <t>Culvert (20' X 15")</t>
  </si>
  <si>
    <t>Chlorinators (2)</t>
  </si>
  <si>
    <t>Meter</t>
  </si>
  <si>
    <t>Fireproof file cabinet</t>
  </si>
  <si>
    <t>Mainline (952') and Improvements</t>
  </si>
  <si>
    <t>Meters (3)</t>
  </si>
  <si>
    <t>Fire hydrant</t>
  </si>
  <si>
    <t>Mainline (600')</t>
  </si>
  <si>
    <t>600' of 2" line</t>
  </si>
  <si>
    <t>6" line improvements</t>
  </si>
  <si>
    <t>18 New water meters</t>
  </si>
  <si>
    <t>New 2" line</t>
  </si>
  <si>
    <t>New line and pump</t>
  </si>
  <si>
    <t>Line improvements</t>
  </si>
  <si>
    <t>Computer &amp; accessories</t>
  </si>
  <si>
    <t>Half-Year</t>
  </si>
  <si>
    <t>6 Mains to curb</t>
  </si>
  <si>
    <t>2" Main</t>
  </si>
  <si>
    <t>Poles at rear</t>
  </si>
  <si>
    <t>660' New Main Line</t>
  </si>
  <si>
    <t>3 New Main to Curbs</t>
  </si>
  <si>
    <t>Collection Pipe</t>
  </si>
  <si>
    <t>4 New Main to Curbs</t>
  </si>
  <si>
    <t>11 Mains to curb</t>
  </si>
  <si>
    <t>Relocate 4" Water Line</t>
  </si>
  <si>
    <t>No</t>
  </si>
  <si>
    <t>486 COMPUTER</t>
  </si>
  <si>
    <t>MAIN TO CURB</t>
  </si>
  <si>
    <t>1995 TOYOTA TRUCK</t>
  </si>
  <si>
    <t>REPAIR 10" MAIN LINE</t>
  </si>
  <si>
    <t>900' 2" MAIN LINE</t>
  </si>
  <si>
    <t>FLOW METER</t>
  </si>
  <si>
    <t>OFFICE AIR CONDITIONING UNIT</t>
  </si>
  <si>
    <t>WATER MTERS - 35</t>
  </si>
  <si>
    <t>MAIN TO CURB - NEW</t>
  </si>
  <si>
    <t>4 GB COMPUTER</t>
  </si>
  <si>
    <t>check</t>
  </si>
  <si>
    <t>Diff betw</t>
  </si>
  <si>
    <t>OC and</t>
  </si>
  <si>
    <t>ADDITION (RETIRED)</t>
  </si>
  <si>
    <t>MACHINERY, meters, etc (RETIRED)</t>
  </si>
  <si>
    <t>METERS (RETIRED)</t>
  </si>
  <si>
    <t>RADIO - 2 way (RETIRED)</t>
  </si>
  <si>
    <t>MAGNETIC LINE LOCATOR (RETIRED)</t>
  </si>
  <si>
    <t>Age</t>
  </si>
  <si>
    <t>M-C  11-2065 (Main to Curb)</t>
  </si>
  <si>
    <t>NOTE: FUS's Accrued and Annual are calculated by days.</t>
  </si>
  <si>
    <t>Accrued @</t>
  </si>
  <si>
    <t>(yrs)</t>
  </si>
  <si>
    <t>FUS STRAIGHT-LINE DEPR.</t>
  </si>
  <si>
    <t>RETIREMENT SCHEDULE</t>
  </si>
  <si>
    <t>Bal</t>
  </si>
  <si>
    <t>Period</t>
  </si>
  <si>
    <t xml:space="preserve">DEPRECIABLE PLANT RETIRED </t>
  </si>
  <si>
    <t>LAND</t>
  </si>
  <si>
    <t>TURBID METER</t>
  </si>
  <si>
    <t xml:space="preserve">     MATERIALS AND SUPPLIES</t>
  </si>
  <si>
    <t>(4)</t>
  </si>
  <si>
    <t>(1)  An adjustment which reflects the removal of the book value of plant retired from service.</t>
  </si>
  <si>
    <t>(3)  Allowance for Cash Working Capital based on 12.5% of Staff adjusted Operation and Maintenance</t>
  </si>
  <si>
    <t xml:space="preserve">      Expenses.</t>
  </si>
  <si>
    <t>(4)  Staff has included 1% of Net Depreciable Plant as an allowance for inventory, to encourage the</t>
  </si>
  <si>
    <t xml:space="preserve">      Company to establish a minimum of Materials and Supplies inventory for reoccurring repairs and</t>
  </si>
  <si>
    <r>
      <t xml:space="preserve">      </t>
    </r>
    <r>
      <rPr>
        <sz val="11"/>
        <rFont val="Times New Roman"/>
        <family val="1"/>
      </rPr>
      <t>replacements.</t>
    </r>
  </si>
  <si>
    <t>(3)</t>
  </si>
  <si>
    <t>(2)</t>
  </si>
  <si>
    <t>Prop Loss</t>
  </si>
  <si>
    <t xml:space="preserve">      methodology using proper service lives.</t>
  </si>
  <si>
    <t>(2)  Necessary adjustment to remove the booked accrued depreciation of the retired plant in addition to</t>
  </si>
  <si>
    <t>CONSTRUCTION-WORK-IN-PROGRESS</t>
  </si>
  <si>
    <t>METER PIT</t>
  </si>
  <si>
    <t>METER / FITTINGS (2-1")</t>
  </si>
  <si>
    <t>pH METER, PORTABLE, HACH</t>
  </si>
  <si>
    <t>DRIVEWAY @ BELLOWS PIT</t>
  </si>
  <si>
    <t>MIXING CHAMBER @ BELLOWS PIT</t>
  </si>
  <si>
    <t>METER, 2" COMPOUND @ WEBCO</t>
  </si>
  <si>
    <t>SERVICE - MAIN TO CURB - NEW, 3 of</t>
  </si>
  <si>
    <t>ALL DATA BELOW THIS LINE HAD BEEN ADDED BY THE R-00061560</t>
  </si>
  <si>
    <t>NEW METER PIT</t>
  </si>
  <si>
    <t>2 - DELL COMPUTERS</t>
  </si>
  <si>
    <t>2 - 1" METER FITTINGS</t>
  </si>
  <si>
    <t>1 - 1/2" METER</t>
  </si>
  <si>
    <t>HACH PORTABEL PH METER</t>
  </si>
  <si>
    <t>BELLOWS PIT MIXING CHAMBER</t>
  </si>
  <si>
    <t>BTOP BELLOWS PIT DRIVEWAY</t>
  </si>
  <si>
    <t>NEW VALVES &amp; 3-HYDRANTS-W</t>
  </si>
  <si>
    <t>2" COMPOUND METER - WEBCO</t>
  </si>
  <si>
    <t>2 NEW M-C</t>
  </si>
  <si>
    <t>RESERVIOR - REAL ESTATE</t>
  </si>
  <si>
    <t>WATER WELLS - REAL ESTATE</t>
  </si>
  <si>
    <t>UNGROUND TANKS - REAL ESTATE</t>
  </si>
  <si>
    <t>ORGANIZATION EXPENSE</t>
  </si>
  <si>
    <t>RESERVOIRS - RE</t>
  </si>
  <si>
    <t>DIST SYSTEM IMPROV @ WEBCO</t>
  </si>
  <si>
    <t>HYDRANTS / VALVES, 3 of @ WEBCO</t>
  </si>
  <si>
    <t>TO AGREE TO GENERAL LEDGER (LAND)</t>
  </si>
  <si>
    <r>
      <t xml:space="preserve">LAND  </t>
    </r>
    <r>
      <rPr>
        <sz val="6"/>
        <color indexed="50"/>
        <rFont val="Arial"/>
        <family val="2"/>
      </rPr>
      <t>(TO AGREE TO GENERAL LEDGE)</t>
    </r>
  </si>
  <si>
    <t xml:space="preserve">      an adjustment to reflect accrued depreciation as computed with the Age Life depreciation </t>
  </si>
  <si>
    <t>TRUCK (DODGE) (RETIRED)</t>
  </si>
  <si>
    <t>ADDING MACHINE (RETIRED)</t>
  </si>
  <si>
    <t>2008 TOYOTA TACOMA TRUCK</t>
  </si>
  <si>
    <t>1" METER/JOY</t>
  </si>
  <si>
    <t>RICOH AFICIO MP-171 COPIER</t>
  </si>
  <si>
    <t>SAGER LAPTOP COMPUTER</t>
  </si>
  <si>
    <t>2 - OPTIPLEX 380 COMPUTERS</t>
  </si>
  <si>
    <t>20 5/8X1/2 BADGER WATER METERS</t>
  </si>
  <si>
    <t>40 5/8X1/2 BADGER WATER METERS</t>
  </si>
  <si>
    <t>2-DELL COMPUTERS</t>
  </si>
  <si>
    <t>COMPUTERS, DELL -2 (RETIRED)</t>
  </si>
  <si>
    <t>TRUCK (1995 TOYOTA) (RETIRED)</t>
  </si>
  <si>
    <t>COPIER (RETIRED)</t>
  </si>
  <si>
    <t>TRUCK (1995 TOYOTA- TRADED IN)</t>
  </si>
  <si>
    <t>1" BADGER METER</t>
  </si>
  <si>
    <t>BELLOWS PIT ELECTRIC SERVICE</t>
  </si>
  <si>
    <t>for Test year ending:  Dec. 31, 2012</t>
  </si>
  <si>
    <t>BELLOWS PIT DRAIN LINE</t>
  </si>
  <si>
    <t>6 FIRE HYDRANTS</t>
  </si>
  <si>
    <t>6" MAIN LINE VALVE</t>
  </si>
  <si>
    <t>NEW FIRE HYDRANT</t>
  </si>
  <si>
    <t>10 CFT BADGER METERS</t>
  </si>
  <si>
    <t>FOR HISTORIC TEST YEAR END: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</si>
</sst>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General_)"/>
    <numFmt numFmtId="166" formatCode="0_)"/>
    <numFmt numFmtId="167" formatCode="0.00_)"/>
    <numFmt numFmtId="168" formatCode="#,##0.00;[Red]#,##0.00"/>
    <numFmt numFmtId="169" formatCode="m/d/yy;@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Times New Roman"/>
      <family val="1"/>
    </font>
    <font>
      <u/>
      <sz val="11"/>
      <color indexed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Times New Roman"/>
      <family val="1"/>
    </font>
    <font>
      <i/>
      <u/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Times New Roman"/>
      <family val="1"/>
    </font>
    <font>
      <u val="double"/>
      <sz val="11"/>
      <name val="Times New Roman"/>
      <family val="1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1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name val="Times New Roman"/>
      <family val="1"/>
    </font>
    <font>
      <i/>
      <sz val="8"/>
      <color indexed="61"/>
      <name val="Arial"/>
      <family val="2"/>
    </font>
    <font>
      <b/>
      <sz val="8"/>
      <color indexed="81"/>
      <name val="Tahoma"/>
      <family val="2"/>
    </font>
    <font>
      <sz val="6"/>
      <color indexed="50"/>
      <name val="Arial"/>
      <family val="2"/>
    </font>
    <font>
      <b/>
      <u/>
      <sz val="11"/>
      <name val="Times New Roman"/>
      <family val="1"/>
    </font>
    <font>
      <sz val="8"/>
      <color theme="1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i/>
      <sz val="8"/>
      <color rgb="FF7030A0"/>
      <name val="Arial"/>
      <family val="2"/>
    </font>
    <font>
      <sz val="8"/>
      <color rgb="FF7030A0"/>
      <name val="Arial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fill"/>
      <protection locked="0"/>
    </xf>
    <xf numFmtId="5" fontId="3" fillId="0" borderId="0" xfId="0" applyNumberFormat="1" applyFont="1" applyAlignment="1" applyProtection="1">
      <alignment horizontal="fill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5" fontId="3" fillId="0" borderId="0" xfId="0" applyNumberFormat="1" applyFont="1" applyProtection="1"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Protection="1">
      <protection locked="0"/>
    </xf>
    <xf numFmtId="7" fontId="3" fillId="0" borderId="0" xfId="0" applyNumberFormat="1" applyFont="1" applyProtection="1">
      <protection locked="0"/>
    </xf>
    <xf numFmtId="7" fontId="3" fillId="0" borderId="0" xfId="0" applyNumberFormat="1" applyFont="1" applyProtection="1"/>
    <xf numFmtId="0" fontId="3" fillId="0" borderId="0" xfId="0" applyFont="1" applyAlignment="1" applyProtection="1">
      <alignment horizontal="fill"/>
      <protection locked="0"/>
    </xf>
    <xf numFmtId="167" fontId="3" fillId="0" borderId="0" xfId="0" applyNumberFormat="1" applyFont="1" applyProtection="1">
      <protection locked="0"/>
    </xf>
    <xf numFmtId="0" fontId="4" fillId="0" borderId="0" xfId="0" applyFont="1"/>
    <xf numFmtId="165" fontId="3" fillId="0" borderId="1" xfId="0" applyNumberFormat="1" applyFont="1" applyBorder="1" applyAlignment="1" applyProtection="1">
      <alignment horizontal="fill"/>
      <protection locked="0"/>
    </xf>
    <xf numFmtId="5" fontId="3" fillId="0" borderId="1" xfId="0" applyNumberFormat="1" applyFont="1" applyBorder="1" applyAlignment="1" applyProtection="1">
      <alignment horizontal="fill"/>
      <protection locked="0"/>
    </xf>
    <xf numFmtId="0" fontId="3" fillId="0" borderId="2" xfId="0" applyFont="1" applyBorder="1"/>
    <xf numFmtId="0" fontId="3" fillId="0" borderId="0" xfId="0" applyFont="1" applyBorder="1"/>
    <xf numFmtId="165" fontId="3" fillId="0" borderId="0" xfId="0" applyNumberFormat="1" applyFont="1" applyBorder="1" applyAlignment="1" applyProtection="1">
      <alignment horizontal="center"/>
      <protection locked="0"/>
    </xf>
    <xf numFmtId="5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quotePrefix="1" applyNumberFormat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0" fillId="0" borderId="2" xfId="0" applyBorder="1"/>
    <xf numFmtId="0" fontId="0" fillId="0" borderId="0" xfId="0" applyBorder="1"/>
    <xf numFmtId="165" fontId="5" fillId="0" borderId="2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left"/>
      <protection locked="0"/>
    </xf>
    <xf numFmtId="165" fontId="5" fillId="0" borderId="2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6" fillId="0" borderId="2" xfId="0" applyNumberFormat="1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0" fontId="3" fillId="0" borderId="3" xfId="0" applyFont="1" applyBorder="1"/>
    <xf numFmtId="165" fontId="3" fillId="0" borderId="3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0" fontId="3" fillId="0" borderId="5" xfId="0" applyFont="1" applyBorder="1"/>
    <xf numFmtId="5" fontId="3" fillId="0" borderId="6" xfId="0" applyNumberFormat="1" applyFont="1" applyBorder="1" applyProtection="1">
      <protection locked="0"/>
    </xf>
    <xf numFmtId="165" fontId="7" fillId="0" borderId="7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0" fontId="5" fillId="0" borderId="2" xfId="0" applyFont="1" applyBorder="1"/>
    <xf numFmtId="0" fontId="6" fillId="0" borderId="2" xfId="0" applyFont="1" applyBorder="1"/>
    <xf numFmtId="0" fontId="6" fillId="0" borderId="4" xfId="0" applyFont="1" applyBorder="1" applyAlignment="1">
      <alignment horizontal="right"/>
    </xf>
    <xf numFmtId="0" fontId="3" fillId="0" borderId="6" xfId="0" applyFont="1" applyBorder="1" applyProtection="1">
      <protection locked="0"/>
    </xf>
    <xf numFmtId="0" fontId="7" fillId="0" borderId="2" xfId="0" applyFont="1" applyBorder="1"/>
    <xf numFmtId="1" fontId="11" fillId="0" borderId="0" xfId="0" applyNumberFormat="1" applyFont="1" applyBorder="1"/>
    <xf numFmtId="0" fontId="3" fillId="0" borderId="0" xfId="0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Border="1"/>
    <xf numFmtId="0" fontId="1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/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" fontId="3" fillId="0" borderId="10" xfId="0" applyNumberFormat="1" applyFont="1" applyBorder="1" applyProtection="1">
      <protection locked="0"/>
    </xf>
    <xf numFmtId="3" fontId="0" fillId="0" borderId="0" xfId="0" applyNumberFormat="1" applyBorder="1"/>
    <xf numFmtId="0" fontId="1" fillId="0" borderId="0" xfId="0" applyFont="1"/>
    <xf numFmtId="0" fontId="15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/>
    <xf numFmtId="165" fontId="17" fillId="0" borderId="2" xfId="0" applyNumberFormat="1" applyFont="1" applyBorder="1" applyProtection="1">
      <protection locked="0"/>
    </xf>
    <xf numFmtId="3" fontId="9" fillId="0" borderId="0" xfId="0" applyNumberFormat="1" applyFont="1" applyBorder="1"/>
    <xf numFmtId="3" fontId="10" fillId="0" borderId="0" xfId="0" applyNumberFormat="1" applyFont="1" applyBorder="1" applyProtection="1">
      <protection locked="0"/>
    </xf>
    <xf numFmtId="3" fontId="9" fillId="0" borderId="1" xfId="0" applyNumberFormat="1" applyFont="1" applyBorder="1"/>
    <xf numFmtId="3" fontId="3" fillId="0" borderId="5" xfId="0" applyNumberFormat="1" applyFont="1" applyBorder="1" applyAlignment="1" applyProtection="1">
      <alignment horizontal="fill"/>
      <protection locked="0"/>
    </xf>
    <xf numFmtId="3" fontId="3" fillId="0" borderId="5" xfId="0" applyNumberFormat="1" applyFont="1" applyBorder="1"/>
    <xf numFmtId="3" fontId="3" fillId="0" borderId="8" xfId="0" applyNumberFormat="1" applyFont="1" applyBorder="1" applyAlignment="1" applyProtection="1">
      <alignment horizontal="center"/>
      <protection locked="0"/>
    </xf>
    <xf numFmtId="3" fontId="3" fillId="0" borderId="8" xfId="0" applyNumberFormat="1" applyFont="1" applyBorder="1"/>
    <xf numFmtId="3" fontId="3" fillId="0" borderId="8" xfId="0" applyNumberFormat="1" applyFont="1" applyBorder="1" applyProtection="1">
      <protection locked="0"/>
    </xf>
    <xf numFmtId="37" fontId="4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/>
    <xf numFmtId="37" fontId="4" fillId="0" borderId="5" xfId="0" applyNumberFormat="1" applyFont="1" applyBorder="1" applyAlignment="1"/>
    <xf numFmtId="0" fontId="1" fillId="0" borderId="0" xfId="0" applyFont="1" applyBorder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" fillId="0" borderId="0" xfId="0" applyFont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Alignment="1">
      <alignment horizontal="center"/>
    </xf>
    <xf numFmtId="41" fontId="18" fillId="0" borderId="0" xfId="0" applyNumberFormat="1" applyFont="1"/>
    <xf numFmtId="164" fontId="18" fillId="0" borderId="0" xfId="0" applyNumberFormat="1" applyFont="1"/>
    <xf numFmtId="0" fontId="18" fillId="0" borderId="11" xfId="0" applyFont="1" applyBorder="1"/>
    <xf numFmtId="0" fontId="8" fillId="0" borderId="0" xfId="0" applyFont="1" applyBorder="1"/>
    <xf numFmtId="41" fontId="8" fillId="0" borderId="0" xfId="0" applyNumberFormat="1" applyFont="1" applyBorder="1"/>
    <xf numFmtId="41" fontId="8" fillId="0" borderId="0" xfId="0" applyNumberFormat="1" applyFont="1" applyBorder="1" applyProtection="1">
      <protection locked="0"/>
    </xf>
    <xf numFmtId="164" fontId="8" fillId="0" borderId="0" xfId="0" applyNumberFormat="1" applyFont="1" applyBorder="1"/>
    <xf numFmtId="164" fontId="8" fillId="0" borderId="0" xfId="0" applyNumberFormat="1" applyFont="1" applyBorder="1" applyProtection="1">
      <protection locked="0"/>
    </xf>
    <xf numFmtId="0" fontId="8" fillId="0" borderId="0" xfId="0" applyNumberFormat="1" applyFont="1" applyBorder="1"/>
    <xf numFmtId="0" fontId="18" fillId="0" borderId="0" xfId="0" applyFont="1" applyBorder="1"/>
    <xf numFmtId="41" fontId="18" fillId="0" borderId="0" xfId="0" applyNumberFormat="1" applyFont="1" applyBorder="1"/>
    <xf numFmtId="42" fontId="18" fillId="0" borderId="0" xfId="0" applyNumberFormat="1" applyFont="1" applyBorder="1"/>
    <xf numFmtId="164" fontId="18" fillId="0" borderId="0" xfId="0" applyNumberFormat="1" applyFont="1" applyBorder="1"/>
    <xf numFmtId="1" fontId="8" fillId="0" borderId="0" xfId="0" applyNumberFormat="1" applyFont="1" applyBorder="1"/>
    <xf numFmtId="0" fontId="18" fillId="0" borderId="0" xfId="0" applyNumberFormat="1" applyFont="1" applyBorder="1"/>
    <xf numFmtId="41" fontId="18" fillId="0" borderId="12" xfId="0" applyNumberFormat="1" applyFont="1" applyBorder="1"/>
    <xf numFmtId="164" fontId="18" fillId="0" borderId="12" xfId="0" applyNumberFormat="1" applyFont="1" applyBorder="1"/>
    <xf numFmtId="0" fontId="18" fillId="0" borderId="21" xfId="0" applyFont="1" applyBorder="1"/>
    <xf numFmtId="5" fontId="18" fillId="0" borderId="0" xfId="0" applyNumberFormat="1" applyFont="1" applyBorder="1"/>
    <xf numFmtId="0" fontId="2" fillId="0" borderId="0" xfId="0" applyFont="1" applyBorder="1"/>
    <xf numFmtId="5" fontId="2" fillId="0" borderId="0" xfId="0" applyNumberFormat="1" applyFont="1" applyBorder="1"/>
    <xf numFmtId="0" fontId="2" fillId="0" borderId="22" xfId="0" applyFont="1" applyBorder="1" applyAlignment="1">
      <alignment horizontal="left"/>
    </xf>
    <xf numFmtId="1" fontId="8" fillId="0" borderId="23" xfId="0" applyNumberFormat="1" applyFont="1" applyBorder="1"/>
    <xf numFmtId="0" fontId="8" fillId="0" borderId="16" xfId="0" applyFont="1" applyBorder="1"/>
    <xf numFmtId="0" fontId="18" fillId="0" borderId="17" xfId="0" applyFont="1" applyFill="1" applyBorder="1" applyAlignment="1"/>
    <xf numFmtId="0" fontId="14" fillId="0" borderId="17" xfId="0" applyFont="1" applyFill="1" applyBorder="1" applyAlignment="1">
      <alignment horizontal="left"/>
    </xf>
    <xf numFmtId="0" fontId="2" fillId="0" borderId="13" xfId="0" applyFont="1" applyFill="1" applyBorder="1" applyAlignment="1"/>
    <xf numFmtId="41" fontId="8" fillId="0" borderId="24" xfId="0" applyNumberFormat="1" applyFont="1" applyFill="1" applyBorder="1" applyAlignment="1" applyProtection="1">
      <protection locked="0"/>
    </xf>
    <xf numFmtId="164" fontId="8" fillId="0" borderId="24" xfId="0" applyNumberFormat="1" applyFont="1" applyFill="1" applyBorder="1" applyAlignment="1"/>
    <xf numFmtId="41" fontId="8" fillId="0" borderId="17" xfId="0" applyNumberFormat="1" applyFont="1" applyFill="1" applyBorder="1" applyAlignment="1"/>
    <xf numFmtId="0" fontId="8" fillId="0" borderId="25" xfId="0" applyFont="1" applyFill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41" fontId="8" fillId="0" borderId="26" xfId="0" applyNumberFormat="1" applyFont="1" applyFill="1" applyBorder="1" applyAlignment="1"/>
    <xf numFmtId="0" fontId="18" fillId="0" borderId="22" xfId="0" applyFont="1" applyBorder="1"/>
    <xf numFmtId="41" fontId="2" fillId="0" borderId="13" xfId="0" applyNumberFormat="1" applyFont="1" applyBorder="1"/>
    <xf numFmtId="0" fontId="2" fillId="0" borderId="13" xfId="0" applyFont="1" applyBorder="1"/>
    <xf numFmtId="164" fontId="2" fillId="0" borderId="13" xfId="0" applyNumberFormat="1" applyFont="1" applyBorder="1"/>
    <xf numFmtId="41" fontId="8" fillId="0" borderId="24" xfId="0" applyNumberFormat="1" applyFont="1" applyBorder="1"/>
    <xf numFmtId="41" fontId="8" fillId="0" borderId="24" xfId="0" applyNumberFormat="1" applyFont="1" applyBorder="1" applyProtection="1">
      <protection locked="0"/>
    </xf>
    <xf numFmtId="164" fontId="8" fillId="0" borderId="24" xfId="0" applyNumberFormat="1" applyFont="1" applyBorder="1"/>
    <xf numFmtId="164" fontId="8" fillId="0" borderId="24" xfId="0" applyNumberFormat="1" applyFont="1" applyBorder="1" applyProtection="1">
      <protection locked="0"/>
    </xf>
    <xf numFmtId="0" fontId="8" fillId="0" borderId="17" xfId="0" applyFont="1" applyBorder="1"/>
    <xf numFmtId="3" fontId="8" fillId="0" borderId="17" xfId="0" applyNumberFormat="1" applyFont="1" applyBorder="1"/>
    <xf numFmtId="42" fontId="8" fillId="0" borderId="26" xfId="0" applyNumberFormat="1" applyFont="1" applyBorder="1"/>
    <xf numFmtId="0" fontId="8" fillId="0" borderId="26" xfId="0" applyFont="1" applyBorder="1" applyAlignment="1">
      <alignment horizontal="right"/>
    </xf>
    <xf numFmtId="0" fontId="4" fillId="0" borderId="0" xfId="0" applyFont="1" applyProtection="1">
      <protection locked="0"/>
    </xf>
    <xf numFmtId="14" fontId="4" fillId="0" borderId="0" xfId="0" applyNumberFormat="1" applyFont="1"/>
    <xf numFmtId="0" fontId="4" fillId="0" borderId="0" xfId="0" applyFont="1" applyAlignment="1" applyProtection="1">
      <alignment horizontal="right"/>
      <protection locked="0"/>
    </xf>
    <xf numFmtId="0" fontId="19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/>
    <xf numFmtId="49" fontId="4" fillId="0" borderId="0" xfId="0" applyNumberFormat="1" applyFont="1" applyBorder="1"/>
    <xf numFmtId="49" fontId="4" fillId="0" borderId="0" xfId="0" applyNumberFormat="1" applyFont="1" applyBorder="1" applyProtection="1">
      <protection locked="0"/>
    </xf>
    <xf numFmtId="37" fontId="4" fillId="0" borderId="0" xfId="0" applyNumberFormat="1" applyFont="1" applyBorder="1" applyAlignment="1" applyProtection="1">
      <protection locked="0"/>
    </xf>
    <xf numFmtId="37" fontId="4" fillId="0" borderId="0" xfId="0" applyNumberFormat="1" applyFont="1" applyBorder="1" applyProtection="1">
      <protection locked="0"/>
    </xf>
    <xf numFmtId="37" fontId="4" fillId="0" borderId="5" xfId="0" applyNumberFormat="1" applyFont="1" applyBorder="1" applyAlignment="1" applyProtection="1">
      <protection locked="0"/>
    </xf>
    <xf numFmtId="37" fontId="4" fillId="0" borderId="5" xfId="0" applyNumberFormat="1" applyFont="1" applyBorder="1" applyProtection="1">
      <protection locked="0"/>
    </xf>
    <xf numFmtId="37" fontId="4" fillId="0" borderId="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Border="1" applyProtection="1"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5" fontId="4" fillId="0" borderId="0" xfId="0" applyNumberFormat="1" applyFont="1" applyProtection="1">
      <protection locked="0"/>
    </xf>
    <xf numFmtId="5" fontId="4" fillId="0" borderId="0" xfId="0" applyNumberFormat="1" applyFont="1" applyAlignment="1" applyProtection="1">
      <alignment horizontal="fill"/>
      <protection locked="0"/>
    </xf>
    <xf numFmtId="49" fontId="4" fillId="0" borderId="0" xfId="0" applyNumberFormat="1" applyFont="1" applyBorder="1" applyAlignment="1">
      <alignment horizontal="left"/>
    </xf>
    <xf numFmtId="14" fontId="13" fillId="0" borderId="0" xfId="0" applyNumberFormat="1" applyFont="1"/>
    <xf numFmtId="4" fontId="1" fillId="0" borderId="0" xfId="0" applyNumberFormat="1" applyFont="1"/>
    <xf numFmtId="4" fontId="13" fillId="0" borderId="0" xfId="0" applyNumberFormat="1" applyFont="1"/>
    <xf numFmtId="4" fontId="2" fillId="2" borderId="24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3" xfId="0" applyNumberFormat="1" applyFont="1" applyFill="1" applyBorder="1" applyAlignment="1"/>
    <xf numFmtId="4" fontId="8" fillId="0" borderId="24" xfId="0" applyNumberFormat="1" applyFont="1" applyFill="1" applyBorder="1" applyAlignment="1"/>
    <xf numFmtId="4" fontId="18" fillId="0" borderId="0" xfId="0" applyNumberFormat="1" applyFont="1"/>
    <xf numFmtId="4" fontId="2" fillId="0" borderId="13" xfId="0" applyNumberFormat="1" applyFont="1" applyBorder="1"/>
    <xf numFmtId="4" fontId="8" fillId="0" borderId="24" xfId="0" applyNumberFormat="1" applyFont="1" applyBorder="1"/>
    <xf numFmtId="4" fontId="8" fillId="0" borderId="26" xfId="0" applyNumberFormat="1" applyFont="1" applyBorder="1"/>
    <xf numFmtId="4" fontId="18" fillId="0" borderId="0" xfId="0" applyNumberFormat="1" applyFont="1" applyBorder="1"/>
    <xf numFmtId="4" fontId="8" fillId="0" borderId="0" xfId="0" applyNumberFormat="1" applyFont="1" applyBorder="1"/>
    <xf numFmtId="4" fontId="18" fillId="0" borderId="12" xfId="0" applyNumberFormat="1" applyFont="1" applyBorder="1"/>
    <xf numFmtId="4" fontId="18" fillId="0" borderId="5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/>
    <xf numFmtId="4" fontId="0" fillId="0" borderId="0" xfId="0" applyNumberFormat="1"/>
    <xf numFmtId="4" fontId="18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18" fillId="0" borderId="30" xfId="0" applyNumberFormat="1" applyFont="1" applyBorder="1"/>
    <xf numFmtId="4" fontId="2" fillId="0" borderId="31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/>
    <xf numFmtId="2" fontId="2" fillId="0" borderId="13" xfId="0" applyNumberFormat="1" applyFont="1" applyFill="1" applyBorder="1" applyAlignment="1"/>
    <xf numFmtId="2" fontId="8" fillId="0" borderId="17" xfId="0" applyNumberFormat="1" applyFont="1" applyFill="1" applyBorder="1" applyAlignment="1"/>
    <xf numFmtId="2" fontId="2" fillId="0" borderId="13" xfId="0" applyNumberFormat="1" applyFont="1" applyBorder="1"/>
    <xf numFmtId="2" fontId="8" fillId="0" borderId="24" xfId="0" applyNumberFormat="1" applyFont="1" applyBorder="1"/>
    <xf numFmtId="2" fontId="2" fillId="0" borderId="0" xfId="0" applyNumberFormat="1" applyFont="1"/>
    <xf numFmtId="164" fontId="13" fillId="0" borderId="0" xfId="0" applyNumberFormat="1" applyFont="1"/>
    <xf numFmtId="164" fontId="1" fillId="0" borderId="0" xfId="0" applyNumberFormat="1" applyFont="1"/>
    <xf numFmtId="164" fontId="2" fillId="0" borderId="9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3" xfId="0" applyNumberFormat="1" applyFont="1" applyFill="1" applyBorder="1" applyAlignment="1"/>
    <xf numFmtId="164" fontId="8" fillId="0" borderId="17" xfId="0" applyNumberFormat="1" applyFont="1" applyFill="1" applyBorder="1" applyAlignment="1"/>
    <xf numFmtId="164" fontId="8" fillId="0" borderId="17" xfId="0" applyNumberFormat="1" applyFont="1" applyBorder="1"/>
    <xf numFmtId="164" fontId="2" fillId="0" borderId="0" xfId="0" applyNumberFormat="1" applyFont="1" applyBorder="1"/>
    <xf numFmtId="164" fontId="0" fillId="0" borderId="0" xfId="0" applyNumberFormat="1"/>
    <xf numFmtId="4" fontId="2" fillId="0" borderId="27" xfId="0" applyNumberFormat="1" applyFont="1" applyFill="1" applyBorder="1" applyAlignment="1"/>
    <xf numFmtId="4" fontId="8" fillId="0" borderId="29" xfId="0" applyNumberFormat="1" applyFont="1" applyFill="1" applyBorder="1" applyAlignment="1"/>
    <xf numFmtId="4" fontId="2" fillId="0" borderId="30" xfId="0" applyNumberFormat="1" applyFont="1" applyBorder="1"/>
    <xf numFmtId="4" fontId="8" fillId="0" borderId="32" xfId="0" applyNumberFormat="1" applyFont="1" applyBorder="1"/>
    <xf numFmtId="4" fontId="8" fillId="0" borderId="33" xfId="0" applyNumberFormat="1" applyFont="1" applyBorder="1"/>
    <xf numFmtId="4" fontId="18" fillId="0" borderId="32" xfId="0" applyNumberFormat="1" applyFont="1" applyBorder="1"/>
    <xf numFmtId="0" fontId="18" fillId="0" borderId="19" xfId="0" applyFont="1" applyBorder="1"/>
    <xf numFmtId="0" fontId="18" fillId="0" borderId="1" xfId="0" applyFont="1" applyBorder="1"/>
    <xf numFmtId="4" fontId="18" fillId="0" borderId="1" xfId="0" applyNumberFormat="1" applyFont="1" applyBorder="1"/>
    <xf numFmtId="42" fontId="18" fillId="0" borderId="1" xfId="0" applyNumberFormat="1" applyFont="1" applyBorder="1"/>
    <xf numFmtId="41" fontId="18" fillId="0" borderId="1" xfId="0" applyNumberFormat="1" applyFont="1" applyBorder="1"/>
    <xf numFmtId="164" fontId="18" fillId="0" borderId="1" xfId="0" applyNumberFormat="1" applyFont="1" applyBorder="1"/>
    <xf numFmtId="4" fontId="18" fillId="0" borderId="34" xfId="0" applyNumberFormat="1" applyFont="1" applyBorder="1"/>
    <xf numFmtId="0" fontId="8" fillId="0" borderId="0" xfId="0" applyFont="1" applyBorder="1" applyAlignment="1">
      <alignment horizontal="right"/>
    </xf>
    <xf numFmtId="42" fontId="8" fillId="0" borderId="0" xfId="0" applyNumberFormat="1" applyFont="1" applyBorder="1"/>
    <xf numFmtId="3" fontId="8" fillId="0" borderId="0" xfId="0" applyNumberFormat="1" applyFont="1" applyBorder="1"/>
    <xf numFmtId="42" fontId="18" fillId="0" borderId="12" xfId="0" applyNumberFormat="1" applyFont="1" applyBorder="1"/>
    <xf numFmtId="1" fontId="8" fillId="0" borderId="19" xfId="0" applyNumberFormat="1" applyFont="1" applyBorder="1" applyAlignment="1"/>
    <xf numFmtId="0" fontId="8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1" fontId="8" fillId="0" borderId="1" xfId="0" applyNumberFormat="1" applyFont="1" applyBorder="1" applyProtection="1">
      <protection locked="0"/>
    </xf>
    <xf numFmtId="164" fontId="8" fillId="0" borderId="1" xfId="0" applyNumberFormat="1" applyFont="1" applyBorder="1"/>
    <xf numFmtId="41" fontId="8" fillId="0" borderId="1" xfId="0" applyNumberFormat="1" applyFont="1" applyBorder="1"/>
    <xf numFmtId="164" fontId="8" fillId="0" borderId="1" xfId="0" applyNumberFormat="1" applyFont="1" applyBorder="1" applyProtection="1">
      <protection locked="0"/>
    </xf>
    <xf numFmtId="4" fontId="8" fillId="0" borderId="34" xfId="0" applyNumberFormat="1" applyFont="1" applyBorder="1"/>
    <xf numFmtId="0" fontId="8" fillId="0" borderId="23" xfId="0" applyNumberFormat="1" applyFont="1" applyBorder="1" applyAlignment="1">
      <alignment horizontal="right"/>
    </xf>
    <xf numFmtId="0" fontId="24" fillId="0" borderId="0" xfId="0" applyFont="1"/>
    <xf numFmtId="37" fontId="21" fillId="0" borderId="35" xfId="0" applyNumberFormat="1" applyFont="1" applyBorder="1" applyAlignment="1" applyProtection="1">
      <alignment horizontal="right"/>
      <protection locked="0"/>
    </xf>
    <xf numFmtId="0" fontId="0" fillId="0" borderId="17" xfId="0" applyBorder="1"/>
    <xf numFmtId="14" fontId="0" fillId="0" borderId="0" xfId="0" applyNumberFormat="1"/>
    <xf numFmtId="0" fontId="25" fillId="0" borderId="0" xfId="0" applyFont="1"/>
    <xf numFmtId="0" fontId="26" fillId="0" borderId="23" xfId="0" applyNumberFormat="1" applyFont="1" applyBorder="1" applyAlignment="1">
      <alignment horizontal="right"/>
    </xf>
    <xf numFmtId="0" fontId="27" fillId="0" borderId="0" xfId="0" applyFont="1"/>
    <xf numFmtId="41" fontId="26" fillId="0" borderId="24" xfId="0" applyNumberFormat="1" applyFont="1" applyBorder="1" applyProtection="1">
      <protection locked="0"/>
    </xf>
    <xf numFmtId="4" fontId="8" fillId="0" borderId="0" xfId="0" applyNumberFormat="1" applyFont="1"/>
    <xf numFmtId="0" fontId="16" fillId="0" borderId="8" xfId="0" applyFont="1" applyBorder="1" applyProtection="1">
      <protection locked="0"/>
    </xf>
    <xf numFmtId="0" fontId="16" fillId="0" borderId="8" xfId="0" applyFont="1" applyBorder="1"/>
    <xf numFmtId="0" fontId="16" fillId="0" borderId="9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8" fillId="0" borderId="7" xfId="0" applyFont="1" applyBorder="1"/>
    <xf numFmtId="0" fontId="7" fillId="0" borderId="2" xfId="0" applyFont="1" applyBorder="1" applyProtection="1">
      <protection locked="0"/>
    </xf>
    <xf numFmtId="0" fontId="9" fillId="0" borderId="0" xfId="0" applyFont="1"/>
    <xf numFmtId="4" fontId="0" fillId="0" borderId="12" xfId="0" applyNumberFormat="1" applyBorder="1"/>
    <xf numFmtId="4" fontId="25" fillId="0" borderId="0" xfId="0" applyNumberFormat="1" applyFont="1"/>
    <xf numFmtId="0" fontId="0" fillId="0" borderId="12" xfId="0" applyBorder="1"/>
    <xf numFmtId="14" fontId="0" fillId="0" borderId="12" xfId="0" applyNumberFormat="1" applyBorder="1"/>
    <xf numFmtId="4" fontId="0" fillId="0" borderId="35" xfId="0" applyNumberFormat="1" applyBorder="1"/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/>
    <xf numFmtId="0" fontId="2" fillId="0" borderId="38" xfId="0" applyFont="1" applyFill="1" applyBorder="1" applyAlignment="1"/>
    <xf numFmtId="14" fontId="8" fillId="0" borderId="13" xfId="0" applyNumberFormat="1" applyFont="1" applyBorder="1"/>
    <xf numFmtId="14" fontId="8" fillId="0" borderId="24" xfId="0" applyNumberFormat="1" applyFont="1" applyBorder="1"/>
    <xf numFmtId="0" fontId="18" fillId="0" borderId="36" xfId="0" applyFont="1" applyBorder="1"/>
    <xf numFmtId="0" fontId="1" fillId="0" borderId="37" xfId="0" applyFont="1" applyBorder="1"/>
    <xf numFmtId="0" fontId="2" fillId="0" borderId="38" xfId="0" applyFont="1" applyBorder="1"/>
    <xf numFmtId="4" fontId="18" fillId="0" borderId="12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28" fillId="0" borderId="24" xfId="0" applyNumberFormat="1" applyFont="1" applyBorder="1"/>
    <xf numFmtId="1" fontId="22" fillId="0" borderId="23" xfId="0" applyNumberFormat="1" applyFont="1" applyBorder="1"/>
    <xf numFmtId="0" fontId="22" fillId="0" borderId="0" xfId="0" applyFont="1"/>
    <xf numFmtId="4" fontId="22" fillId="0" borderId="0" xfId="0" applyNumberFormat="1" applyFont="1"/>
    <xf numFmtId="41" fontId="22" fillId="0" borderId="24" xfId="0" applyNumberFormat="1" applyFont="1" applyBorder="1" applyProtection="1">
      <protection locked="0"/>
    </xf>
    <xf numFmtId="4" fontId="22" fillId="0" borderId="24" xfId="0" applyNumberFormat="1" applyFont="1" applyBorder="1"/>
    <xf numFmtId="164" fontId="22" fillId="0" borderId="24" xfId="0" applyNumberFormat="1" applyFont="1" applyBorder="1"/>
    <xf numFmtId="4" fontId="29" fillId="0" borderId="24" xfId="0" applyNumberFormat="1" applyFont="1" applyBorder="1"/>
    <xf numFmtId="164" fontId="22" fillId="0" borderId="24" xfId="0" applyNumberFormat="1" applyFont="1" applyBorder="1" applyProtection="1">
      <protection locked="0"/>
    </xf>
    <xf numFmtId="4" fontId="2" fillId="0" borderId="32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168" fontId="8" fillId="0" borderId="0" xfId="0" applyNumberFormat="1" applyFont="1" applyBorder="1"/>
    <xf numFmtId="0" fontId="31" fillId="0" borderId="23" xfId="0" applyNumberFormat="1" applyFont="1" applyBorder="1" applyAlignment="1">
      <alignment horizontal="right"/>
    </xf>
    <xf numFmtId="0" fontId="31" fillId="0" borderId="0" xfId="0" applyFont="1"/>
    <xf numFmtId="4" fontId="31" fillId="0" borderId="0" xfId="0" applyNumberFormat="1" applyFont="1"/>
    <xf numFmtId="41" fontId="31" fillId="0" borderId="24" xfId="0" applyNumberFormat="1" applyFont="1" applyBorder="1" applyProtection="1">
      <protection locked="0"/>
    </xf>
    <xf numFmtId="4" fontId="31" fillId="0" borderId="24" xfId="0" applyNumberFormat="1" applyFont="1" applyBorder="1"/>
    <xf numFmtId="164" fontId="31" fillId="0" borderId="24" xfId="0" applyNumberFormat="1" applyFont="1" applyBorder="1"/>
    <xf numFmtId="168" fontId="31" fillId="0" borderId="0" xfId="0" applyNumberFormat="1" applyFont="1" applyBorder="1"/>
    <xf numFmtId="41" fontId="31" fillId="0" borderId="24" xfId="0" applyNumberFormat="1" applyFont="1" applyBorder="1"/>
    <xf numFmtId="164" fontId="31" fillId="0" borderId="24" xfId="0" applyNumberFormat="1" applyFont="1" applyBorder="1" applyProtection="1">
      <protection locked="0"/>
    </xf>
    <xf numFmtId="4" fontId="31" fillId="0" borderId="32" xfId="0" applyNumberFormat="1" applyFont="1" applyBorder="1"/>
    <xf numFmtId="0" fontId="32" fillId="0" borderId="0" xfId="0" applyFont="1"/>
    <xf numFmtId="2" fontId="2" fillId="0" borderId="9" xfId="0" applyNumberFormat="1" applyFont="1" applyBorder="1" applyAlignment="1">
      <alignment horizontal="center"/>
    </xf>
    <xf numFmtId="2" fontId="2" fillId="0" borderId="25" xfId="0" applyNumberFormat="1" applyFont="1" applyBorder="1"/>
    <xf numFmtId="41" fontId="8" fillId="0" borderId="16" xfId="0" applyNumberFormat="1" applyFont="1" applyFill="1" applyBorder="1" applyAlignment="1"/>
    <xf numFmtId="0" fontId="0" fillId="0" borderId="24" xfId="0" applyBorder="1"/>
    <xf numFmtId="2" fontId="0" fillId="0" borderId="24" xfId="0" applyNumberFormat="1" applyBorder="1"/>
    <xf numFmtId="0" fontId="0" fillId="0" borderId="32" xfId="0" applyBorder="1"/>
    <xf numFmtId="4" fontId="0" fillId="0" borderId="32" xfId="0" applyNumberFormat="1" applyBorder="1"/>
    <xf numFmtId="3" fontId="8" fillId="0" borderId="24" xfId="0" applyNumberFormat="1" applyFont="1" applyBorder="1"/>
    <xf numFmtId="2" fontId="31" fillId="0" borderId="24" xfId="0" applyNumberFormat="1" applyFont="1" applyBorder="1" applyProtection="1">
      <protection locked="0"/>
    </xf>
    <xf numFmtId="39" fontId="31" fillId="0" borderId="28" xfId="0" applyNumberFormat="1" applyFont="1" applyBorder="1"/>
    <xf numFmtId="2" fontId="8" fillId="0" borderId="17" xfId="0" applyNumberFormat="1" applyFont="1" applyBorder="1"/>
    <xf numFmtId="0" fontId="18" fillId="0" borderId="24" xfId="0" applyFont="1" applyBorder="1"/>
    <xf numFmtId="0" fontId="27" fillId="0" borderId="24" xfId="0" applyFont="1" applyBorder="1"/>
    <xf numFmtId="0" fontId="0" fillId="0" borderId="28" xfId="0" applyBorder="1"/>
    <xf numFmtId="0" fontId="18" fillId="0" borderId="28" xfId="0" applyFont="1" applyBorder="1"/>
    <xf numFmtId="0" fontId="27" fillId="0" borderId="28" xfId="0" applyFont="1" applyBorder="1"/>
    <xf numFmtId="0" fontId="20" fillId="0" borderId="0" xfId="0" applyFont="1" applyAlignment="1" applyProtection="1">
      <alignment horizontal="center"/>
      <protection locked="0"/>
    </xf>
    <xf numFmtId="49" fontId="33" fillId="0" borderId="0" xfId="0" applyNumberFormat="1" applyFont="1" applyBorder="1"/>
    <xf numFmtId="4" fontId="31" fillId="0" borderId="23" xfId="0" applyNumberFormat="1" applyFont="1" applyBorder="1"/>
    <xf numFmtId="0" fontId="34" fillId="0" borderId="0" xfId="0" applyFont="1"/>
    <xf numFmtId="4" fontId="34" fillId="0" borderId="0" xfId="0" applyNumberFormat="1" applyFont="1"/>
    <xf numFmtId="41" fontId="34" fillId="0" borderId="24" xfId="0" applyNumberFormat="1" applyFont="1" applyBorder="1" applyProtection="1">
      <protection locked="0"/>
    </xf>
    <xf numFmtId="164" fontId="34" fillId="0" borderId="24" xfId="0" applyNumberFormat="1" applyFont="1" applyBorder="1"/>
    <xf numFmtId="4" fontId="34" fillId="0" borderId="24" xfId="0" applyNumberFormat="1" applyFont="1" applyBorder="1"/>
    <xf numFmtId="0" fontId="2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Protection="1"/>
    <xf numFmtId="0" fontId="2" fillId="0" borderId="0" xfId="0" applyFont="1" applyProtection="1"/>
    <xf numFmtId="0" fontId="24" fillId="0" borderId="0" xfId="0" applyFont="1" applyProtection="1"/>
    <xf numFmtId="0" fontId="1" fillId="0" borderId="0" xfId="0" applyFont="1" applyProtection="1"/>
    <xf numFmtId="0" fontId="2" fillId="0" borderId="15" xfId="0" applyFont="1" applyBorder="1" applyAlignment="1" applyProtection="1">
      <alignment horizontal="center"/>
    </xf>
    <xf numFmtId="14" fontId="2" fillId="0" borderId="23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3" xfId="0" applyFont="1" applyFill="1" applyBorder="1" applyAlignment="1" applyProtection="1"/>
    <xf numFmtId="41" fontId="2" fillId="0" borderId="0" xfId="0" applyNumberFormat="1" applyFont="1" applyProtection="1"/>
    <xf numFmtId="41" fontId="2" fillId="0" borderId="13" xfId="0" applyNumberFormat="1" applyFont="1" applyBorder="1" applyProtection="1"/>
    <xf numFmtId="41" fontId="2" fillId="0" borderId="12" xfId="0" applyNumberFormat="1" applyFont="1" applyBorder="1" applyProtection="1"/>
    <xf numFmtId="41" fontId="8" fillId="0" borderId="0" xfId="0" applyNumberFormat="1" applyFont="1" applyBorder="1" applyProtection="1"/>
    <xf numFmtId="41" fontId="8" fillId="0" borderId="37" xfId="0" applyNumberFormat="1" applyFont="1" applyBorder="1" applyProtection="1"/>
    <xf numFmtId="41" fontId="2" fillId="0" borderId="0" xfId="0" applyNumberFormat="1" applyFont="1" applyBorder="1" applyProtection="1"/>
    <xf numFmtId="41" fontId="2" fillId="0" borderId="1" xfId="0" applyNumberFormat="1" applyFont="1" applyBorder="1" applyProtection="1"/>
    <xf numFmtId="0" fontId="2" fillId="0" borderId="0" xfId="0" applyFont="1" applyBorder="1" applyProtection="1"/>
    <xf numFmtId="0" fontId="0" fillId="0" borderId="1" xfId="0" applyBorder="1" applyProtection="1"/>
    <xf numFmtId="3" fontId="8" fillId="0" borderId="24" xfId="0" applyNumberFormat="1" applyFont="1" applyBorder="1" applyProtection="1">
      <protection locked="0"/>
    </xf>
    <xf numFmtId="0" fontId="2" fillId="0" borderId="8" xfId="0" applyFont="1" applyBorder="1" applyAlignment="1">
      <alignment horizontal="center"/>
    </xf>
    <xf numFmtId="4" fontId="8" fillId="0" borderId="32" xfId="0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4" fontId="1" fillId="0" borderId="0" xfId="0" applyNumberFormat="1" applyFont="1"/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3" fontId="2" fillId="0" borderId="30" xfId="0" applyNumberFormat="1" applyFont="1" applyBorder="1"/>
    <xf numFmtId="3" fontId="2" fillId="0" borderId="4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164" fontId="2" fillId="0" borderId="25" xfId="0" applyNumberFormat="1" applyFont="1" applyBorder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43" xfId="0" applyFont="1" applyBorder="1"/>
    <xf numFmtId="0" fontId="1" fillId="0" borderId="44" xfId="0" applyFont="1" applyBorder="1"/>
    <xf numFmtId="0" fontId="2" fillId="0" borderId="45" xfId="0" applyFont="1" applyBorder="1"/>
    <xf numFmtId="3" fontId="2" fillId="0" borderId="13" xfId="0" applyNumberFormat="1" applyFont="1" applyBorder="1"/>
    <xf numFmtId="3" fontId="2" fillId="0" borderId="46" xfId="0" applyNumberFormat="1" applyFont="1" applyBorder="1"/>
    <xf numFmtId="0" fontId="22" fillId="0" borderId="24" xfId="0" applyNumberFormat="1" applyFont="1" applyBorder="1" applyAlignment="1">
      <alignment horizontal="center"/>
    </xf>
    <xf numFmtId="14" fontId="22" fillId="0" borderId="24" xfId="0" applyNumberFormat="1" applyFont="1" applyBorder="1"/>
    <xf numFmtId="0" fontId="22" fillId="0" borderId="3" xfId="0" applyFont="1" applyBorder="1"/>
    <xf numFmtId="3" fontId="22" fillId="0" borderId="24" xfId="0" applyNumberFormat="1" applyFont="1" applyBorder="1"/>
    <xf numFmtId="3" fontId="22" fillId="0" borderId="24" xfId="0" applyNumberFormat="1" applyFont="1" applyBorder="1" applyProtection="1">
      <protection locked="0"/>
    </xf>
    <xf numFmtId="2" fontId="22" fillId="0" borderId="24" xfId="0" applyNumberFormat="1" applyFont="1" applyBorder="1"/>
    <xf numFmtId="3" fontId="22" fillId="0" borderId="0" xfId="0" applyNumberFormat="1" applyFont="1" applyBorder="1"/>
    <xf numFmtId="3" fontId="22" fillId="0" borderId="2" xfId="0" applyNumberFormat="1" applyFont="1" applyBorder="1"/>
    <xf numFmtId="4" fontId="22" fillId="0" borderId="32" xfId="0" applyNumberFormat="1" applyFont="1" applyBorder="1"/>
    <xf numFmtId="0" fontId="8" fillId="0" borderId="23" xfId="0" applyFont="1" applyBorder="1"/>
    <xf numFmtId="0" fontId="14" fillId="0" borderId="24" xfId="0" applyFont="1" applyFill="1" applyBorder="1" applyAlignment="1">
      <alignment horizontal="left"/>
    </xf>
    <xf numFmtId="0" fontId="2" fillId="0" borderId="24" xfId="0" applyFont="1" applyFill="1" applyBorder="1" applyAlignment="1"/>
    <xf numFmtId="0" fontId="8" fillId="0" borderId="3" xfId="0" applyFont="1" applyFill="1" applyBorder="1" applyAlignment="1">
      <alignment horizontal="right"/>
    </xf>
    <xf numFmtId="3" fontId="8" fillId="0" borderId="26" xfId="0" applyNumberFormat="1" applyFont="1" applyFill="1" applyBorder="1" applyAlignment="1"/>
    <xf numFmtId="3" fontId="8" fillId="0" borderId="24" xfId="0" applyNumberFormat="1" applyFont="1" applyFill="1" applyBorder="1" applyAlignment="1"/>
    <xf numFmtId="41" fontId="8" fillId="0" borderId="24" xfId="0" applyNumberFormat="1" applyFont="1" applyFill="1" applyBorder="1" applyAlignment="1"/>
    <xf numFmtId="2" fontId="8" fillId="0" borderId="24" xfId="0" applyNumberFormat="1" applyFont="1" applyFill="1" applyBorder="1" applyAlignment="1"/>
    <xf numFmtId="3" fontId="8" fillId="0" borderId="47" xfId="0" applyNumberFormat="1" applyFont="1" applyFill="1" applyBorder="1" applyAlignment="1"/>
    <xf numFmtId="4" fontId="8" fillId="0" borderId="47" xfId="0" applyNumberFormat="1" applyFont="1" applyFill="1" applyBorder="1" applyAlignment="1"/>
    <xf numFmtId="164" fontId="8" fillId="0" borderId="21" xfId="0" applyNumberFormat="1" applyFont="1" applyFill="1" applyBorder="1" applyAlignment="1"/>
    <xf numFmtId="3" fontId="0" fillId="0" borderId="12" xfId="0" applyNumberFormat="1" applyBorder="1"/>
    <xf numFmtId="14" fontId="18" fillId="0" borderId="13" xfId="0" applyNumberFormat="1" applyFont="1" applyBorder="1" applyAlignment="1">
      <alignment horizontal="center"/>
    </xf>
    <xf numFmtId="14" fontId="34" fillId="0" borderId="24" xfId="0" applyNumberFormat="1" applyFont="1" applyBorder="1"/>
    <xf numFmtId="14" fontId="31" fillId="0" borderId="24" xfId="0" applyNumberFormat="1" applyFont="1" applyBorder="1"/>
    <xf numFmtId="0" fontId="8" fillId="0" borderId="13" xfId="0" applyFont="1" applyBorder="1"/>
    <xf numFmtId="0" fontId="22" fillId="0" borderId="24" xfId="0" applyFont="1" applyBorder="1"/>
    <xf numFmtId="0" fontId="8" fillId="0" borderId="24" xfId="0" applyFont="1" applyBorder="1"/>
    <xf numFmtId="0" fontId="34" fillId="0" borderId="24" xfId="0" applyFont="1" applyBorder="1"/>
    <xf numFmtId="0" fontId="31" fillId="0" borderId="24" xfId="0" applyFont="1" applyBorder="1"/>
    <xf numFmtId="0" fontId="18" fillId="0" borderId="37" xfId="0" applyFont="1" applyBorder="1"/>
    <xf numFmtId="4" fontId="18" fillId="0" borderId="37" xfId="0" applyNumberFormat="1" applyFont="1" applyBorder="1"/>
    <xf numFmtId="0" fontId="8" fillId="0" borderId="11" xfId="0" applyFont="1" applyBorder="1" applyAlignment="1">
      <alignment horizontal="right"/>
    </xf>
    <xf numFmtId="0" fontId="18" fillId="0" borderId="12" xfId="0" applyNumberFormat="1" applyFont="1" applyBorder="1"/>
    <xf numFmtId="0" fontId="8" fillId="0" borderId="12" xfId="0" applyFont="1" applyBorder="1"/>
    <xf numFmtId="4" fontId="8" fillId="0" borderId="12" xfId="0" applyNumberFormat="1" applyFont="1" applyBorder="1"/>
    <xf numFmtId="41" fontId="8" fillId="0" borderId="12" xfId="0" applyNumberFormat="1" applyFont="1" applyBorder="1" applyProtection="1">
      <protection locked="0"/>
    </xf>
    <xf numFmtId="164" fontId="8" fillId="0" borderId="12" xfId="0" applyNumberFormat="1" applyFont="1" applyBorder="1"/>
    <xf numFmtId="41" fontId="8" fillId="0" borderId="12" xfId="0" applyNumberFormat="1" applyFont="1" applyBorder="1"/>
    <xf numFmtId="164" fontId="8" fillId="0" borderId="12" xfId="0" applyNumberFormat="1" applyFont="1" applyBorder="1" applyProtection="1">
      <protection locked="0"/>
    </xf>
    <xf numFmtId="4" fontId="8" fillId="0" borderId="30" xfId="0" applyNumberFormat="1" applyFont="1" applyBorder="1"/>
    <xf numFmtId="0" fontId="18" fillId="0" borderId="0" xfId="0" applyFont="1" applyProtection="1"/>
    <xf numFmtId="4" fontId="8" fillId="0" borderId="23" xfId="0" applyNumberFormat="1" applyFont="1" applyBorder="1"/>
    <xf numFmtId="2" fontId="8" fillId="0" borderId="24" xfId="0" applyNumberFormat="1" applyFont="1" applyBorder="1" applyProtection="1">
      <protection locked="0"/>
    </xf>
    <xf numFmtId="39" fontId="8" fillId="0" borderId="28" xfId="0" applyNumberFormat="1" applyFont="1" applyBorder="1"/>
    <xf numFmtId="40" fontId="0" fillId="0" borderId="0" xfId="0" applyNumberFormat="1"/>
    <xf numFmtId="40" fontId="2" fillId="0" borderId="0" xfId="0" applyNumberFormat="1" applyFont="1"/>
    <xf numFmtId="40" fontId="13" fillId="0" borderId="0" xfId="0" applyNumberFormat="1" applyFont="1"/>
    <xf numFmtId="40" fontId="1" fillId="0" borderId="0" xfId="0" applyNumberFormat="1" applyFont="1"/>
    <xf numFmtId="40" fontId="18" fillId="0" borderId="30" xfId="0" applyNumberFormat="1" applyFont="1" applyBorder="1"/>
    <xf numFmtId="40" fontId="2" fillId="0" borderId="31" xfId="0" applyNumberFormat="1" applyFont="1" applyBorder="1" applyAlignment="1">
      <alignment horizontal="center"/>
    </xf>
    <xf numFmtId="40" fontId="2" fillId="0" borderId="28" xfId="0" applyNumberFormat="1" applyFont="1" applyBorder="1" applyAlignment="1">
      <alignment horizontal="center"/>
    </xf>
    <xf numFmtId="40" fontId="2" fillId="0" borderId="29" xfId="0" applyNumberFormat="1" applyFont="1" applyBorder="1" applyAlignment="1">
      <alignment horizontal="center"/>
    </xf>
    <xf numFmtId="40" fontId="2" fillId="0" borderId="0" xfId="0" applyNumberFormat="1" applyFont="1" applyAlignment="1">
      <alignment horizontal="center"/>
    </xf>
    <xf numFmtId="40" fontId="2" fillId="0" borderId="13" xfId="0" applyNumberFormat="1" applyFont="1" applyFill="1" applyBorder="1" applyAlignment="1"/>
    <xf numFmtId="40" fontId="8" fillId="0" borderId="24" xfId="0" applyNumberFormat="1" applyFont="1" applyFill="1" applyBorder="1" applyAlignment="1"/>
    <xf numFmtId="40" fontId="8" fillId="0" borderId="26" xfId="0" applyNumberFormat="1" applyFont="1" applyFill="1" applyBorder="1" applyAlignment="1"/>
    <xf numFmtId="40" fontId="18" fillId="0" borderId="0" xfId="0" applyNumberFormat="1" applyFont="1"/>
    <xf numFmtId="40" fontId="2" fillId="0" borderId="13" xfId="0" applyNumberFormat="1" applyFont="1" applyBorder="1"/>
    <xf numFmtId="40" fontId="8" fillId="0" borderId="0" xfId="0" applyNumberFormat="1" applyFont="1" applyBorder="1"/>
    <xf numFmtId="40" fontId="22" fillId="0" borderId="0" xfId="0" applyNumberFormat="1" applyFont="1"/>
    <xf numFmtId="40" fontId="8" fillId="0" borderId="0" xfId="0" applyNumberFormat="1" applyFont="1"/>
    <xf numFmtId="40" fontId="31" fillId="0" borderId="0" xfId="0" applyNumberFormat="1" applyFont="1"/>
    <xf numFmtId="40" fontId="8" fillId="0" borderId="26" xfId="0" applyNumberFormat="1" applyFont="1" applyBorder="1"/>
    <xf numFmtId="40" fontId="18" fillId="0" borderId="12" xfId="0" applyNumberFormat="1" applyFont="1" applyBorder="1"/>
    <xf numFmtId="40" fontId="8" fillId="0" borderId="1" xfId="0" applyNumberFormat="1" applyFont="1" applyBorder="1"/>
    <xf numFmtId="40" fontId="8" fillId="0" borderId="12" xfId="0" applyNumberFormat="1" applyFont="1" applyBorder="1"/>
    <xf numFmtId="40" fontId="18" fillId="0" borderId="0" xfId="0" applyNumberFormat="1" applyFont="1" applyBorder="1"/>
    <xf numFmtId="40" fontId="18" fillId="0" borderId="1" xfId="0" applyNumberFormat="1" applyFont="1" applyBorder="1"/>
    <xf numFmtId="40" fontId="2" fillId="0" borderId="0" xfId="0" applyNumberFormat="1" applyFont="1" applyBorder="1"/>
    <xf numFmtId="0" fontId="0" fillId="0" borderId="48" xfId="0" applyBorder="1"/>
    <xf numFmtId="4" fontId="0" fillId="0" borderId="48" xfId="0" applyNumberFormat="1" applyBorder="1"/>
    <xf numFmtId="4" fontId="0" fillId="0" borderId="0" xfId="0" applyNumberFormat="1" applyBorder="1"/>
    <xf numFmtId="14" fontId="0" fillId="0" borderId="0" xfId="0" applyNumberFormat="1" applyBorder="1"/>
    <xf numFmtId="14" fontId="0" fillId="0" borderId="48" xfId="0" applyNumberFormat="1" applyBorder="1"/>
    <xf numFmtId="4" fontId="0" fillId="0" borderId="0" xfId="0" applyNumberFormat="1" applyAlignment="1">
      <alignment horizontal="center"/>
    </xf>
    <xf numFmtId="0" fontId="8" fillId="0" borderId="49" xfId="0" applyNumberFormat="1" applyFont="1" applyBorder="1" applyAlignment="1">
      <alignment horizontal="right"/>
    </xf>
    <xf numFmtId="0" fontId="8" fillId="0" borderId="48" xfId="0" applyFont="1" applyBorder="1"/>
    <xf numFmtId="14" fontId="8" fillId="0" borderId="50" xfId="0" applyNumberFormat="1" applyFont="1" applyBorder="1"/>
    <xf numFmtId="0" fontId="8" fillId="0" borderId="50" xfId="0" applyFont="1" applyBorder="1"/>
    <xf numFmtId="4" fontId="8" fillId="0" borderId="48" xfId="0" applyNumberFormat="1" applyFont="1" applyBorder="1"/>
    <xf numFmtId="41" fontId="8" fillId="0" borderId="50" xfId="0" applyNumberFormat="1" applyFont="1" applyBorder="1" applyProtection="1">
      <protection locked="0"/>
    </xf>
    <xf numFmtId="164" fontId="8" fillId="0" borderId="50" xfId="0" applyNumberFormat="1" applyFont="1" applyBorder="1"/>
    <xf numFmtId="4" fontId="8" fillId="0" borderId="50" xfId="0" applyNumberFormat="1" applyFont="1" applyBorder="1"/>
    <xf numFmtId="40" fontId="8" fillId="0" borderId="48" xfId="0" applyNumberFormat="1" applyFont="1" applyBorder="1"/>
    <xf numFmtId="168" fontId="8" fillId="0" borderId="48" xfId="0" applyNumberFormat="1" applyFont="1" applyBorder="1"/>
    <xf numFmtId="41" fontId="8" fillId="0" borderId="50" xfId="0" applyNumberFormat="1" applyFont="1" applyBorder="1"/>
    <xf numFmtId="0" fontId="18" fillId="0" borderId="48" xfId="0" applyFont="1" applyBorder="1" applyProtection="1"/>
    <xf numFmtId="164" fontId="8" fillId="0" borderId="50" xfId="0" applyNumberFormat="1" applyFont="1" applyBorder="1" applyProtection="1">
      <protection locked="0"/>
    </xf>
    <xf numFmtId="4" fontId="8" fillId="0" borderId="51" xfId="0" applyNumberFormat="1" applyFont="1" applyBorder="1"/>
    <xf numFmtId="4" fontId="8" fillId="0" borderId="49" xfId="0" applyNumberFormat="1" applyFont="1" applyBorder="1"/>
    <xf numFmtId="2" fontId="8" fillId="0" borderId="50" xfId="0" applyNumberFormat="1" applyFont="1" applyBorder="1" applyProtection="1">
      <protection locked="0"/>
    </xf>
    <xf numFmtId="39" fontId="8" fillId="0" borderId="52" xfId="0" applyNumberFormat="1" applyFont="1" applyBorder="1"/>
    <xf numFmtId="0" fontId="31" fillId="0" borderId="0" xfId="0" applyFont="1" applyBorder="1"/>
    <xf numFmtId="4" fontId="31" fillId="0" borderId="0" xfId="0" applyNumberFormat="1" applyFont="1" applyBorder="1"/>
    <xf numFmtId="40" fontId="31" fillId="0" borderId="0" xfId="0" applyNumberFormat="1" applyFont="1" applyBorder="1"/>
    <xf numFmtId="0" fontId="0" fillId="0" borderId="0" xfId="0" applyBorder="1" applyProtection="1"/>
    <xf numFmtId="4" fontId="31" fillId="0" borderId="21" xfId="0" applyNumberFormat="1" applyFont="1" applyBorder="1"/>
    <xf numFmtId="4" fontId="8" fillId="0" borderId="24" xfId="0" applyNumberFormat="1" applyFont="1" applyFill="1" applyBorder="1" applyAlignment="1" applyProtection="1"/>
    <xf numFmtId="1" fontId="0" fillId="0" borderId="0" xfId="0" applyNumberFormat="1"/>
    <xf numFmtId="0" fontId="0" fillId="0" borderId="0" xfId="0" applyAlignment="1">
      <alignment horizontal="right"/>
    </xf>
    <xf numFmtId="38" fontId="8" fillId="0" borderId="26" xfId="0" applyNumberFormat="1" applyFont="1" applyBorder="1"/>
    <xf numFmtId="38" fontId="0" fillId="0" borderId="0" xfId="0" applyNumberFormat="1"/>
    <xf numFmtId="38" fontId="2" fillId="0" borderId="0" xfId="0" applyNumberFormat="1" applyFont="1"/>
    <xf numFmtId="38" fontId="13" fillId="0" borderId="0" xfId="0" applyNumberFormat="1" applyFont="1"/>
    <xf numFmtId="38" fontId="1" fillId="0" borderId="0" xfId="0" applyNumberFormat="1" applyFont="1"/>
    <xf numFmtId="38" fontId="18" fillId="0" borderId="40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38" fontId="2" fillId="0" borderId="42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13" xfId="0" applyNumberFormat="1" applyFont="1" applyFill="1" applyBorder="1" applyAlignment="1"/>
    <xf numFmtId="38" fontId="8" fillId="0" borderId="24" xfId="0" applyNumberFormat="1" applyFont="1" applyBorder="1"/>
    <xf numFmtId="38" fontId="8" fillId="0" borderId="26" xfId="0" applyNumberFormat="1" applyFont="1" applyFill="1" applyBorder="1" applyAlignment="1"/>
    <xf numFmtId="38" fontId="18" fillId="0" borderId="0" xfId="0" applyNumberFormat="1" applyFont="1"/>
    <xf numFmtId="38" fontId="2" fillId="0" borderId="13" xfId="0" applyNumberFormat="1" applyFont="1" applyBorder="1"/>
    <xf numFmtId="38" fontId="31" fillId="0" borderId="24" xfId="0" applyNumberFormat="1" applyFont="1" applyBorder="1"/>
    <xf numFmtId="38" fontId="8" fillId="0" borderId="50" xfId="0" applyNumberFormat="1" applyFont="1" applyBorder="1"/>
    <xf numFmtId="38" fontId="8" fillId="0" borderId="0" xfId="0" applyNumberFormat="1" applyFont="1" applyBorder="1"/>
    <xf numFmtId="38" fontId="18" fillId="0" borderId="12" xfId="0" applyNumberFormat="1" applyFont="1" applyBorder="1"/>
    <xf numFmtId="38" fontId="8" fillId="0" borderId="1" xfId="0" applyNumberFormat="1" applyFont="1" applyBorder="1"/>
    <xf numFmtId="38" fontId="8" fillId="0" borderId="12" xfId="0" applyNumberFormat="1" applyFont="1" applyBorder="1"/>
    <xf numFmtId="38" fontId="18" fillId="0" borderId="0" xfId="0" applyNumberFormat="1" applyFont="1" applyBorder="1"/>
    <xf numFmtId="38" fontId="18" fillId="0" borderId="1" xfId="0" applyNumberFormat="1" applyFont="1" applyBorder="1"/>
    <xf numFmtId="38" fontId="2" fillId="0" borderId="0" xfId="0" applyNumberFormat="1" applyFont="1" applyBorder="1"/>
    <xf numFmtId="38" fontId="8" fillId="0" borderId="24" xfId="0" applyNumberFormat="1" applyFont="1" applyBorder="1" applyProtection="1">
      <protection locked="0"/>
    </xf>
    <xf numFmtId="1" fontId="8" fillId="0" borderId="23" xfId="0" applyNumberFormat="1" applyFont="1" applyBorder="1" applyAlignment="1">
      <alignment horizontal="center"/>
    </xf>
    <xf numFmtId="164" fontId="29" fillId="0" borderId="24" xfId="0" applyNumberFormat="1" applyFont="1" applyBorder="1" applyProtection="1">
      <protection locked="0"/>
    </xf>
    <xf numFmtId="164" fontId="28" fillId="0" borderId="24" xfId="0" applyNumberFormat="1" applyFont="1" applyBorder="1" applyProtection="1">
      <protection locked="0"/>
    </xf>
    <xf numFmtId="0" fontId="8" fillId="0" borderId="23" xfId="0" applyNumberFormat="1" applyFont="1" applyBorder="1" applyAlignment="1">
      <alignment horizontal="center"/>
    </xf>
    <xf numFmtId="0" fontId="31" fillId="0" borderId="23" xfId="0" applyNumberFormat="1" applyFont="1" applyBorder="1" applyAlignment="1">
      <alignment horizontal="center"/>
    </xf>
    <xf numFmtId="2" fontId="28" fillId="0" borderId="24" xfId="0" applyNumberFormat="1" applyFont="1" applyBorder="1" applyProtection="1">
      <protection locked="0"/>
    </xf>
    <xf numFmtId="2" fontId="30" fillId="0" borderId="0" xfId="0" applyNumberFormat="1" applyFont="1"/>
    <xf numFmtId="43" fontId="8" fillId="0" borderId="26" xfId="0" applyNumberFormat="1" applyFont="1" applyFill="1" applyBorder="1" applyAlignment="1"/>
    <xf numFmtId="169" fontId="25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37" fillId="0" borderId="0" xfId="0" applyFont="1" applyAlignment="1" applyProtection="1">
      <alignment horizontal="right"/>
      <protection locked="0"/>
    </xf>
    <xf numFmtId="0" fontId="38" fillId="0" borderId="0" xfId="0" applyFont="1"/>
    <xf numFmtId="1" fontId="39" fillId="0" borderId="23" xfId="0" applyNumberFormat="1" applyFont="1" applyBorder="1"/>
    <xf numFmtId="0" fontId="39" fillId="0" borderId="0" xfId="0" applyFont="1"/>
    <xf numFmtId="14" fontId="39" fillId="0" borderId="24" xfId="0" applyNumberFormat="1" applyFont="1" applyBorder="1"/>
    <xf numFmtId="0" fontId="39" fillId="0" borderId="24" xfId="0" applyFont="1" applyBorder="1"/>
    <xf numFmtId="4" fontId="39" fillId="0" borderId="0" xfId="0" applyNumberFormat="1" applyFont="1"/>
    <xf numFmtId="41" fontId="39" fillId="0" borderId="24" xfId="0" applyNumberFormat="1" applyFont="1" applyFill="1" applyBorder="1" applyAlignment="1" applyProtection="1">
      <protection locked="0"/>
    </xf>
    <xf numFmtId="164" fontId="39" fillId="0" borderId="24" xfId="0" applyNumberFormat="1" applyFont="1" applyFill="1" applyBorder="1" applyAlignment="1"/>
    <xf numFmtId="4" fontId="39" fillId="0" borderId="24" xfId="0" applyNumberFormat="1" applyFont="1" applyFill="1" applyBorder="1" applyAlignment="1"/>
    <xf numFmtId="40" fontId="39" fillId="0" borderId="24" xfId="0" applyNumberFormat="1" applyFont="1" applyFill="1" applyBorder="1" applyAlignment="1"/>
    <xf numFmtId="4" fontId="39" fillId="0" borderId="0" xfId="0" applyNumberFormat="1" applyFont="1" applyFill="1" applyBorder="1" applyAlignment="1"/>
    <xf numFmtId="38" fontId="39" fillId="0" borderId="24" xfId="0" applyNumberFormat="1" applyFont="1" applyBorder="1"/>
    <xf numFmtId="4" fontId="39" fillId="0" borderId="0" xfId="0" applyNumberFormat="1" applyFont="1" applyFill="1" applyBorder="1" applyAlignment="1" applyProtection="1"/>
    <xf numFmtId="3" fontId="39" fillId="0" borderId="24" xfId="0" applyNumberFormat="1" applyFont="1" applyBorder="1" applyProtection="1">
      <protection locked="0"/>
    </xf>
    <xf numFmtId="164" fontId="39" fillId="0" borderId="24" xfId="0" applyNumberFormat="1" applyFont="1" applyBorder="1"/>
    <xf numFmtId="164" fontId="39" fillId="0" borderId="24" xfId="0" applyNumberFormat="1" applyFont="1" applyBorder="1" applyProtection="1">
      <protection locked="0"/>
    </xf>
    <xf numFmtId="4" fontId="39" fillId="0" borderId="32" xfId="0" applyNumberFormat="1" applyFont="1" applyBorder="1" applyAlignment="1" applyProtection="1">
      <alignment horizontal="right"/>
      <protection locked="0"/>
    </xf>
    <xf numFmtId="0" fontId="40" fillId="0" borderId="0" xfId="0" applyFont="1"/>
    <xf numFmtId="0" fontId="40" fillId="0" borderId="24" xfId="0" applyFont="1" applyBorder="1"/>
    <xf numFmtId="0" fontId="40" fillId="0" borderId="28" xfId="0" applyFont="1" applyBorder="1"/>
    <xf numFmtId="14" fontId="39" fillId="0" borderId="24" xfId="0" applyNumberFormat="1" applyFont="1" applyBorder="1" applyAlignment="1">
      <alignment horizontal="right"/>
    </xf>
    <xf numFmtId="41" fontId="39" fillId="0" borderId="24" xfId="0" applyNumberFormat="1" applyFont="1" applyBorder="1" applyProtection="1">
      <protection locked="0"/>
    </xf>
    <xf numFmtId="4" fontId="39" fillId="0" borderId="24" xfId="0" applyNumberFormat="1" applyFont="1" applyBorder="1"/>
    <xf numFmtId="40" fontId="39" fillId="0" borderId="0" xfId="0" applyNumberFormat="1" applyFont="1"/>
    <xf numFmtId="168" fontId="39" fillId="0" borderId="0" xfId="0" applyNumberFormat="1" applyFont="1" applyBorder="1"/>
    <xf numFmtId="0" fontId="39" fillId="0" borderId="23" xfId="0" applyNumberFormat="1" applyFont="1" applyBorder="1" applyAlignment="1">
      <alignment horizontal="right"/>
    </xf>
    <xf numFmtId="1" fontId="41" fillId="0" borderId="23" xfId="0" applyNumberFormat="1" applyFont="1" applyBorder="1"/>
    <xf numFmtId="0" fontId="41" fillId="0" borderId="0" xfId="0" applyFont="1"/>
    <xf numFmtId="14" fontId="41" fillId="0" borderId="24" xfId="0" applyNumberFormat="1" applyFont="1" applyBorder="1"/>
    <xf numFmtId="0" fontId="41" fillId="0" borderId="24" xfId="0" applyFont="1" applyBorder="1"/>
    <xf numFmtId="4" fontId="41" fillId="0" borderId="0" xfId="0" applyNumberFormat="1" applyFont="1"/>
    <xf numFmtId="41" fontId="41" fillId="0" borderId="24" xfId="0" applyNumberFormat="1" applyFont="1" applyBorder="1" applyProtection="1">
      <protection locked="0"/>
    </xf>
    <xf numFmtId="164" fontId="41" fillId="0" borderId="24" xfId="0" applyNumberFormat="1" applyFont="1" applyBorder="1"/>
    <xf numFmtId="4" fontId="41" fillId="0" borderId="24" xfId="0" applyNumberFormat="1" applyFont="1" applyBorder="1"/>
    <xf numFmtId="40" fontId="41" fillId="0" borderId="0" xfId="0" applyNumberFormat="1" applyFont="1"/>
    <xf numFmtId="168" fontId="41" fillId="0" borderId="0" xfId="0" applyNumberFormat="1" applyFont="1" applyBorder="1"/>
    <xf numFmtId="38" fontId="42" fillId="0" borderId="24" xfId="0" applyNumberFormat="1" applyFont="1" applyBorder="1"/>
    <xf numFmtId="3" fontId="42" fillId="0" borderId="24" xfId="0" applyNumberFormat="1" applyFont="1" applyBorder="1" applyProtection="1">
      <protection locked="0"/>
    </xf>
    <xf numFmtId="164" fontId="41" fillId="0" borderId="24" xfId="0" applyNumberFormat="1" applyFont="1" applyBorder="1" applyProtection="1">
      <protection locked="0"/>
    </xf>
    <xf numFmtId="4" fontId="41" fillId="0" borderId="32" xfId="0" applyNumberFormat="1" applyFont="1" applyBorder="1" applyAlignment="1" applyProtection="1">
      <alignment horizontal="right"/>
      <protection locked="0"/>
    </xf>
    <xf numFmtId="0" fontId="43" fillId="0" borderId="0" xfId="0" applyFont="1"/>
    <xf numFmtId="0" fontId="43" fillId="0" borderId="24" xfId="0" applyFont="1" applyBorder="1"/>
    <xf numFmtId="2" fontId="43" fillId="0" borderId="24" xfId="0" applyNumberFormat="1" applyFont="1" applyBorder="1"/>
    <xf numFmtId="0" fontId="43" fillId="0" borderId="32" xfId="0" applyFont="1" applyBorder="1"/>
    <xf numFmtId="0" fontId="42" fillId="0" borderId="23" xfId="0" applyNumberFormat="1" applyFont="1" applyBorder="1" applyAlignment="1">
      <alignment horizontal="center"/>
    </xf>
    <xf numFmtId="0" fontId="42" fillId="0" borderId="0" xfId="0" applyFont="1"/>
    <xf numFmtId="14" fontId="42" fillId="0" borderId="24" xfId="0" applyNumberFormat="1" applyFont="1" applyBorder="1"/>
    <xf numFmtId="0" fontId="42" fillId="0" borderId="24" xfId="0" applyFont="1" applyBorder="1"/>
    <xf numFmtId="4" fontId="42" fillId="0" borderId="0" xfId="0" applyNumberFormat="1" applyFont="1"/>
    <xf numFmtId="41" fontId="42" fillId="0" borderId="24" xfId="0" applyNumberFormat="1" applyFont="1" applyBorder="1" applyProtection="1">
      <protection locked="0"/>
    </xf>
    <xf numFmtId="164" fontId="42" fillId="0" borderId="24" xfId="0" applyNumberFormat="1" applyFont="1" applyBorder="1"/>
    <xf numFmtId="4" fontId="42" fillId="0" borderId="24" xfId="0" applyNumberFormat="1" applyFont="1" applyBorder="1"/>
    <xf numFmtId="40" fontId="42" fillId="0" borderId="0" xfId="0" applyNumberFormat="1" applyFont="1"/>
    <xf numFmtId="168" fontId="42" fillId="0" borderId="0" xfId="0" applyNumberFormat="1" applyFont="1" applyBorder="1"/>
    <xf numFmtId="164" fontId="42" fillId="0" borderId="24" xfId="0" applyNumberFormat="1" applyFont="1" applyBorder="1" applyProtection="1">
      <protection locked="0"/>
    </xf>
    <xf numFmtId="4" fontId="42" fillId="0" borderId="32" xfId="0" applyNumberFormat="1" applyFont="1" applyBorder="1" applyAlignment="1" applyProtection="1">
      <alignment horizontal="right"/>
      <protection locked="0"/>
    </xf>
    <xf numFmtId="0" fontId="44" fillId="0" borderId="0" xfId="0" applyFont="1"/>
    <xf numFmtId="0" fontId="44" fillId="0" borderId="24" xfId="0" applyFont="1" applyBorder="1"/>
    <xf numFmtId="0" fontId="44" fillId="0" borderId="28" xfId="0" applyFont="1" applyBorder="1"/>
    <xf numFmtId="0" fontId="41" fillId="0" borderId="23" xfId="0" applyNumberFormat="1" applyFont="1" applyBorder="1" applyAlignment="1">
      <alignment horizontal="right"/>
    </xf>
    <xf numFmtId="0" fontId="43" fillId="0" borderId="28" xfId="0" applyFont="1" applyBorder="1"/>
    <xf numFmtId="38" fontId="41" fillId="0" borderId="24" xfId="0" applyNumberFormat="1" applyFont="1" applyBorder="1"/>
    <xf numFmtId="3" fontId="41" fillId="0" borderId="24" xfId="0" applyNumberFormat="1" applyFont="1" applyBorder="1" applyProtection="1">
      <protection locked="0"/>
    </xf>
    <xf numFmtId="0" fontId="43" fillId="0" borderId="0" xfId="0" applyFont="1" applyProtection="1"/>
    <xf numFmtId="41" fontId="41" fillId="0" borderId="24" xfId="0" applyNumberFormat="1" applyFont="1" applyBorder="1"/>
    <xf numFmtId="4" fontId="41" fillId="0" borderId="32" xfId="0" applyNumberFormat="1" applyFont="1" applyBorder="1"/>
    <xf numFmtId="4" fontId="41" fillId="0" borderId="23" xfId="0" applyNumberFormat="1" applyFont="1" applyBorder="1"/>
    <xf numFmtId="2" fontId="41" fillId="0" borderId="24" xfId="0" applyNumberFormat="1" applyFont="1" applyBorder="1" applyProtection="1">
      <protection locked="0"/>
    </xf>
    <xf numFmtId="39" fontId="41" fillId="0" borderId="28" xfId="0" applyNumberFormat="1" applyFont="1" applyBorder="1"/>
    <xf numFmtId="0" fontId="8" fillId="0" borderId="0" xfId="0" applyFont="1" applyAlignment="1">
      <alignment horizontal="right"/>
    </xf>
    <xf numFmtId="4" fontId="2" fillId="2" borderId="13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2" fillId="0" borderId="55" xfId="0" applyNumberFormat="1" applyFont="1" applyBorder="1" applyAlignment="1">
      <alignment horizontal="center"/>
    </xf>
    <xf numFmtId="14" fontId="2" fillId="0" borderId="56" xfId="0" applyNumberFormat="1" applyFont="1" applyBorder="1" applyAlignment="1">
      <alignment horizontal="center"/>
    </xf>
    <xf numFmtId="14" fontId="2" fillId="0" borderId="57" xfId="0" applyNumberFormat="1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5"/>
  <sheetViews>
    <sheetView tabSelected="1" zoomScaleNormal="100" workbookViewId="0">
      <pane xSplit="5" ySplit="11" topLeftCell="F12" activePane="bottomRight" state="frozen"/>
      <selection pane="topRight" activeCell="E1" sqref="E1"/>
      <selection pane="bottomLeft" activeCell="A7" sqref="A7"/>
      <selection pane="bottomRight" activeCell="N4" sqref="N4"/>
    </sheetView>
  </sheetViews>
  <sheetFormatPr defaultRowHeight="13.2" x14ac:dyDescent="0.25"/>
  <cols>
    <col min="1" max="1" width="0.6640625" customWidth="1"/>
    <col min="2" max="2" width="5.44140625" customWidth="1"/>
    <col min="3" max="3" width="7.109375" customWidth="1"/>
    <col min="4" max="4" width="10.33203125" customWidth="1"/>
    <col min="5" max="5" width="26.88671875" customWidth="1"/>
    <col min="6" max="6" width="10.109375" style="185" bestFit="1" customWidth="1"/>
    <col min="7" max="7" width="9.5546875" customWidth="1"/>
    <col min="8" max="8" width="10.5546875" style="185" customWidth="1"/>
    <col min="9" max="9" width="7.33203125" customWidth="1"/>
    <col min="10" max="10" width="8.33203125" style="185" customWidth="1"/>
    <col min="11" max="11" width="9.44140625" style="421" customWidth="1"/>
    <col min="12" max="12" width="9.44140625" style="185" hidden="1" customWidth="1"/>
    <col min="13" max="13" width="8.33203125" style="478" customWidth="1"/>
    <col min="14" max="14" width="10.109375" style="320" customWidth="1"/>
    <col min="15" max="15" width="8.33203125" customWidth="1"/>
    <col min="16" max="16" width="4.5546875" customWidth="1"/>
    <col min="17" max="17" width="7.109375" style="205" customWidth="1"/>
    <col min="18" max="18" width="8.33203125" style="185" customWidth="1"/>
    <col min="19" max="19" width="8.109375" customWidth="1"/>
    <col min="20" max="21" width="5.44140625" customWidth="1"/>
    <col min="22" max="22" width="8.33203125" customWidth="1"/>
    <col min="23" max="23" width="13.6640625" customWidth="1"/>
    <col min="24" max="24" width="10.109375" bestFit="1" customWidth="1"/>
  </cols>
  <sheetData>
    <row r="1" spans="2:22" x14ac:dyDescent="0.25">
      <c r="B1" s="233"/>
    </row>
    <row r="2" spans="2:22" x14ac:dyDescent="0.25">
      <c r="B2" s="81"/>
    </row>
    <row r="3" spans="2:22" x14ac:dyDescent="0.25">
      <c r="B3" s="81"/>
      <c r="C3" s="81"/>
      <c r="D3" s="81"/>
      <c r="E3" s="81"/>
      <c r="F3" s="184"/>
      <c r="G3" s="81"/>
      <c r="H3" s="184"/>
      <c r="I3" s="81"/>
      <c r="J3" s="184"/>
      <c r="K3" s="422"/>
      <c r="L3" s="184"/>
      <c r="M3" s="479"/>
      <c r="N3" s="321"/>
      <c r="O3" s="81"/>
      <c r="P3" s="81"/>
      <c r="Q3" s="200"/>
      <c r="R3" s="184"/>
    </row>
    <row r="4" spans="2:22" x14ac:dyDescent="0.25">
      <c r="B4" s="81"/>
      <c r="N4" s="322" t="s">
        <v>243</v>
      </c>
    </row>
    <row r="5" spans="2:22" s="61" customFormat="1" x14ac:dyDescent="0.25">
      <c r="B5" s="61" t="s">
        <v>0</v>
      </c>
      <c r="D5" s="61" t="s">
        <v>63</v>
      </c>
      <c r="F5" s="168"/>
      <c r="H5" s="168"/>
      <c r="I5" s="78"/>
      <c r="J5" s="169"/>
      <c r="K5" s="423"/>
      <c r="L5" s="169"/>
      <c r="M5" s="480"/>
      <c r="N5" s="323"/>
      <c r="O5" s="79"/>
      <c r="P5" s="79"/>
      <c r="Q5" s="197"/>
      <c r="R5" s="169"/>
    </row>
    <row r="6" spans="2:22" s="61" customFormat="1" x14ac:dyDescent="0.25">
      <c r="B6" s="80"/>
      <c r="F6" s="168"/>
      <c r="H6" s="168"/>
      <c r="J6" s="168"/>
      <c r="K6" s="424"/>
      <c r="L6" s="168"/>
      <c r="M6" s="481"/>
      <c r="N6" s="323"/>
      <c r="Q6" s="198"/>
      <c r="R6" s="168"/>
    </row>
    <row r="7" spans="2:22" s="61" customFormat="1" ht="13.8" thickBot="1" x14ac:dyDescent="0.3">
      <c r="B7" s="81" t="s">
        <v>317</v>
      </c>
      <c r="C7" s="79"/>
      <c r="D7" s="79"/>
      <c r="E7" s="79"/>
      <c r="F7" s="167">
        <v>43100</v>
      </c>
      <c r="G7" s="79"/>
      <c r="H7" s="169"/>
      <c r="I7" s="79"/>
      <c r="J7" s="169"/>
      <c r="K7" s="423"/>
      <c r="L7" s="169"/>
      <c r="M7" s="480"/>
      <c r="N7" s="323"/>
      <c r="O7" s="79"/>
      <c r="P7" s="79"/>
      <c r="Q7" s="197"/>
      <c r="R7" s="169"/>
    </row>
    <row r="8" spans="2:22" x14ac:dyDescent="0.25">
      <c r="B8" s="82"/>
      <c r="C8" s="398"/>
      <c r="D8" s="83"/>
      <c r="E8" s="84" t="s">
        <v>1</v>
      </c>
      <c r="F8" s="582" t="s">
        <v>24</v>
      </c>
      <c r="G8" s="83"/>
      <c r="H8" s="186"/>
      <c r="I8" s="82"/>
      <c r="J8" s="262" t="s">
        <v>4</v>
      </c>
      <c r="K8" s="425"/>
      <c r="L8" s="189" t="s">
        <v>234</v>
      </c>
      <c r="M8" s="482"/>
      <c r="N8" s="591" t="s">
        <v>61</v>
      </c>
      <c r="O8" s="592"/>
      <c r="P8" s="592"/>
      <c r="Q8" s="592"/>
      <c r="R8" s="593"/>
      <c r="S8" s="583" t="s">
        <v>246</v>
      </c>
      <c r="T8" s="584"/>
      <c r="U8" s="584"/>
      <c r="V8" s="585"/>
    </row>
    <row r="9" spans="2:22" x14ac:dyDescent="0.25">
      <c r="B9" s="314"/>
      <c r="C9" s="315"/>
      <c r="D9" s="315"/>
      <c r="E9" s="86">
        <v>42069</v>
      </c>
      <c r="F9" s="170" t="s">
        <v>2</v>
      </c>
      <c r="G9" s="316" t="s">
        <v>10</v>
      </c>
      <c r="H9" s="187" t="s">
        <v>3</v>
      </c>
      <c r="I9" s="87"/>
      <c r="J9" s="263"/>
      <c r="K9" s="426"/>
      <c r="L9" s="275" t="s">
        <v>235</v>
      </c>
      <c r="M9" s="483" t="s">
        <v>5</v>
      </c>
      <c r="N9" s="324" t="s">
        <v>244</v>
      </c>
      <c r="O9" s="588">
        <f>F7</f>
        <v>43100</v>
      </c>
      <c r="P9" s="589"/>
      <c r="Q9" s="589"/>
      <c r="R9" s="590"/>
      <c r="S9" s="588">
        <f>F7</f>
        <v>43100</v>
      </c>
      <c r="T9" s="589"/>
      <c r="U9" s="589"/>
      <c r="V9" s="590"/>
    </row>
    <row r="10" spans="2:22" x14ac:dyDescent="0.25">
      <c r="B10" s="318" t="s">
        <v>6</v>
      </c>
      <c r="C10" s="316" t="s">
        <v>7</v>
      </c>
      <c r="D10" s="316" t="s">
        <v>8</v>
      </c>
      <c r="E10" s="319"/>
      <c r="F10" s="170" t="s">
        <v>9</v>
      </c>
      <c r="G10" s="316" t="s">
        <v>10</v>
      </c>
      <c r="H10" s="187" t="s">
        <v>9</v>
      </c>
      <c r="I10" s="313" t="s">
        <v>11</v>
      </c>
      <c r="J10" s="317" t="s">
        <v>12</v>
      </c>
      <c r="K10" s="427" t="s">
        <v>5</v>
      </c>
      <c r="L10" s="275"/>
      <c r="M10" s="483" t="s">
        <v>13</v>
      </c>
      <c r="N10" s="325">
        <v>37621</v>
      </c>
      <c r="O10" s="88" t="s">
        <v>5</v>
      </c>
      <c r="P10" s="339" t="s">
        <v>11</v>
      </c>
      <c r="Q10" s="199" t="s">
        <v>14</v>
      </c>
      <c r="R10" s="190" t="s">
        <v>12</v>
      </c>
      <c r="S10" s="88" t="s">
        <v>5</v>
      </c>
      <c r="T10" s="89" t="s">
        <v>11</v>
      </c>
      <c r="U10" s="289" t="s">
        <v>241</v>
      </c>
      <c r="V10" s="190" t="s">
        <v>12</v>
      </c>
    </row>
    <row r="11" spans="2:22" ht="13.8" thickBot="1" x14ac:dyDescent="0.3">
      <c r="B11" s="90" t="s">
        <v>15</v>
      </c>
      <c r="C11" s="91" t="s">
        <v>16</v>
      </c>
      <c r="D11" s="91" t="s">
        <v>17</v>
      </c>
      <c r="E11" s="92" t="s">
        <v>18</v>
      </c>
      <c r="F11" s="171" t="s">
        <v>19</v>
      </c>
      <c r="G11" s="91" t="s">
        <v>20</v>
      </c>
      <c r="H11" s="188" t="s">
        <v>19</v>
      </c>
      <c r="I11" s="93" t="s">
        <v>21</v>
      </c>
      <c r="J11" s="264" t="s">
        <v>20</v>
      </c>
      <c r="K11" s="428" t="s">
        <v>20</v>
      </c>
      <c r="L11" s="276" t="s">
        <v>5</v>
      </c>
      <c r="M11" s="484" t="s">
        <v>20</v>
      </c>
      <c r="N11" s="326" t="s">
        <v>20</v>
      </c>
      <c r="O11" s="90" t="s">
        <v>20</v>
      </c>
      <c r="P11" s="586" t="s">
        <v>245</v>
      </c>
      <c r="Q11" s="587"/>
      <c r="R11" s="188" t="s">
        <v>20</v>
      </c>
      <c r="S11" s="90" t="s">
        <v>20</v>
      </c>
      <c r="T11" s="94" t="s">
        <v>22</v>
      </c>
      <c r="U11" s="290"/>
      <c r="V11" s="188" t="s">
        <v>20</v>
      </c>
    </row>
    <row r="12" spans="2:22" ht="5.0999999999999996" customHeight="1" thickBot="1" x14ac:dyDescent="0.3">
      <c r="B12" s="95"/>
      <c r="C12" s="95"/>
      <c r="D12" s="95"/>
      <c r="E12" s="95"/>
      <c r="F12" s="172"/>
      <c r="G12" s="95"/>
      <c r="H12" s="172"/>
      <c r="I12" s="81"/>
      <c r="J12" s="172"/>
      <c r="K12" s="429"/>
      <c r="L12" s="172"/>
      <c r="M12" s="485"/>
      <c r="N12" s="327"/>
      <c r="O12" s="95"/>
      <c r="P12" s="81"/>
      <c r="Q12" s="200"/>
      <c r="R12" s="172"/>
      <c r="S12" s="95"/>
      <c r="T12" s="81"/>
      <c r="U12" s="196"/>
      <c r="V12" s="172"/>
    </row>
    <row r="13" spans="2:22" ht="13.8" thickBot="1" x14ac:dyDescent="0.3">
      <c r="B13" s="117"/>
      <c r="C13" s="254" t="s">
        <v>58</v>
      </c>
      <c r="D13" s="255"/>
      <c r="E13" s="256"/>
      <c r="F13" s="173"/>
      <c r="G13" s="122"/>
      <c r="H13" s="173"/>
      <c r="I13" s="122"/>
      <c r="J13" s="173"/>
      <c r="K13" s="430"/>
      <c r="L13" s="173"/>
      <c r="M13" s="486"/>
      <c r="N13" s="328"/>
      <c r="O13" s="122"/>
      <c r="P13" s="122"/>
      <c r="Q13" s="201"/>
      <c r="R13" s="206"/>
      <c r="S13" s="122"/>
      <c r="T13" s="122"/>
      <c r="U13" s="192"/>
      <c r="V13" s="206"/>
    </row>
    <row r="14" spans="2:22" x14ac:dyDescent="0.25">
      <c r="B14" s="501"/>
      <c r="C14" s="78"/>
      <c r="D14" s="258"/>
      <c r="E14" s="403" t="s">
        <v>251</v>
      </c>
      <c r="F14" s="241">
        <v>1943</v>
      </c>
      <c r="G14" s="123">
        <f>H14-F14</f>
        <v>-0.82999999999992724</v>
      </c>
      <c r="H14" s="241">
        <v>1942.17</v>
      </c>
      <c r="I14" s="124"/>
      <c r="J14" s="174"/>
      <c r="K14" s="431"/>
      <c r="L14" s="174"/>
      <c r="M14" s="487"/>
      <c r="N14" s="474"/>
      <c r="O14" s="338"/>
      <c r="P14" s="135"/>
      <c r="Q14" s="136"/>
      <c r="R14" s="340"/>
      <c r="T14" s="292"/>
      <c r="U14" s="292"/>
      <c r="V14" s="294"/>
    </row>
    <row r="15" spans="2:22" x14ac:dyDescent="0.25">
      <c r="B15" s="501"/>
      <c r="C15" s="78">
        <v>148</v>
      </c>
      <c r="D15" s="258">
        <v>22462</v>
      </c>
      <c r="E15" s="403" t="s">
        <v>293</v>
      </c>
      <c r="F15" s="241">
        <v>223.2</v>
      </c>
      <c r="G15" s="123">
        <f>H15-F15</f>
        <v>0</v>
      </c>
      <c r="H15" s="241">
        <v>223.2</v>
      </c>
      <c r="I15" s="124">
        <v>5</v>
      </c>
      <c r="J15" s="174">
        <v>0</v>
      </c>
      <c r="K15" s="431">
        <v>0</v>
      </c>
      <c r="L15" s="174"/>
      <c r="M15" s="487"/>
      <c r="N15" s="474"/>
      <c r="O15" s="338"/>
      <c r="P15" s="135"/>
      <c r="Q15" s="136"/>
      <c r="R15" s="340"/>
      <c r="T15" s="292"/>
      <c r="U15" s="292"/>
      <c r="V15" s="294"/>
    </row>
    <row r="16" spans="2:22" ht="13.8" thickBot="1" x14ac:dyDescent="0.3">
      <c r="B16" s="501"/>
      <c r="C16" s="78"/>
      <c r="D16" s="258"/>
      <c r="E16" s="403" t="s">
        <v>288</v>
      </c>
      <c r="F16" s="241">
        <v>3237</v>
      </c>
      <c r="G16" s="123">
        <f>H16-F16</f>
        <v>0.23000000000001819</v>
      </c>
      <c r="H16" s="241">
        <v>3237.23</v>
      </c>
      <c r="I16" s="124"/>
      <c r="J16" s="174"/>
      <c r="K16" s="431"/>
      <c r="L16" s="174"/>
      <c r="M16" s="487"/>
      <c r="N16" s="474"/>
      <c r="O16" s="338"/>
      <c r="P16" s="135"/>
      <c r="Q16" s="136"/>
      <c r="R16" s="340"/>
      <c r="T16" s="292"/>
      <c r="U16" s="292"/>
      <c r="V16" s="294"/>
    </row>
    <row r="17" spans="2:24" ht="14.4" thickTop="1" thickBot="1" x14ac:dyDescent="0.3">
      <c r="B17" s="119"/>
      <c r="C17" s="121"/>
      <c r="D17" s="120"/>
      <c r="E17" s="126" t="s">
        <v>59</v>
      </c>
      <c r="F17" s="191">
        <f>SUM(F14:F16)</f>
        <v>5403.2</v>
      </c>
      <c r="G17" s="128">
        <f>SUM(G14:G16)</f>
        <v>-0.59999999999990905</v>
      </c>
      <c r="H17" s="508">
        <f>SUM(H14:H16)</f>
        <v>5402.6</v>
      </c>
      <c r="I17" s="125"/>
      <c r="J17" s="191">
        <f t="shared" ref="J17:O17" si="0">SUM(J16:J16)</f>
        <v>0</v>
      </c>
      <c r="K17" s="432">
        <f t="shared" si="0"/>
        <v>0</v>
      </c>
      <c r="L17" s="432">
        <f t="shared" si="0"/>
        <v>0</v>
      </c>
      <c r="M17" s="488">
        <f t="shared" si="0"/>
        <v>0</v>
      </c>
      <c r="N17" s="432">
        <f t="shared" si="0"/>
        <v>0</v>
      </c>
      <c r="O17" s="432">
        <f t="shared" si="0"/>
        <v>0</v>
      </c>
      <c r="P17" s="125"/>
      <c r="Q17" s="202"/>
      <c r="R17" s="432">
        <f>SUM(R16:R16)</f>
        <v>0</v>
      </c>
      <c r="S17" s="291"/>
      <c r="T17" s="125"/>
      <c r="U17" s="193"/>
      <c r="V17" s="207"/>
    </row>
    <row r="18" spans="2:24" ht="5.0999999999999996" customHeight="1" thickBot="1" x14ac:dyDescent="0.3">
      <c r="B18" s="80"/>
      <c r="C18" s="80"/>
      <c r="D18" s="80"/>
      <c r="E18" s="406"/>
      <c r="F18" s="407"/>
      <c r="G18" s="96"/>
      <c r="H18" s="175"/>
      <c r="I18" s="80"/>
      <c r="J18" s="175"/>
      <c r="K18" s="433"/>
      <c r="L18" s="175"/>
      <c r="M18" s="489"/>
      <c r="N18" s="329"/>
      <c r="O18" s="96"/>
      <c r="P18" s="80"/>
      <c r="Q18" s="97"/>
      <c r="R18" s="175"/>
    </row>
    <row r="19" spans="2:24" ht="13.8" thickBot="1" x14ac:dyDescent="0.3">
      <c r="B19" s="129"/>
      <c r="C19" s="259" t="s">
        <v>23</v>
      </c>
      <c r="D19" s="260"/>
      <c r="E19" s="261"/>
      <c r="F19" s="176"/>
      <c r="G19" s="130"/>
      <c r="H19" s="176"/>
      <c r="I19" s="131"/>
      <c r="J19" s="176"/>
      <c r="K19" s="434"/>
      <c r="L19" s="176"/>
      <c r="M19" s="490"/>
      <c r="N19" s="330"/>
      <c r="O19" s="130"/>
      <c r="P19" s="131"/>
      <c r="Q19" s="132"/>
      <c r="R19" s="208"/>
      <c r="S19" s="130"/>
      <c r="T19" s="131"/>
      <c r="U19" s="194"/>
      <c r="V19" s="208"/>
    </row>
    <row r="20" spans="2:24" x14ac:dyDescent="0.25">
      <c r="B20" s="118"/>
      <c r="C20" s="78">
        <v>1</v>
      </c>
      <c r="D20" s="257">
        <v>3104</v>
      </c>
      <c r="E20" s="401" t="str">
        <f>UPPER("Pumps, mains, etc.")</f>
        <v>PUMPS, MAINS, ETC.</v>
      </c>
      <c r="F20" s="241">
        <v>388.55</v>
      </c>
      <c r="G20" s="134">
        <f t="shared" ref="G20:G25" si="1">H20-F20</f>
        <v>0</v>
      </c>
      <c r="H20" s="241">
        <v>388.55</v>
      </c>
      <c r="I20" s="135">
        <v>50</v>
      </c>
      <c r="J20" s="266">
        <v>0</v>
      </c>
      <c r="K20" s="435">
        <v>388.55</v>
      </c>
      <c r="L20" s="277">
        <f>F20-K20</f>
        <v>0</v>
      </c>
      <c r="M20" s="487">
        <f t="shared" ref="M20:M26" si="2">O20-K20</f>
        <v>0</v>
      </c>
      <c r="N20" s="180">
        <v>388.55</v>
      </c>
      <c r="O20" s="338">
        <f t="shared" ref="O20:O29" si="3">IF(N20+((H20-N20)/(ABS(P20*365-($N$10-D20))))*(($F$7-$N$10))&gt;=H20,H20,N20+((H20-N20)/(P20*365-($N$10-D20)))*(($F$7-$N$10)))</f>
        <v>388.55</v>
      </c>
      <c r="P20" s="135">
        <v>50</v>
      </c>
      <c r="Q20" s="502">
        <f t="shared" ref="Q20:Q51" si="4">IF((($F$7)-D20)&gt;=P20*365,0,P20*365-(($F$7)-D20))/365</f>
        <v>0</v>
      </c>
      <c r="R20" s="340" t="str">
        <f>IF(Q20&lt;1,(IF(Q20=0,"0.00",H20-O20)),(H20-N20)/((P20*365-(($F$7)-D20))/365))</f>
        <v>0.00</v>
      </c>
      <c r="T20" s="292"/>
      <c r="U20" s="293"/>
      <c r="V20" s="294"/>
    </row>
    <row r="21" spans="2:24" s="248" customFormat="1" x14ac:dyDescent="0.25">
      <c r="B21" s="267"/>
      <c r="C21" s="268">
        <v>2</v>
      </c>
      <c r="D21" s="378">
        <v>7852</v>
      </c>
      <c r="E21" s="402" t="str">
        <f>UPPER("ADDITION")</f>
        <v>ADDITION</v>
      </c>
      <c r="F21" s="269">
        <v>228.56</v>
      </c>
      <c r="G21" s="270">
        <f t="shared" si="1"/>
        <v>0</v>
      </c>
      <c r="H21" s="269">
        <v>228.56</v>
      </c>
      <c r="I21" s="272">
        <v>50</v>
      </c>
      <c r="J21" s="273">
        <v>0</v>
      </c>
      <c r="K21" s="436">
        <v>228.56</v>
      </c>
      <c r="L21" s="277">
        <f t="shared" ref="L21:L89" si="5">F21-K21</f>
        <v>0</v>
      </c>
      <c r="M21" s="487">
        <f t="shared" si="2"/>
        <v>0</v>
      </c>
      <c r="N21" s="269">
        <v>228.56</v>
      </c>
      <c r="O21" s="338">
        <f t="shared" si="3"/>
        <v>228.56</v>
      </c>
      <c r="P21" s="272">
        <v>50</v>
      </c>
      <c r="Q21" s="502">
        <f t="shared" si="4"/>
        <v>0</v>
      </c>
      <c r="R21" s="340" t="str">
        <f t="shared" ref="R21:R89" si="6">IF(Q21&lt;1,(IF(Q21=0,"0.00",H21-O21)),(H21-N21)/((P21*365-(($F$7)-D21))/365))</f>
        <v>0.00</v>
      </c>
      <c r="S21"/>
      <c r="T21" s="292"/>
      <c r="U21" s="293"/>
      <c r="V21" s="294"/>
    </row>
    <row r="22" spans="2:24" x14ac:dyDescent="0.25">
      <c r="B22" s="127"/>
      <c r="C22" s="78">
        <v>3</v>
      </c>
      <c r="D22" s="258">
        <v>9313</v>
      </c>
      <c r="E22" s="403" t="str">
        <f t="shared" ref="E22:E41" si="7">UPPER("ADDITION")</f>
        <v>ADDITION</v>
      </c>
      <c r="F22" s="241">
        <v>1000</v>
      </c>
      <c r="G22" s="134">
        <f t="shared" si="1"/>
        <v>0</v>
      </c>
      <c r="H22" s="241">
        <v>1000</v>
      </c>
      <c r="I22" s="135">
        <v>50</v>
      </c>
      <c r="J22" s="266">
        <v>0</v>
      </c>
      <c r="K22" s="437">
        <v>1000</v>
      </c>
      <c r="L22" s="277">
        <f t="shared" si="5"/>
        <v>0</v>
      </c>
      <c r="M22" s="487">
        <f t="shared" si="2"/>
        <v>0</v>
      </c>
      <c r="N22" s="241">
        <v>1000</v>
      </c>
      <c r="O22" s="338">
        <f t="shared" si="3"/>
        <v>1000</v>
      </c>
      <c r="P22" s="135">
        <v>50</v>
      </c>
      <c r="Q22" s="502">
        <f t="shared" si="4"/>
        <v>0</v>
      </c>
      <c r="R22" s="340" t="str">
        <f t="shared" si="6"/>
        <v>0.00</v>
      </c>
      <c r="T22" s="292"/>
      <c r="U22" s="293"/>
      <c r="V22" s="294"/>
    </row>
    <row r="23" spans="2:24" s="248" customFormat="1" x14ac:dyDescent="0.25">
      <c r="B23" s="267"/>
      <c r="C23" s="268">
        <v>4</v>
      </c>
      <c r="D23" s="378">
        <v>10043</v>
      </c>
      <c r="E23" s="402" t="str">
        <f t="shared" si="7"/>
        <v>ADDITION</v>
      </c>
      <c r="F23" s="269">
        <v>5385.86</v>
      </c>
      <c r="G23" s="270">
        <f t="shared" si="1"/>
        <v>0</v>
      </c>
      <c r="H23" s="269">
        <v>5385.86</v>
      </c>
      <c r="I23" s="272">
        <v>50</v>
      </c>
      <c r="J23" s="273">
        <v>0</v>
      </c>
      <c r="K23" s="436">
        <v>5385.86</v>
      </c>
      <c r="L23" s="277">
        <f t="shared" si="5"/>
        <v>0</v>
      </c>
      <c r="M23" s="487">
        <f t="shared" si="2"/>
        <v>0</v>
      </c>
      <c r="N23" s="269">
        <v>5385.86</v>
      </c>
      <c r="O23" s="338">
        <f t="shared" si="3"/>
        <v>5385.86</v>
      </c>
      <c r="P23" s="272">
        <v>50</v>
      </c>
      <c r="Q23" s="502">
        <f t="shared" si="4"/>
        <v>0</v>
      </c>
      <c r="R23" s="340" t="str">
        <f t="shared" si="6"/>
        <v>0.00</v>
      </c>
      <c r="S23"/>
      <c r="T23" s="292"/>
      <c r="U23" s="293"/>
      <c r="V23" s="294"/>
    </row>
    <row r="24" spans="2:24" s="248" customFormat="1" x14ac:dyDescent="0.25">
      <c r="B24" s="267"/>
      <c r="C24" s="268">
        <v>5</v>
      </c>
      <c r="D24" s="378">
        <v>12600</v>
      </c>
      <c r="E24" s="402" t="str">
        <f t="shared" si="7"/>
        <v>ADDITION</v>
      </c>
      <c r="F24" s="269">
        <v>77.09</v>
      </c>
      <c r="G24" s="270">
        <f t="shared" si="1"/>
        <v>0</v>
      </c>
      <c r="H24" s="269">
        <v>77.09</v>
      </c>
      <c r="I24" s="272">
        <v>50</v>
      </c>
      <c r="J24" s="273">
        <v>0</v>
      </c>
      <c r="K24" s="436">
        <v>77.09</v>
      </c>
      <c r="L24" s="277">
        <f t="shared" si="5"/>
        <v>0</v>
      </c>
      <c r="M24" s="487">
        <f t="shared" si="2"/>
        <v>0</v>
      </c>
      <c r="N24" s="269">
        <v>77.09</v>
      </c>
      <c r="O24" s="338">
        <f t="shared" si="3"/>
        <v>77.09</v>
      </c>
      <c r="P24" s="272">
        <v>50</v>
      </c>
      <c r="Q24" s="502">
        <f t="shared" si="4"/>
        <v>0</v>
      </c>
      <c r="R24" s="340" t="str">
        <f t="shared" si="6"/>
        <v>0.00</v>
      </c>
      <c r="S24"/>
      <c r="T24" s="292"/>
      <c r="U24" s="293"/>
      <c r="V24" s="294"/>
    </row>
    <row r="25" spans="2:24" x14ac:dyDescent="0.25">
      <c r="B25" s="118" t="s">
        <v>24</v>
      </c>
      <c r="C25" s="78">
        <v>6</v>
      </c>
      <c r="D25" s="258">
        <v>12965</v>
      </c>
      <c r="E25" s="403" t="str">
        <f t="shared" si="7"/>
        <v>ADDITION</v>
      </c>
      <c r="F25" s="241">
        <v>258.33</v>
      </c>
      <c r="G25" s="134">
        <f t="shared" si="1"/>
        <v>0</v>
      </c>
      <c r="H25" s="241">
        <v>258.33</v>
      </c>
      <c r="I25" s="135">
        <v>50</v>
      </c>
      <c r="J25" s="266">
        <v>0</v>
      </c>
      <c r="K25" s="437">
        <v>258.33</v>
      </c>
      <c r="L25" s="277">
        <f t="shared" si="5"/>
        <v>0</v>
      </c>
      <c r="M25" s="487">
        <f t="shared" si="2"/>
        <v>0</v>
      </c>
      <c r="N25" s="241">
        <v>258.33</v>
      </c>
      <c r="O25" s="338">
        <f t="shared" si="3"/>
        <v>258.33</v>
      </c>
      <c r="P25" s="135">
        <v>50</v>
      </c>
      <c r="Q25" s="502">
        <f t="shared" si="4"/>
        <v>0</v>
      </c>
      <c r="R25" s="340" t="str">
        <f t="shared" si="6"/>
        <v>0.00</v>
      </c>
      <c r="T25" s="292"/>
      <c r="U25" s="293"/>
      <c r="V25" s="294"/>
    </row>
    <row r="26" spans="2:24" x14ac:dyDescent="0.25">
      <c r="B26" s="501"/>
      <c r="C26" s="78">
        <v>7</v>
      </c>
      <c r="D26" s="258">
        <v>16253</v>
      </c>
      <c r="E26" s="403" t="str">
        <f t="shared" si="7"/>
        <v>ADDITION</v>
      </c>
      <c r="F26" s="241">
        <v>3564.4</v>
      </c>
      <c r="G26" s="134">
        <f t="shared" ref="G26:G41" si="8">H26-F26</f>
        <v>0</v>
      </c>
      <c r="H26" s="241">
        <v>3564.4</v>
      </c>
      <c r="I26" s="135">
        <v>50</v>
      </c>
      <c r="J26" s="266">
        <v>0</v>
      </c>
      <c r="K26" s="437">
        <v>3564.4</v>
      </c>
      <c r="L26" s="277">
        <f t="shared" si="5"/>
        <v>0</v>
      </c>
      <c r="M26" s="487">
        <f t="shared" si="2"/>
        <v>0</v>
      </c>
      <c r="N26" s="241">
        <v>3564.4</v>
      </c>
      <c r="O26" s="338">
        <f t="shared" si="3"/>
        <v>3564.4</v>
      </c>
      <c r="P26" s="135">
        <v>50</v>
      </c>
      <c r="Q26" s="502">
        <f t="shared" si="4"/>
        <v>0</v>
      </c>
      <c r="R26" s="340" t="str">
        <f t="shared" si="6"/>
        <v>0.00</v>
      </c>
      <c r="T26" s="292"/>
      <c r="U26" s="293"/>
      <c r="V26" s="294"/>
    </row>
    <row r="27" spans="2:24" s="552" customFormat="1" x14ac:dyDescent="0.25">
      <c r="B27" s="538"/>
      <c r="C27" s="539">
        <v>8</v>
      </c>
      <c r="D27" s="540">
        <v>16618</v>
      </c>
      <c r="E27" s="541" t="s">
        <v>236</v>
      </c>
      <c r="F27" s="542">
        <v>917.33</v>
      </c>
      <c r="G27" s="543">
        <f t="shared" si="8"/>
        <v>-917.33</v>
      </c>
      <c r="H27" s="542">
        <v>0</v>
      </c>
      <c r="I27" s="544">
        <v>50</v>
      </c>
      <c r="J27" s="545">
        <v>0</v>
      </c>
      <c r="K27" s="546">
        <v>908.12</v>
      </c>
      <c r="L27" s="547">
        <f t="shared" si="5"/>
        <v>9.2100000000000364</v>
      </c>
      <c r="M27" s="548">
        <f t="shared" ref="M27:M93" si="9">O27-K27</f>
        <v>-908.12</v>
      </c>
      <c r="N27" s="542">
        <v>0</v>
      </c>
      <c r="O27" s="549">
        <f t="shared" si="3"/>
        <v>0</v>
      </c>
      <c r="P27" s="544">
        <v>50</v>
      </c>
      <c r="Q27" s="550">
        <f t="shared" si="4"/>
        <v>0</v>
      </c>
      <c r="R27" s="551" t="str">
        <f t="shared" si="6"/>
        <v>0.00</v>
      </c>
      <c r="T27" s="553"/>
      <c r="U27" s="554"/>
      <c r="V27" s="555"/>
    </row>
    <row r="28" spans="2:24" s="552" customFormat="1" x14ac:dyDescent="0.25">
      <c r="B28" s="538" t="s">
        <v>24</v>
      </c>
      <c r="C28" s="539">
        <v>9</v>
      </c>
      <c r="D28" s="540">
        <v>18809</v>
      </c>
      <c r="E28" s="541" t="s">
        <v>236</v>
      </c>
      <c r="F28" s="542">
        <v>1815.16</v>
      </c>
      <c r="G28" s="543">
        <f t="shared" si="8"/>
        <v>-1815.16</v>
      </c>
      <c r="H28" s="542">
        <v>0</v>
      </c>
      <c r="I28" s="544">
        <v>50</v>
      </c>
      <c r="J28" s="545">
        <v>0</v>
      </c>
      <c r="K28" s="546">
        <v>1796.88</v>
      </c>
      <c r="L28" s="547">
        <f t="shared" si="5"/>
        <v>18.279999999999973</v>
      </c>
      <c r="M28" s="548">
        <f t="shared" si="9"/>
        <v>-1796.88</v>
      </c>
      <c r="N28" s="542">
        <v>0</v>
      </c>
      <c r="O28" s="549">
        <f t="shared" si="3"/>
        <v>0</v>
      </c>
      <c r="P28" s="544">
        <v>50</v>
      </c>
      <c r="Q28" s="550">
        <f t="shared" si="4"/>
        <v>0</v>
      </c>
      <c r="R28" s="551" t="str">
        <f t="shared" si="6"/>
        <v>0.00</v>
      </c>
      <c r="T28" s="553"/>
      <c r="U28" s="554"/>
      <c r="V28" s="555"/>
    </row>
    <row r="29" spans="2:24" x14ac:dyDescent="0.25">
      <c r="B29" s="118" t="s">
        <v>24</v>
      </c>
      <c r="C29" s="78">
        <v>10</v>
      </c>
      <c r="D29" s="258">
        <v>19175</v>
      </c>
      <c r="E29" s="403" t="str">
        <f t="shared" si="7"/>
        <v>ADDITION</v>
      </c>
      <c r="F29" s="241">
        <v>542.66999999999996</v>
      </c>
      <c r="G29" s="134">
        <f t="shared" si="8"/>
        <v>0</v>
      </c>
      <c r="H29" s="241">
        <v>542.66999999999996</v>
      </c>
      <c r="I29" s="135">
        <v>50</v>
      </c>
      <c r="J29" s="266">
        <v>0</v>
      </c>
      <c r="K29" s="437">
        <v>537.1</v>
      </c>
      <c r="L29" s="277">
        <f t="shared" si="5"/>
        <v>5.5699999999999363</v>
      </c>
      <c r="M29" s="487">
        <f t="shared" si="9"/>
        <v>5.5699999999999363</v>
      </c>
      <c r="N29" s="241">
        <v>537.1</v>
      </c>
      <c r="O29" s="338">
        <f t="shared" si="3"/>
        <v>542.66999999999996</v>
      </c>
      <c r="P29" s="135">
        <v>50</v>
      </c>
      <c r="Q29" s="502">
        <f t="shared" si="4"/>
        <v>0</v>
      </c>
      <c r="R29" s="340" t="str">
        <f t="shared" si="6"/>
        <v>0.00</v>
      </c>
      <c r="T29" s="292"/>
      <c r="U29" s="293"/>
      <c r="V29" s="294"/>
      <c r="W29" s="476"/>
      <c r="X29" s="475"/>
    </row>
    <row r="30" spans="2:24" x14ac:dyDescent="0.25">
      <c r="B30" s="118" t="s">
        <v>24</v>
      </c>
      <c r="C30" s="78">
        <v>11</v>
      </c>
      <c r="D30" s="258">
        <v>19540</v>
      </c>
      <c r="E30" s="403" t="str">
        <f t="shared" si="7"/>
        <v>ADDITION</v>
      </c>
      <c r="F30" s="241">
        <v>713.11</v>
      </c>
      <c r="G30" s="134">
        <f t="shared" si="8"/>
        <v>0</v>
      </c>
      <c r="H30" s="241">
        <v>713.11</v>
      </c>
      <c r="I30" s="135">
        <v>50</v>
      </c>
      <c r="J30" s="266">
        <v>0</v>
      </c>
      <c r="K30" s="437">
        <v>698.88</v>
      </c>
      <c r="L30" s="277">
        <f t="shared" si="5"/>
        <v>14.230000000000018</v>
      </c>
      <c r="M30" s="487">
        <f t="shared" si="9"/>
        <v>14.230000000000018</v>
      </c>
      <c r="N30" s="241">
        <v>684.62</v>
      </c>
      <c r="O30" s="338">
        <f t="shared" ref="O30:O99" si="10">IF(N30+((H30-N30)/(ABS(P30*365-($N$10-D30))))*(($F$7-$N$10))&gt;=H30,H30,N30+((H30-N30)/(P30*365-($N$10-D30)))*(($F$7-$N$10)))</f>
        <v>713.11</v>
      </c>
      <c r="P30" s="135">
        <v>50</v>
      </c>
      <c r="Q30" s="502">
        <f t="shared" si="4"/>
        <v>0</v>
      </c>
      <c r="R30" s="340" t="str">
        <f t="shared" si="6"/>
        <v>0.00</v>
      </c>
      <c r="T30" s="292"/>
      <c r="U30" s="293"/>
      <c r="V30" s="294"/>
      <c r="X30" s="475"/>
    </row>
    <row r="31" spans="2:24" x14ac:dyDescent="0.25">
      <c r="B31" s="118"/>
      <c r="C31" s="78">
        <v>12</v>
      </c>
      <c r="D31" s="258">
        <v>21001</v>
      </c>
      <c r="E31" s="403" t="str">
        <f t="shared" si="7"/>
        <v>ADDITION</v>
      </c>
      <c r="F31" s="241">
        <v>369.66</v>
      </c>
      <c r="G31" s="134">
        <f t="shared" si="8"/>
        <v>0</v>
      </c>
      <c r="H31" s="241">
        <v>369.66</v>
      </c>
      <c r="I31" s="135">
        <v>50</v>
      </c>
      <c r="J31" s="266">
        <v>0</v>
      </c>
      <c r="K31" s="437">
        <v>365.81</v>
      </c>
      <c r="L31" s="277">
        <f t="shared" si="5"/>
        <v>3.8500000000000227</v>
      </c>
      <c r="M31" s="487">
        <f t="shared" si="9"/>
        <v>3.8500000000000227</v>
      </c>
      <c r="N31" s="241">
        <v>328.86</v>
      </c>
      <c r="O31" s="338">
        <f t="shared" si="10"/>
        <v>369.66</v>
      </c>
      <c r="P31" s="135">
        <v>50</v>
      </c>
      <c r="Q31" s="136">
        <f t="shared" si="4"/>
        <v>0</v>
      </c>
      <c r="R31" s="340" t="str">
        <f t="shared" si="6"/>
        <v>0.00</v>
      </c>
      <c r="T31" s="292"/>
      <c r="U31" s="293"/>
      <c r="V31" s="294"/>
    </row>
    <row r="32" spans="2:24" x14ac:dyDescent="0.25">
      <c r="B32" s="118"/>
      <c r="C32" s="78">
        <v>13</v>
      </c>
      <c r="D32" s="258">
        <v>22462</v>
      </c>
      <c r="E32" s="403" t="str">
        <f t="shared" si="7"/>
        <v>ADDITION</v>
      </c>
      <c r="F32" s="241">
        <v>75</v>
      </c>
      <c r="G32" s="134">
        <f t="shared" si="8"/>
        <v>0</v>
      </c>
      <c r="H32" s="241">
        <v>75</v>
      </c>
      <c r="I32" s="135">
        <v>50</v>
      </c>
      <c r="J32" s="177">
        <v>0</v>
      </c>
      <c r="K32" s="437">
        <v>75</v>
      </c>
      <c r="L32" s="277">
        <f t="shared" si="5"/>
        <v>0</v>
      </c>
      <c r="M32" s="487">
        <f t="shared" si="9"/>
        <v>0</v>
      </c>
      <c r="N32" s="241">
        <v>62.25</v>
      </c>
      <c r="O32" s="338">
        <f t="shared" si="10"/>
        <v>75</v>
      </c>
      <c r="P32" s="135">
        <v>50</v>
      </c>
      <c r="Q32" s="136">
        <f t="shared" si="4"/>
        <v>0</v>
      </c>
      <c r="R32" s="340" t="str">
        <f t="shared" si="6"/>
        <v>0.00</v>
      </c>
      <c r="T32" s="292"/>
      <c r="U32" s="293"/>
      <c r="V32" s="294"/>
    </row>
    <row r="33" spans="2:22" x14ac:dyDescent="0.25">
      <c r="B33" s="118" t="s">
        <v>24</v>
      </c>
      <c r="C33" s="78">
        <v>14</v>
      </c>
      <c r="D33" s="258">
        <v>22462</v>
      </c>
      <c r="E33" s="403" t="str">
        <f t="shared" si="7"/>
        <v>ADDITION</v>
      </c>
      <c r="F33" s="241">
        <v>1754.72</v>
      </c>
      <c r="G33" s="134">
        <f t="shared" si="8"/>
        <v>0</v>
      </c>
      <c r="H33" s="241">
        <v>1754.72</v>
      </c>
      <c r="I33" s="135">
        <v>50</v>
      </c>
      <c r="J33" s="177">
        <v>0</v>
      </c>
      <c r="K33" s="437">
        <v>1754.72</v>
      </c>
      <c r="L33" s="277">
        <f t="shared" si="5"/>
        <v>0</v>
      </c>
      <c r="M33" s="487">
        <f t="shared" si="9"/>
        <v>0</v>
      </c>
      <c r="N33" s="241">
        <v>1455.51</v>
      </c>
      <c r="O33" s="338">
        <f t="shared" si="10"/>
        <v>1754.72</v>
      </c>
      <c r="P33" s="135">
        <v>50</v>
      </c>
      <c r="Q33" s="136">
        <f t="shared" si="4"/>
        <v>0</v>
      </c>
      <c r="R33" s="340" t="str">
        <f t="shared" si="6"/>
        <v>0.00</v>
      </c>
      <c r="T33" s="292"/>
      <c r="U33" s="293"/>
      <c r="V33" s="294"/>
    </row>
    <row r="34" spans="2:22" s="248" customFormat="1" x14ac:dyDescent="0.25">
      <c r="B34" s="267"/>
      <c r="C34" s="268">
        <v>15</v>
      </c>
      <c r="D34" s="378">
        <v>23192</v>
      </c>
      <c r="E34" s="402" t="str">
        <f t="shared" si="7"/>
        <v>ADDITION</v>
      </c>
      <c r="F34" s="269">
        <v>1807.68</v>
      </c>
      <c r="G34" s="270">
        <f t="shared" si="8"/>
        <v>0</v>
      </c>
      <c r="H34" s="269">
        <v>1807.68</v>
      </c>
      <c r="I34" s="272">
        <v>50</v>
      </c>
      <c r="J34" s="271">
        <v>0</v>
      </c>
      <c r="K34" s="436">
        <v>1807.68</v>
      </c>
      <c r="L34" s="277">
        <f t="shared" si="5"/>
        <v>0</v>
      </c>
      <c r="M34" s="487">
        <f t="shared" si="9"/>
        <v>0</v>
      </c>
      <c r="N34" s="269">
        <v>1400.38</v>
      </c>
      <c r="O34" s="338">
        <f t="shared" si="10"/>
        <v>1807.68</v>
      </c>
      <c r="P34" s="272">
        <v>50</v>
      </c>
      <c r="Q34" s="274">
        <f t="shared" si="4"/>
        <v>0</v>
      </c>
      <c r="R34" s="340" t="str">
        <f t="shared" si="6"/>
        <v>0.00</v>
      </c>
      <c r="S34"/>
      <c r="T34" s="292"/>
      <c r="U34" s="293"/>
      <c r="V34" s="294"/>
    </row>
    <row r="35" spans="2:22" x14ac:dyDescent="0.25">
      <c r="B35" s="118"/>
      <c r="C35" s="78">
        <v>16</v>
      </c>
      <c r="D35" s="258">
        <v>23558</v>
      </c>
      <c r="E35" s="403" t="str">
        <f t="shared" si="7"/>
        <v>ADDITION</v>
      </c>
      <c r="F35" s="241">
        <v>2757.87</v>
      </c>
      <c r="G35" s="134">
        <f t="shared" si="8"/>
        <v>0</v>
      </c>
      <c r="H35" s="241">
        <v>2757.87</v>
      </c>
      <c r="I35" s="135">
        <v>50</v>
      </c>
      <c r="J35" s="177">
        <v>0</v>
      </c>
      <c r="K35" s="437">
        <v>2757.87</v>
      </c>
      <c r="L35" s="277">
        <f t="shared" si="5"/>
        <v>0</v>
      </c>
      <c r="M35" s="487">
        <f t="shared" si="9"/>
        <v>0</v>
      </c>
      <c r="N35" s="241">
        <v>2103.66</v>
      </c>
      <c r="O35" s="338">
        <f t="shared" si="10"/>
        <v>2757.87</v>
      </c>
      <c r="P35" s="135">
        <v>50</v>
      </c>
      <c r="Q35" s="136">
        <f t="shared" si="4"/>
        <v>0</v>
      </c>
      <c r="R35" s="340" t="str">
        <f t="shared" si="6"/>
        <v>0.00</v>
      </c>
      <c r="T35" s="292"/>
      <c r="U35" s="293"/>
      <c r="V35" s="294"/>
    </row>
    <row r="36" spans="2:22" x14ac:dyDescent="0.25">
      <c r="B36" s="118" t="s">
        <v>24</v>
      </c>
      <c r="C36" s="78">
        <v>17</v>
      </c>
      <c r="D36" s="258">
        <v>23923</v>
      </c>
      <c r="E36" s="403" t="str">
        <f t="shared" si="7"/>
        <v>ADDITION</v>
      </c>
      <c r="F36" s="241">
        <v>150</v>
      </c>
      <c r="G36" s="134">
        <f t="shared" si="8"/>
        <v>0</v>
      </c>
      <c r="H36" s="241">
        <v>150</v>
      </c>
      <c r="I36" s="135">
        <v>50</v>
      </c>
      <c r="J36" s="177">
        <v>0</v>
      </c>
      <c r="K36" s="437">
        <v>150</v>
      </c>
      <c r="L36" s="277">
        <f t="shared" si="5"/>
        <v>0</v>
      </c>
      <c r="M36" s="487">
        <f t="shared" si="9"/>
        <v>0</v>
      </c>
      <c r="N36" s="241">
        <v>114</v>
      </c>
      <c r="O36" s="338">
        <f t="shared" si="10"/>
        <v>150</v>
      </c>
      <c r="P36" s="135">
        <v>50</v>
      </c>
      <c r="Q36" s="136">
        <f t="shared" si="4"/>
        <v>0</v>
      </c>
      <c r="R36" s="340" t="str">
        <f t="shared" si="6"/>
        <v>0.00</v>
      </c>
      <c r="T36" s="292"/>
      <c r="U36" s="293"/>
      <c r="V36" s="294"/>
    </row>
    <row r="37" spans="2:22" x14ac:dyDescent="0.25">
      <c r="B37" s="118"/>
      <c r="C37" s="78">
        <v>18</v>
      </c>
      <c r="D37" s="258">
        <v>24288</v>
      </c>
      <c r="E37" s="403" t="str">
        <f t="shared" si="7"/>
        <v>ADDITION</v>
      </c>
      <c r="F37" s="241">
        <v>3497.81</v>
      </c>
      <c r="G37" s="134">
        <f t="shared" si="8"/>
        <v>0</v>
      </c>
      <c r="H37" s="241">
        <v>3497.81</v>
      </c>
      <c r="I37" s="135">
        <v>50</v>
      </c>
      <c r="J37" s="177">
        <v>0</v>
      </c>
      <c r="K37" s="437">
        <v>3497.81</v>
      </c>
      <c r="L37" s="277">
        <f t="shared" si="5"/>
        <v>0</v>
      </c>
      <c r="M37" s="487">
        <f t="shared" si="9"/>
        <v>0</v>
      </c>
      <c r="N37" s="241">
        <v>2553.54</v>
      </c>
      <c r="O37" s="338">
        <f t="shared" si="10"/>
        <v>3497.81</v>
      </c>
      <c r="P37" s="135">
        <v>50</v>
      </c>
      <c r="Q37" s="136">
        <f t="shared" si="4"/>
        <v>0</v>
      </c>
      <c r="R37" s="340" t="str">
        <f t="shared" si="6"/>
        <v>0.00</v>
      </c>
      <c r="T37" s="292"/>
      <c r="U37" s="293"/>
      <c r="V37" s="294"/>
    </row>
    <row r="38" spans="2:22" x14ac:dyDescent="0.25">
      <c r="B38" s="118" t="s">
        <v>24</v>
      </c>
      <c r="C38" s="78">
        <v>19</v>
      </c>
      <c r="D38" s="258">
        <v>24653</v>
      </c>
      <c r="E38" s="403" t="str">
        <f t="shared" si="7"/>
        <v>ADDITION</v>
      </c>
      <c r="F38" s="241">
        <v>5679.45</v>
      </c>
      <c r="G38" s="134">
        <f t="shared" si="8"/>
        <v>0</v>
      </c>
      <c r="H38" s="241">
        <v>5679.45</v>
      </c>
      <c r="I38" s="135">
        <v>50</v>
      </c>
      <c r="J38" s="177">
        <v>103.55</v>
      </c>
      <c r="K38" s="437">
        <v>5679.45</v>
      </c>
      <c r="L38" s="277">
        <f t="shared" si="5"/>
        <v>0</v>
      </c>
      <c r="M38" s="487">
        <f t="shared" si="9"/>
        <v>0</v>
      </c>
      <c r="N38" s="241">
        <v>3985.64</v>
      </c>
      <c r="O38" s="338">
        <f t="shared" si="10"/>
        <v>5679.45</v>
      </c>
      <c r="P38" s="135">
        <v>50</v>
      </c>
      <c r="Q38" s="136">
        <f t="shared" si="4"/>
        <v>0</v>
      </c>
      <c r="R38" s="340" t="str">
        <f t="shared" si="6"/>
        <v>0.00</v>
      </c>
      <c r="T38" s="292"/>
      <c r="U38" s="293"/>
      <c r="V38" s="294"/>
    </row>
    <row r="39" spans="2:22" s="248" customFormat="1" x14ac:dyDescent="0.25">
      <c r="B39" s="267"/>
      <c r="C39" s="268">
        <v>20</v>
      </c>
      <c r="D39" s="378">
        <v>25749</v>
      </c>
      <c r="E39" s="402" t="str">
        <f t="shared" si="7"/>
        <v>ADDITION</v>
      </c>
      <c r="F39" s="269">
        <v>556.25</v>
      </c>
      <c r="G39" s="270">
        <f t="shared" si="8"/>
        <v>0</v>
      </c>
      <c r="H39" s="269">
        <v>556.25</v>
      </c>
      <c r="I39" s="272">
        <v>50</v>
      </c>
      <c r="J39" s="271">
        <f t="shared" ref="J39:J41" si="11">F39/I39</f>
        <v>11.125</v>
      </c>
      <c r="K39" s="436">
        <v>536.5</v>
      </c>
      <c r="L39" s="277">
        <f t="shared" si="5"/>
        <v>19.75</v>
      </c>
      <c r="M39" s="487">
        <f t="shared" si="9"/>
        <v>-6.5659767952336097</v>
      </c>
      <c r="N39" s="269">
        <v>369.55</v>
      </c>
      <c r="O39" s="338">
        <f t="shared" si="10"/>
        <v>529.93402320476639</v>
      </c>
      <c r="P39" s="272">
        <v>50</v>
      </c>
      <c r="Q39" s="274">
        <f t="shared" si="4"/>
        <v>2.463013698630137</v>
      </c>
      <c r="R39" s="340">
        <f t="shared" si="6"/>
        <v>75.801446051167957</v>
      </c>
      <c r="S39"/>
      <c r="T39" s="292"/>
      <c r="U39" s="293"/>
      <c r="V39" s="294"/>
    </row>
    <row r="40" spans="2:22" s="248" customFormat="1" x14ac:dyDescent="0.25">
      <c r="B40" s="267"/>
      <c r="C40" s="268">
        <v>21</v>
      </c>
      <c r="D40" s="378">
        <v>26480</v>
      </c>
      <c r="E40" s="402" t="str">
        <f t="shared" si="7"/>
        <v>ADDITION</v>
      </c>
      <c r="F40" s="269">
        <v>987.36</v>
      </c>
      <c r="G40" s="270">
        <f t="shared" si="8"/>
        <v>0</v>
      </c>
      <c r="H40" s="269">
        <v>987.36</v>
      </c>
      <c r="I40" s="272">
        <v>50</v>
      </c>
      <c r="J40" s="271">
        <f t="shared" si="11"/>
        <v>19.747199999999999</v>
      </c>
      <c r="K40" s="436">
        <v>898.62</v>
      </c>
      <c r="L40" s="277">
        <f t="shared" si="5"/>
        <v>88.740000000000009</v>
      </c>
      <c r="M40" s="487">
        <f t="shared" si="9"/>
        <v>0.46686735124490042</v>
      </c>
      <c r="N40" s="269">
        <v>602.37</v>
      </c>
      <c r="O40" s="338">
        <f t="shared" si="10"/>
        <v>899.0868673512449</v>
      </c>
      <c r="P40" s="272">
        <v>50</v>
      </c>
      <c r="Q40" s="274">
        <f t="shared" si="4"/>
        <v>4.4657534246575343</v>
      </c>
      <c r="R40" s="340">
        <f t="shared" si="6"/>
        <v>86.209417177914105</v>
      </c>
      <c r="S40"/>
      <c r="T40" s="292"/>
      <c r="U40" s="293"/>
      <c r="V40" s="294"/>
    </row>
    <row r="41" spans="2:22" s="248" customFormat="1" x14ac:dyDescent="0.25">
      <c r="B41" s="267"/>
      <c r="C41" s="268">
        <v>22</v>
      </c>
      <c r="D41" s="378">
        <v>26845</v>
      </c>
      <c r="E41" s="402" t="str">
        <f t="shared" si="7"/>
        <v>ADDITION</v>
      </c>
      <c r="F41" s="269">
        <v>3591.03</v>
      </c>
      <c r="G41" s="270">
        <f t="shared" si="8"/>
        <v>0</v>
      </c>
      <c r="H41" s="269">
        <v>3591.03</v>
      </c>
      <c r="I41" s="272">
        <v>50</v>
      </c>
      <c r="J41" s="271">
        <f t="shared" si="11"/>
        <v>71.820599999999999</v>
      </c>
      <c r="K41" s="436">
        <v>3160.08</v>
      </c>
      <c r="L41" s="277">
        <f t="shared" si="5"/>
        <v>430.95000000000027</v>
      </c>
      <c r="M41" s="487">
        <f t="shared" si="9"/>
        <v>28.359854161091789</v>
      </c>
      <c r="N41" s="269">
        <v>2082.7800000000002</v>
      </c>
      <c r="O41" s="338">
        <f t="shared" si="10"/>
        <v>3188.4398541610917</v>
      </c>
      <c r="P41" s="272">
        <v>50</v>
      </c>
      <c r="Q41" s="274">
        <f t="shared" si="4"/>
        <v>5.4657534246575343</v>
      </c>
      <c r="R41" s="340">
        <f t="shared" si="6"/>
        <v>275.94548872180451</v>
      </c>
      <c r="S41"/>
      <c r="T41" s="292"/>
      <c r="U41" s="293"/>
      <c r="V41" s="294"/>
    </row>
    <row r="42" spans="2:22" x14ac:dyDescent="0.25">
      <c r="B42" s="118" t="s">
        <v>24</v>
      </c>
      <c r="C42" s="78">
        <v>23</v>
      </c>
      <c r="D42" s="258">
        <v>8948</v>
      </c>
      <c r="E42" s="403" t="str">
        <f>UPPER("Machinery, meters, etc.")</f>
        <v>MACHINERY, METERS, ETC.</v>
      </c>
      <c r="F42" s="241">
        <v>317.56</v>
      </c>
      <c r="G42" s="134">
        <f t="shared" ref="G42:G58" si="12">H42-F42</f>
        <v>0</v>
      </c>
      <c r="H42" s="241">
        <v>317.56</v>
      </c>
      <c r="I42" s="135">
        <v>30</v>
      </c>
      <c r="J42" s="266">
        <v>0</v>
      </c>
      <c r="K42" s="437">
        <v>317.56</v>
      </c>
      <c r="L42" s="277">
        <f t="shared" si="5"/>
        <v>0</v>
      </c>
      <c r="M42" s="487">
        <f t="shared" si="9"/>
        <v>0</v>
      </c>
      <c r="N42" s="241">
        <v>317.56</v>
      </c>
      <c r="O42" s="338">
        <f t="shared" si="10"/>
        <v>317.56</v>
      </c>
      <c r="P42" s="135">
        <v>30</v>
      </c>
      <c r="Q42" s="503">
        <f t="shared" si="4"/>
        <v>0</v>
      </c>
      <c r="R42" s="340" t="str">
        <f t="shared" si="6"/>
        <v>0.00</v>
      </c>
      <c r="T42" s="292"/>
      <c r="U42" s="293"/>
      <c r="V42" s="294"/>
    </row>
    <row r="43" spans="2:22" x14ac:dyDescent="0.25">
      <c r="B43" s="118"/>
      <c r="C43" s="78">
        <v>24</v>
      </c>
      <c r="D43" s="258">
        <v>9313</v>
      </c>
      <c r="E43" s="403" t="str">
        <f t="shared" ref="E43:E63" si="13">UPPER("Machinery, meters, etc.")</f>
        <v>MACHINERY, METERS, ETC.</v>
      </c>
      <c r="F43" s="241">
        <v>171</v>
      </c>
      <c r="G43" s="134">
        <f t="shared" si="12"/>
        <v>0</v>
      </c>
      <c r="H43" s="241">
        <v>171</v>
      </c>
      <c r="I43" s="135">
        <v>30</v>
      </c>
      <c r="J43" s="266">
        <v>0</v>
      </c>
      <c r="K43" s="437">
        <v>171</v>
      </c>
      <c r="L43" s="277">
        <f t="shared" si="5"/>
        <v>0</v>
      </c>
      <c r="M43" s="487">
        <f t="shared" si="9"/>
        <v>0</v>
      </c>
      <c r="N43" s="241">
        <v>171</v>
      </c>
      <c r="O43" s="338">
        <f t="shared" si="10"/>
        <v>171</v>
      </c>
      <c r="P43" s="135">
        <v>30</v>
      </c>
      <c r="Q43" s="503">
        <f t="shared" si="4"/>
        <v>0</v>
      </c>
      <c r="R43" s="340" t="str">
        <f t="shared" si="6"/>
        <v>0.00</v>
      </c>
      <c r="T43" s="292"/>
      <c r="U43" s="293"/>
      <c r="V43" s="294"/>
    </row>
    <row r="44" spans="2:22" x14ac:dyDescent="0.25">
      <c r="B44" s="118" t="s">
        <v>24</v>
      </c>
      <c r="C44" s="78">
        <v>25</v>
      </c>
      <c r="D44" s="258">
        <v>9678</v>
      </c>
      <c r="E44" s="403" t="str">
        <f t="shared" si="13"/>
        <v>MACHINERY, METERS, ETC.</v>
      </c>
      <c r="F44" s="241">
        <v>114</v>
      </c>
      <c r="G44" s="134">
        <f t="shared" si="12"/>
        <v>0</v>
      </c>
      <c r="H44" s="241">
        <v>114</v>
      </c>
      <c r="I44" s="135">
        <v>30</v>
      </c>
      <c r="J44" s="266">
        <v>0</v>
      </c>
      <c r="K44" s="437">
        <v>114</v>
      </c>
      <c r="L44" s="277">
        <f t="shared" si="5"/>
        <v>0</v>
      </c>
      <c r="M44" s="487">
        <f t="shared" si="9"/>
        <v>0</v>
      </c>
      <c r="N44" s="241">
        <v>114</v>
      </c>
      <c r="O44" s="338">
        <f t="shared" si="10"/>
        <v>114</v>
      </c>
      <c r="P44" s="135">
        <v>30</v>
      </c>
      <c r="Q44" s="503">
        <f t="shared" si="4"/>
        <v>0</v>
      </c>
      <c r="R44" s="340" t="str">
        <f t="shared" si="6"/>
        <v>0.00</v>
      </c>
      <c r="T44" s="292"/>
      <c r="U44" s="293"/>
      <c r="V44" s="294"/>
    </row>
    <row r="45" spans="2:22" x14ac:dyDescent="0.25">
      <c r="B45" s="118" t="s">
        <v>24</v>
      </c>
      <c r="C45" s="78">
        <v>26</v>
      </c>
      <c r="D45" s="258">
        <v>10043</v>
      </c>
      <c r="E45" s="403" t="str">
        <f t="shared" si="13"/>
        <v>MACHINERY, METERS, ETC.</v>
      </c>
      <c r="F45" s="241">
        <v>57</v>
      </c>
      <c r="G45" s="134">
        <f t="shared" si="12"/>
        <v>0</v>
      </c>
      <c r="H45" s="241">
        <v>57</v>
      </c>
      <c r="I45" s="135">
        <v>30</v>
      </c>
      <c r="J45" s="266">
        <v>0</v>
      </c>
      <c r="K45" s="437">
        <v>57</v>
      </c>
      <c r="L45" s="277">
        <f t="shared" si="5"/>
        <v>0</v>
      </c>
      <c r="M45" s="487">
        <f t="shared" si="9"/>
        <v>0</v>
      </c>
      <c r="N45" s="241">
        <v>57</v>
      </c>
      <c r="O45" s="338">
        <f t="shared" si="10"/>
        <v>57</v>
      </c>
      <c r="P45" s="135">
        <v>30</v>
      </c>
      <c r="Q45" s="503">
        <f t="shared" si="4"/>
        <v>0</v>
      </c>
      <c r="R45" s="340" t="str">
        <f t="shared" si="6"/>
        <v>0.00</v>
      </c>
      <c r="T45" s="292"/>
      <c r="U45" s="293"/>
      <c r="V45" s="294"/>
    </row>
    <row r="46" spans="2:22" x14ac:dyDescent="0.25">
      <c r="B46" s="118"/>
      <c r="C46" s="78">
        <v>27</v>
      </c>
      <c r="D46" s="258">
        <v>10409</v>
      </c>
      <c r="E46" s="403" t="str">
        <f t="shared" si="13"/>
        <v>MACHINERY, METERS, ETC.</v>
      </c>
      <c r="F46" s="241">
        <v>229.56</v>
      </c>
      <c r="G46" s="134">
        <f t="shared" si="12"/>
        <v>0</v>
      </c>
      <c r="H46" s="241">
        <v>229.56</v>
      </c>
      <c r="I46" s="135">
        <v>30</v>
      </c>
      <c r="J46" s="266">
        <v>0</v>
      </c>
      <c r="K46" s="437">
        <v>229.56</v>
      </c>
      <c r="L46" s="277">
        <f t="shared" si="5"/>
        <v>0</v>
      </c>
      <c r="M46" s="487">
        <f t="shared" si="9"/>
        <v>0</v>
      </c>
      <c r="N46" s="241">
        <v>229.56</v>
      </c>
      <c r="O46" s="338">
        <f t="shared" si="10"/>
        <v>229.56</v>
      </c>
      <c r="P46" s="135">
        <v>30</v>
      </c>
      <c r="Q46" s="503">
        <f t="shared" si="4"/>
        <v>0</v>
      </c>
      <c r="R46" s="340" t="str">
        <f t="shared" si="6"/>
        <v>0.00</v>
      </c>
      <c r="T46" s="292"/>
      <c r="U46" s="293"/>
      <c r="V46" s="294"/>
    </row>
    <row r="47" spans="2:22" x14ac:dyDescent="0.25">
      <c r="B47" s="118" t="s">
        <v>24</v>
      </c>
      <c r="C47" s="78">
        <v>28</v>
      </c>
      <c r="D47" s="258">
        <v>10774</v>
      </c>
      <c r="E47" s="403" t="str">
        <f t="shared" si="13"/>
        <v>MACHINERY, METERS, ETC.</v>
      </c>
      <c r="F47" s="241">
        <v>114</v>
      </c>
      <c r="G47" s="134">
        <f t="shared" si="12"/>
        <v>0</v>
      </c>
      <c r="H47" s="241">
        <v>114</v>
      </c>
      <c r="I47" s="135">
        <v>30</v>
      </c>
      <c r="J47" s="266">
        <v>0</v>
      </c>
      <c r="K47" s="437">
        <v>114</v>
      </c>
      <c r="L47" s="277">
        <f t="shared" si="5"/>
        <v>0</v>
      </c>
      <c r="M47" s="487">
        <f t="shared" si="9"/>
        <v>0</v>
      </c>
      <c r="N47" s="241">
        <v>114</v>
      </c>
      <c r="O47" s="338">
        <f t="shared" si="10"/>
        <v>114</v>
      </c>
      <c r="P47" s="135">
        <v>30</v>
      </c>
      <c r="Q47" s="503">
        <f t="shared" si="4"/>
        <v>0</v>
      </c>
      <c r="R47" s="340" t="str">
        <f t="shared" si="6"/>
        <v>0.00</v>
      </c>
      <c r="T47" s="292"/>
      <c r="U47" s="293"/>
      <c r="V47" s="294"/>
    </row>
    <row r="48" spans="2:22" x14ac:dyDescent="0.25">
      <c r="B48" s="118" t="s">
        <v>24</v>
      </c>
      <c r="C48" s="78">
        <v>29</v>
      </c>
      <c r="D48" s="258">
        <v>11139</v>
      </c>
      <c r="E48" s="403" t="str">
        <f t="shared" si="13"/>
        <v>MACHINERY, METERS, ETC.</v>
      </c>
      <c r="F48" s="241">
        <v>75.599999999999994</v>
      </c>
      <c r="G48" s="134">
        <f t="shared" si="12"/>
        <v>0</v>
      </c>
      <c r="H48" s="241">
        <v>75.599999999999994</v>
      </c>
      <c r="I48" s="135">
        <v>30</v>
      </c>
      <c r="J48" s="266">
        <v>0</v>
      </c>
      <c r="K48" s="437">
        <v>75.599999999999994</v>
      </c>
      <c r="L48" s="277">
        <f t="shared" si="5"/>
        <v>0</v>
      </c>
      <c r="M48" s="487">
        <f t="shared" si="9"/>
        <v>0</v>
      </c>
      <c r="N48" s="241">
        <v>75.599999999999994</v>
      </c>
      <c r="O48" s="338">
        <f t="shared" si="10"/>
        <v>75.599999999999994</v>
      </c>
      <c r="P48" s="135">
        <v>30</v>
      </c>
      <c r="Q48" s="503">
        <f t="shared" si="4"/>
        <v>0</v>
      </c>
      <c r="R48" s="340" t="str">
        <f t="shared" si="6"/>
        <v>0.00</v>
      </c>
      <c r="T48" s="292"/>
      <c r="U48" s="293"/>
      <c r="V48" s="294"/>
    </row>
    <row r="49" spans="2:22" x14ac:dyDescent="0.25">
      <c r="B49" s="118" t="s">
        <v>24</v>
      </c>
      <c r="C49" s="78">
        <v>30</v>
      </c>
      <c r="D49" s="258">
        <v>11504</v>
      </c>
      <c r="E49" s="403" t="str">
        <f t="shared" si="13"/>
        <v>MACHINERY, METERS, ETC.</v>
      </c>
      <c r="F49" s="241">
        <v>366.71</v>
      </c>
      <c r="G49" s="134">
        <f t="shared" si="12"/>
        <v>0</v>
      </c>
      <c r="H49" s="241">
        <v>366.71</v>
      </c>
      <c r="I49" s="135">
        <v>30</v>
      </c>
      <c r="J49" s="266">
        <v>0</v>
      </c>
      <c r="K49" s="437">
        <v>366.71</v>
      </c>
      <c r="L49" s="277">
        <f t="shared" si="5"/>
        <v>0</v>
      </c>
      <c r="M49" s="487">
        <f t="shared" si="9"/>
        <v>0</v>
      </c>
      <c r="N49" s="241">
        <v>366.71</v>
      </c>
      <c r="O49" s="338">
        <f t="shared" si="10"/>
        <v>366.71</v>
      </c>
      <c r="P49" s="135">
        <v>30</v>
      </c>
      <c r="Q49" s="503">
        <f t="shared" si="4"/>
        <v>0</v>
      </c>
      <c r="R49" s="340" t="str">
        <f t="shared" si="6"/>
        <v>0.00</v>
      </c>
      <c r="T49" s="292"/>
      <c r="U49" s="293"/>
      <c r="V49" s="294"/>
    </row>
    <row r="50" spans="2:22" x14ac:dyDescent="0.25">
      <c r="B50" s="118"/>
      <c r="C50" s="78">
        <v>31</v>
      </c>
      <c r="D50" s="258">
        <v>12600</v>
      </c>
      <c r="E50" s="403" t="str">
        <f t="shared" si="13"/>
        <v>MACHINERY, METERS, ETC.</v>
      </c>
      <c r="F50" s="241">
        <v>33.06</v>
      </c>
      <c r="G50" s="134">
        <f t="shared" si="12"/>
        <v>0</v>
      </c>
      <c r="H50" s="241">
        <v>33.06</v>
      </c>
      <c r="I50" s="135">
        <v>30</v>
      </c>
      <c r="J50" s="266">
        <v>0</v>
      </c>
      <c r="K50" s="437">
        <v>33.06</v>
      </c>
      <c r="L50" s="277">
        <f t="shared" si="5"/>
        <v>0</v>
      </c>
      <c r="M50" s="487">
        <f t="shared" si="9"/>
        <v>0</v>
      </c>
      <c r="N50" s="241">
        <v>33.06</v>
      </c>
      <c r="O50" s="338">
        <f t="shared" si="10"/>
        <v>33.06</v>
      </c>
      <c r="P50" s="135">
        <v>30</v>
      </c>
      <c r="Q50" s="503">
        <f t="shared" si="4"/>
        <v>0</v>
      </c>
      <c r="R50" s="340" t="str">
        <f t="shared" si="6"/>
        <v>0.00</v>
      </c>
      <c r="T50" s="292"/>
      <c r="U50" s="293"/>
      <c r="V50" s="295"/>
    </row>
    <row r="51" spans="2:22" x14ac:dyDescent="0.25">
      <c r="B51" s="118"/>
      <c r="C51" s="78">
        <v>32</v>
      </c>
      <c r="D51" s="258">
        <v>13331</v>
      </c>
      <c r="E51" s="403" t="str">
        <f t="shared" si="13"/>
        <v>MACHINERY, METERS, ETC.</v>
      </c>
      <c r="F51" s="241">
        <v>834.95</v>
      </c>
      <c r="G51" s="134">
        <f>H51-F51</f>
        <v>0</v>
      </c>
      <c r="H51" s="241">
        <v>834.95</v>
      </c>
      <c r="I51" s="135">
        <v>30</v>
      </c>
      <c r="J51" s="266">
        <v>0</v>
      </c>
      <c r="K51" s="437">
        <v>834.95</v>
      </c>
      <c r="L51" s="277">
        <f t="shared" si="5"/>
        <v>0</v>
      </c>
      <c r="M51" s="487">
        <f t="shared" si="9"/>
        <v>0</v>
      </c>
      <c r="N51" s="241">
        <v>834.95</v>
      </c>
      <c r="O51" s="338">
        <f t="shared" si="10"/>
        <v>834.95</v>
      </c>
      <c r="P51" s="135">
        <v>30</v>
      </c>
      <c r="Q51" s="503">
        <f t="shared" si="4"/>
        <v>0</v>
      </c>
      <c r="R51" s="340" t="str">
        <f t="shared" si="6"/>
        <v>0.00</v>
      </c>
      <c r="T51" s="292"/>
      <c r="U51" s="293"/>
      <c r="V51" s="295"/>
    </row>
    <row r="52" spans="2:22" x14ac:dyDescent="0.25">
      <c r="B52" s="118"/>
      <c r="C52" s="78">
        <v>33</v>
      </c>
      <c r="D52" s="258">
        <v>13696</v>
      </c>
      <c r="E52" s="403" t="str">
        <f t="shared" si="13"/>
        <v>MACHINERY, METERS, ETC.</v>
      </c>
      <c r="F52" s="241">
        <v>21.53</v>
      </c>
      <c r="G52" s="134">
        <f t="shared" si="12"/>
        <v>0</v>
      </c>
      <c r="H52" s="241">
        <v>21.53</v>
      </c>
      <c r="I52" s="135">
        <v>30</v>
      </c>
      <c r="J52" s="266">
        <v>0</v>
      </c>
      <c r="K52" s="437">
        <v>21.53</v>
      </c>
      <c r="L52" s="277">
        <f t="shared" si="5"/>
        <v>0</v>
      </c>
      <c r="M52" s="487">
        <f t="shared" si="9"/>
        <v>0</v>
      </c>
      <c r="N52" s="241">
        <v>21.53</v>
      </c>
      <c r="O52" s="338">
        <f t="shared" si="10"/>
        <v>21.53</v>
      </c>
      <c r="P52" s="135">
        <v>30</v>
      </c>
      <c r="Q52" s="503">
        <f t="shared" ref="Q52:Q88" si="14">IF((($F$7)-D52)&gt;=P52*365,0,P52*365-(($F$7)-D52))/365</f>
        <v>0</v>
      </c>
      <c r="R52" s="340" t="str">
        <f t="shared" si="6"/>
        <v>0.00</v>
      </c>
      <c r="T52" s="292"/>
      <c r="U52" s="293"/>
      <c r="V52" s="295"/>
    </row>
    <row r="53" spans="2:22" x14ac:dyDescent="0.25">
      <c r="B53" s="118"/>
      <c r="C53" s="78">
        <v>34</v>
      </c>
      <c r="D53" s="258">
        <v>14061</v>
      </c>
      <c r="E53" s="403" t="str">
        <f t="shared" si="13"/>
        <v>MACHINERY, METERS, ETC.</v>
      </c>
      <c r="F53" s="241">
        <v>71.48</v>
      </c>
      <c r="G53" s="134">
        <f t="shared" si="12"/>
        <v>0</v>
      </c>
      <c r="H53" s="241">
        <v>71.48</v>
      </c>
      <c r="I53" s="135">
        <v>30</v>
      </c>
      <c r="J53" s="266">
        <v>0</v>
      </c>
      <c r="K53" s="437">
        <v>71.48</v>
      </c>
      <c r="L53" s="277">
        <f t="shared" si="5"/>
        <v>0</v>
      </c>
      <c r="M53" s="487">
        <f t="shared" si="9"/>
        <v>0</v>
      </c>
      <c r="N53" s="241">
        <v>71.48</v>
      </c>
      <c r="O53" s="338">
        <f t="shared" si="10"/>
        <v>71.48</v>
      </c>
      <c r="P53" s="135">
        <v>30</v>
      </c>
      <c r="Q53" s="503">
        <f t="shared" si="14"/>
        <v>0</v>
      </c>
      <c r="R53" s="340" t="str">
        <f t="shared" si="6"/>
        <v>0.00</v>
      </c>
      <c r="T53" s="292"/>
      <c r="U53" s="293"/>
      <c r="V53" s="295"/>
    </row>
    <row r="54" spans="2:22" x14ac:dyDescent="0.25">
      <c r="B54" s="118"/>
      <c r="C54" s="78">
        <v>35</v>
      </c>
      <c r="D54" s="258">
        <v>14792</v>
      </c>
      <c r="E54" s="403" t="str">
        <f t="shared" si="13"/>
        <v>MACHINERY, METERS, ETC.</v>
      </c>
      <c r="F54" s="241">
        <v>152.83000000000001</v>
      </c>
      <c r="G54" s="134">
        <f t="shared" si="12"/>
        <v>0</v>
      </c>
      <c r="H54" s="241">
        <v>152.83000000000001</v>
      </c>
      <c r="I54" s="135">
        <v>30</v>
      </c>
      <c r="J54" s="266">
        <v>0</v>
      </c>
      <c r="K54" s="437">
        <v>152.83000000000001</v>
      </c>
      <c r="L54" s="277">
        <f t="shared" si="5"/>
        <v>0</v>
      </c>
      <c r="M54" s="487">
        <f t="shared" si="9"/>
        <v>0</v>
      </c>
      <c r="N54" s="241">
        <v>152.83000000000001</v>
      </c>
      <c r="O54" s="338">
        <f t="shared" si="10"/>
        <v>152.83000000000001</v>
      </c>
      <c r="P54" s="135">
        <v>30</v>
      </c>
      <c r="Q54" s="503">
        <f t="shared" si="14"/>
        <v>0</v>
      </c>
      <c r="R54" s="340" t="str">
        <f t="shared" si="6"/>
        <v>0.00</v>
      </c>
      <c r="T54" s="292"/>
      <c r="U54" s="293"/>
      <c r="V54" s="295"/>
    </row>
    <row r="55" spans="2:22" x14ac:dyDescent="0.25">
      <c r="B55" s="118"/>
      <c r="C55" s="78">
        <v>36</v>
      </c>
      <c r="D55" s="258">
        <v>15157</v>
      </c>
      <c r="E55" s="403" t="str">
        <f t="shared" si="13"/>
        <v>MACHINERY, METERS, ETC.</v>
      </c>
      <c r="F55" s="241">
        <v>356.8</v>
      </c>
      <c r="G55" s="134">
        <f t="shared" si="12"/>
        <v>0</v>
      </c>
      <c r="H55" s="241">
        <v>356.8</v>
      </c>
      <c r="I55" s="135">
        <v>30</v>
      </c>
      <c r="J55" s="266">
        <v>0</v>
      </c>
      <c r="K55" s="437">
        <v>356.8</v>
      </c>
      <c r="L55" s="277">
        <f t="shared" si="5"/>
        <v>0</v>
      </c>
      <c r="M55" s="487">
        <f t="shared" si="9"/>
        <v>0</v>
      </c>
      <c r="N55" s="241">
        <v>356.8</v>
      </c>
      <c r="O55" s="338">
        <f t="shared" si="10"/>
        <v>356.8</v>
      </c>
      <c r="P55" s="135">
        <v>30</v>
      </c>
      <c r="Q55" s="503">
        <f t="shared" si="14"/>
        <v>0</v>
      </c>
      <c r="R55" s="340" t="str">
        <f t="shared" si="6"/>
        <v>0.00</v>
      </c>
      <c r="T55" s="292"/>
      <c r="U55" s="293"/>
      <c r="V55" s="295"/>
    </row>
    <row r="56" spans="2:22" x14ac:dyDescent="0.25">
      <c r="B56" s="118"/>
      <c r="C56" s="78">
        <v>37</v>
      </c>
      <c r="D56" s="258">
        <v>16983</v>
      </c>
      <c r="E56" s="403" t="str">
        <f t="shared" si="13"/>
        <v>MACHINERY, METERS, ETC.</v>
      </c>
      <c r="F56" s="241">
        <v>7</v>
      </c>
      <c r="G56" s="134">
        <f t="shared" si="12"/>
        <v>0</v>
      </c>
      <c r="H56" s="241">
        <v>7</v>
      </c>
      <c r="I56" s="135">
        <v>30</v>
      </c>
      <c r="J56" s="266">
        <v>0</v>
      </c>
      <c r="K56" s="437">
        <v>7</v>
      </c>
      <c r="L56" s="277">
        <f t="shared" si="5"/>
        <v>0</v>
      </c>
      <c r="M56" s="487">
        <f t="shared" si="9"/>
        <v>0</v>
      </c>
      <c r="N56" s="241">
        <v>7</v>
      </c>
      <c r="O56" s="338">
        <f t="shared" si="10"/>
        <v>7</v>
      </c>
      <c r="P56" s="135">
        <v>30</v>
      </c>
      <c r="Q56" s="503">
        <f t="shared" si="14"/>
        <v>0</v>
      </c>
      <c r="R56" s="340" t="str">
        <f t="shared" si="6"/>
        <v>0.00</v>
      </c>
      <c r="T56" s="292"/>
      <c r="U56" s="293"/>
      <c r="V56" s="295"/>
    </row>
    <row r="57" spans="2:22" x14ac:dyDescent="0.25">
      <c r="B57" s="118"/>
      <c r="C57" s="78">
        <v>38</v>
      </c>
      <c r="D57" s="258">
        <v>17348</v>
      </c>
      <c r="E57" s="403" t="str">
        <f t="shared" si="13"/>
        <v>MACHINERY, METERS, ETC.</v>
      </c>
      <c r="F57" s="241">
        <v>49.8</v>
      </c>
      <c r="G57" s="134">
        <f t="shared" si="12"/>
        <v>0</v>
      </c>
      <c r="H57" s="241">
        <v>49.8</v>
      </c>
      <c r="I57" s="135">
        <v>30</v>
      </c>
      <c r="J57" s="266">
        <v>0</v>
      </c>
      <c r="K57" s="437">
        <v>49.8</v>
      </c>
      <c r="L57" s="277">
        <f t="shared" si="5"/>
        <v>0</v>
      </c>
      <c r="M57" s="487">
        <f t="shared" si="9"/>
        <v>0</v>
      </c>
      <c r="N57" s="241">
        <v>49.8</v>
      </c>
      <c r="O57" s="338">
        <f t="shared" si="10"/>
        <v>49.8</v>
      </c>
      <c r="P57" s="135">
        <v>30</v>
      </c>
      <c r="Q57" s="503">
        <f t="shared" si="14"/>
        <v>0</v>
      </c>
      <c r="R57" s="340" t="str">
        <f t="shared" si="6"/>
        <v>0.00</v>
      </c>
      <c r="S57" s="221"/>
      <c r="T57" s="296"/>
      <c r="U57" s="195"/>
      <c r="V57" s="209"/>
    </row>
    <row r="58" spans="2:22" x14ac:dyDescent="0.25">
      <c r="B58" s="118"/>
      <c r="C58" s="78">
        <v>39</v>
      </c>
      <c r="D58" s="258">
        <v>18079</v>
      </c>
      <c r="E58" s="403" t="str">
        <f t="shared" si="13"/>
        <v>MACHINERY, METERS, ETC.</v>
      </c>
      <c r="F58" s="241">
        <v>162.54</v>
      </c>
      <c r="G58" s="134">
        <f t="shared" si="12"/>
        <v>0</v>
      </c>
      <c r="H58" s="241">
        <v>162.54</v>
      </c>
      <c r="I58" s="135">
        <v>30</v>
      </c>
      <c r="J58" s="266">
        <v>0</v>
      </c>
      <c r="K58" s="437">
        <v>162.54</v>
      </c>
      <c r="L58" s="277">
        <f t="shared" si="5"/>
        <v>0</v>
      </c>
      <c r="M58" s="487">
        <f t="shared" si="9"/>
        <v>0</v>
      </c>
      <c r="N58" s="241">
        <v>162.54</v>
      </c>
      <c r="O58" s="338">
        <f t="shared" si="10"/>
        <v>162.54</v>
      </c>
      <c r="P58" s="135">
        <v>30</v>
      </c>
      <c r="Q58" s="503">
        <f t="shared" si="14"/>
        <v>0</v>
      </c>
      <c r="R58" s="340" t="str">
        <f t="shared" si="6"/>
        <v>0.00</v>
      </c>
      <c r="T58" s="292"/>
      <c r="U58" s="293"/>
      <c r="V58" s="294"/>
    </row>
    <row r="59" spans="2:22" x14ac:dyDescent="0.25">
      <c r="B59" s="118"/>
      <c r="C59" s="78">
        <v>40</v>
      </c>
      <c r="D59" s="258">
        <v>18809</v>
      </c>
      <c r="E59" s="403" t="str">
        <f t="shared" si="13"/>
        <v>MACHINERY, METERS, ETC.</v>
      </c>
      <c r="F59" s="241">
        <v>443.21</v>
      </c>
      <c r="G59" s="134">
        <f t="shared" ref="G59:G75" si="15">H59-F59</f>
        <v>0</v>
      </c>
      <c r="H59" s="241">
        <v>443.21</v>
      </c>
      <c r="I59" s="135">
        <v>30</v>
      </c>
      <c r="J59" s="266">
        <v>0</v>
      </c>
      <c r="K59" s="437">
        <v>443.21</v>
      </c>
      <c r="L59" s="277">
        <f t="shared" si="5"/>
        <v>0</v>
      </c>
      <c r="M59" s="487">
        <f t="shared" si="9"/>
        <v>0</v>
      </c>
      <c r="N59" s="241">
        <v>443.21</v>
      </c>
      <c r="O59" s="338">
        <f t="shared" si="10"/>
        <v>443.21</v>
      </c>
      <c r="P59" s="135">
        <v>30</v>
      </c>
      <c r="Q59" s="503">
        <f t="shared" si="14"/>
        <v>0</v>
      </c>
      <c r="R59" s="340" t="str">
        <f t="shared" si="6"/>
        <v>0.00</v>
      </c>
      <c r="T59" s="292"/>
      <c r="U59" s="293"/>
      <c r="V59" s="294"/>
    </row>
    <row r="60" spans="2:22" x14ac:dyDescent="0.25">
      <c r="B60" s="118"/>
      <c r="C60" s="78">
        <v>41</v>
      </c>
      <c r="D60" s="258">
        <v>22827</v>
      </c>
      <c r="E60" s="403" t="str">
        <f t="shared" si="13"/>
        <v>MACHINERY, METERS, ETC.</v>
      </c>
      <c r="F60" s="241">
        <v>102.95</v>
      </c>
      <c r="G60" s="134">
        <f t="shared" ref="G60:G68" si="16">H60-F60</f>
        <v>0</v>
      </c>
      <c r="H60" s="241">
        <v>102.95</v>
      </c>
      <c r="I60" s="135">
        <v>30</v>
      </c>
      <c r="J60" s="266">
        <v>0</v>
      </c>
      <c r="K60" s="437">
        <v>102.95</v>
      </c>
      <c r="L60" s="277">
        <f t="shared" si="5"/>
        <v>0</v>
      </c>
      <c r="M60" s="487">
        <f t="shared" si="9"/>
        <v>0</v>
      </c>
      <c r="N60" s="241">
        <v>102.95</v>
      </c>
      <c r="O60" s="338">
        <f t="shared" si="10"/>
        <v>102.95</v>
      </c>
      <c r="P60" s="135">
        <v>30</v>
      </c>
      <c r="Q60" s="503">
        <f t="shared" si="14"/>
        <v>0</v>
      </c>
      <c r="R60" s="340" t="str">
        <f t="shared" si="6"/>
        <v>0.00</v>
      </c>
      <c r="T60" s="292"/>
      <c r="U60" s="293"/>
      <c r="V60" s="294"/>
    </row>
    <row r="61" spans="2:22" s="552" customFormat="1" x14ac:dyDescent="0.25">
      <c r="B61" s="538"/>
      <c r="C61" s="539">
        <v>42</v>
      </c>
      <c r="D61" s="540">
        <v>19905</v>
      </c>
      <c r="E61" s="541" t="s">
        <v>237</v>
      </c>
      <c r="F61" s="542">
        <v>75</v>
      </c>
      <c r="G61" s="543">
        <f t="shared" si="16"/>
        <v>-75</v>
      </c>
      <c r="H61" s="542">
        <v>0</v>
      </c>
      <c r="I61" s="544">
        <v>30</v>
      </c>
      <c r="J61" s="545">
        <v>0</v>
      </c>
      <c r="K61" s="546">
        <v>68.75</v>
      </c>
      <c r="L61" s="547">
        <f t="shared" si="5"/>
        <v>6.25</v>
      </c>
      <c r="M61" s="548">
        <f t="shared" si="9"/>
        <v>-68.75</v>
      </c>
      <c r="N61" s="542">
        <v>0</v>
      </c>
      <c r="O61" s="549">
        <f t="shared" si="10"/>
        <v>0</v>
      </c>
      <c r="P61" s="544">
        <v>30</v>
      </c>
      <c r="Q61" s="550">
        <f t="shared" si="14"/>
        <v>0</v>
      </c>
      <c r="R61" s="551" t="str">
        <f t="shared" si="6"/>
        <v>0.00</v>
      </c>
      <c r="T61" s="553"/>
      <c r="U61" s="554"/>
      <c r="V61" s="555"/>
    </row>
    <row r="62" spans="2:22" x14ac:dyDescent="0.25">
      <c r="B62" s="118"/>
      <c r="C62" s="78">
        <v>43</v>
      </c>
      <c r="D62" s="258">
        <v>20270</v>
      </c>
      <c r="E62" s="403" t="str">
        <f t="shared" si="13"/>
        <v>MACHINERY, METERS, ETC.</v>
      </c>
      <c r="F62" s="241">
        <v>159.18</v>
      </c>
      <c r="G62" s="134">
        <f t="shared" si="16"/>
        <v>0</v>
      </c>
      <c r="H62" s="241">
        <v>159.18</v>
      </c>
      <c r="I62" s="135">
        <v>30</v>
      </c>
      <c r="J62" s="266">
        <v>0</v>
      </c>
      <c r="K62" s="437">
        <v>159.18</v>
      </c>
      <c r="L62" s="277">
        <f t="shared" si="5"/>
        <v>0</v>
      </c>
      <c r="M62" s="487">
        <f t="shared" si="9"/>
        <v>0</v>
      </c>
      <c r="N62" s="241">
        <v>159.18</v>
      </c>
      <c r="O62" s="338">
        <f t="shared" si="10"/>
        <v>159.18</v>
      </c>
      <c r="P62" s="135">
        <v>30</v>
      </c>
      <c r="Q62" s="503">
        <f t="shared" si="14"/>
        <v>0</v>
      </c>
      <c r="R62" s="340" t="str">
        <f t="shared" si="6"/>
        <v>0.00</v>
      </c>
      <c r="T62" s="292"/>
      <c r="U62" s="293"/>
      <c r="V62" s="294"/>
    </row>
    <row r="63" spans="2:22" x14ac:dyDescent="0.25">
      <c r="B63" s="118"/>
      <c r="C63" s="78">
        <v>44</v>
      </c>
      <c r="D63" s="258">
        <v>20636</v>
      </c>
      <c r="E63" s="403" t="str">
        <f t="shared" si="13"/>
        <v>MACHINERY, METERS, ETC.</v>
      </c>
      <c r="F63" s="241">
        <v>224.62</v>
      </c>
      <c r="G63" s="134">
        <f t="shared" si="16"/>
        <v>0</v>
      </c>
      <c r="H63" s="241">
        <v>224.62</v>
      </c>
      <c r="I63" s="135">
        <v>30</v>
      </c>
      <c r="J63" s="266">
        <v>0</v>
      </c>
      <c r="K63" s="437">
        <v>224.62</v>
      </c>
      <c r="L63" s="277">
        <f t="shared" si="5"/>
        <v>0</v>
      </c>
      <c r="M63" s="487">
        <f t="shared" si="9"/>
        <v>0</v>
      </c>
      <c r="N63" s="241">
        <v>224.62</v>
      </c>
      <c r="O63" s="338">
        <f t="shared" si="10"/>
        <v>224.62</v>
      </c>
      <c r="P63" s="135">
        <v>50</v>
      </c>
      <c r="Q63" s="136">
        <f t="shared" si="14"/>
        <v>0</v>
      </c>
      <c r="R63" s="340" t="str">
        <f t="shared" si="6"/>
        <v>0.00</v>
      </c>
      <c r="T63" s="292"/>
      <c r="U63" s="293"/>
      <c r="V63" s="294"/>
    </row>
    <row r="64" spans="2:22" x14ac:dyDescent="0.25">
      <c r="B64" s="118"/>
      <c r="C64" s="78">
        <v>45</v>
      </c>
      <c r="D64" s="258">
        <v>22462</v>
      </c>
      <c r="E64" s="403" t="s">
        <v>81</v>
      </c>
      <c r="F64" s="241">
        <v>825.3</v>
      </c>
      <c r="G64" s="134">
        <f t="shared" si="16"/>
        <v>0</v>
      </c>
      <c r="H64" s="241">
        <v>825.3</v>
      </c>
      <c r="I64" s="135">
        <v>30</v>
      </c>
      <c r="J64" s="266">
        <v>0</v>
      </c>
      <c r="K64" s="437">
        <v>825.3</v>
      </c>
      <c r="L64" s="277">
        <f t="shared" si="5"/>
        <v>0</v>
      </c>
      <c r="M64" s="487">
        <f t="shared" si="9"/>
        <v>0</v>
      </c>
      <c r="N64" s="241">
        <v>825.3</v>
      </c>
      <c r="O64" s="338">
        <f t="shared" si="10"/>
        <v>825.3</v>
      </c>
      <c r="P64" s="135">
        <v>30</v>
      </c>
      <c r="Q64" s="503">
        <f t="shared" si="14"/>
        <v>0</v>
      </c>
      <c r="R64" s="340" t="str">
        <f t="shared" si="6"/>
        <v>0.00</v>
      </c>
      <c r="T64" s="292"/>
      <c r="U64" s="292"/>
      <c r="V64" s="302"/>
    </row>
    <row r="65" spans="2:22" x14ac:dyDescent="0.25">
      <c r="B65" s="118"/>
      <c r="C65" s="78">
        <v>46</v>
      </c>
      <c r="D65" s="258">
        <v>22827</v>
      </c>
      <c r="E65" s="403" t="s">
        <v>81</v>
      </c>
      <c r="F65" s="241">
        <v>87.06</v>
      </c>
      <c r="G65" s="134">
        <f t="shared" si="16"/>
        <v>0</v>
      </c>
      <c r="H65" s="241">
        <v>87.06</v>
      </c>
      <c r="I65" s="135">
        <v>30</v>
      </c>
      <c r="J65" s="266">
        <v>0</v>
      </c>
      <c r="K65" s="437">
        <v>86.81</v>
      </c>
      <c r="L65" s="277">
        <f t="shared" si="5"/>
        <v>0.25</v>
      </c>
      <c r="M65" s="500">
        <f t="shared" si="9"/>
        <v>0.25</v>
      </c>
      <c r="N65" s="241">
        <v>86.81</v>
      </c>
      <c r="O65" s="338">
        <f t="shared" si="10"/>
        <v>87.06</v>
      </c>
      <c r="P65" s="135">
        <v>30</v>
      </c>
      <c r="Q65" s="503">
        <f t="shared" si="14"/>
        <v>0</v>
      </c>
      <c r="R65" s="340" t="str">
        <f t="shared" si="6"/>
        <v>0.00</v>
      </c>
      <c r="T65" s="292"/>
      <c r="U65" s="292"/>
      <c r="V65" s="302"/>
    </row>
    <row r="66" spans="2:22" x14ac:dyDescent="0.25">
      <c r="B66" s="118"/>
      <c r="C66" s="78">
        <v>47</v>
      </c>
      <c r="D66" s="258">
        <v>19175</v>
      </c>
      <c r="E66" s="403" t="s">
        <v>91</v>
      </c>
      <c r="F66" s="241">
        <v>642.32000000000005</v>
      </c>
      <c r="G66" s="134">
        <f t="shared" si="16"/>
        <v>0</v>
      </c>
      <c r="H66" s="241">
        <v>642.32000000000005</v>
      </c>
      <c r="I66" s="135">
        <v>25</v>
      </c>
      <c r="J66" s="266">
        <v>0</v>
      </c>
      <c r="K66" s="437">
        <v>642.32000000000005</v>
      </c>
      <c r="L66" s="277">
        <f t="shared" si="5"/>
        <v>0</v>
      </c>
      <c r="M66" s="487">
        <f t="shared" si="9"/>
        <v>0</v>
      </c>
      <c r="N66" s="241">
        <v>642.32000000000005</v>
      </c>
      <c r="O66" s="338">
        <f t="shared" si="10"/>
        <v>642.32000000000005</v>
      </c>
      <c r="P66" s="135">
        <v>25</v>
      </c>
      <c r="Q66" s="503">
        <f t="shared" si="14"/>
        <v>0</v>
      </c>
      <c r="R66" s="340" t="str">
        <f t="shared" si="6"/>
        <v>0.00</v>
      </c>
      <c r="T66" s="292"/>
      <c r="U66" s="292"/>
      <c r="V66" s="302"/>
    </row>
    <row r="67" spans="2:22" x14ac:dyDescent="0.25">
      <c r="B67" s="118"/>
      <c r="C67" s="78">
        <v>48</v>
      </c>
      <c r="D67" s="258">
        <v>21001</v>
      </c>
      <c r="E67" s="403" t="s">
        <v>91</v>
      </c>
      <c r="F67" s="241">
        <v>79.09</v>
      </c>
      <c r="G67" s="134">
        <f t="shared" si="16"/>
        <v>0</v>
      </c>
      <c r="H67" s="241">
        <v>79.09</v>
      </c>
      <c r="I67" s="135">
        <v>25</v>
      </c>
      <c r="J67" s="266">
        <v>0</v>
      </c>
      <c r="K67" s="437">
        <v>79.09</v>
      </c>
      <c r="L67" s="277">
        <f t="shared" si="5"/>
        <v>0</v>
      </c>
      <c r="M67" s="487">
        <f t="shared" si="9"/>
        <v>0</v>
      </c>
      <c r="N67" s="241">
        <v>79.09</v>
      </c>
      <c r="O67" s="338">
        <f t="shared" si="10"/>
        <v>79.09</v>
      </c>
      <c r="P67" s="135">
        <v>25</v>
      </c>
      <c r="Q67" s="503">
        <f t="shared" si="14"/>
        <v>0</v>
      </c>
      <c r="R67" s="340" t="str">
        <f t="shared" si="6"/>
        <v>0.00</v>
      </c>
      <c r="T67" s="292"/>
      <c r="U67" s="292"/>
      <c r="V67" s="302"/>
    </row>
    <row r="68" spans="2:22" x14ac:dyDescent="0.25">
      <c r="B68" s="118"/>
      <c r="C68" s="78">
        <v>49</v>
      </c>
      <c r="D68" s="258">
        <v>22462</v>
      </c>
      <c r="E68" s="403" t="s">
        <v>92</v>
      </c>
      <c r="F68" s="241">
        <v>1212.17</v>
      </c>
      <c r="G68" s="134">
        <f t="shared" si="16"/>
        <v>0</v>
      </c>
      <c r="H68" s="241">
        <v>1212.17</v>
      </c>
      <c r="I68" s="135">
        <v>25</v>
      </c>
      <c r="J68" s="266">
        <v>0</v>
      </c>
      <c r="K68" s="437">
        <v>1212.17</v>
      </c>
      <c r="L68" s="277">
        <f t="shared" si="5"/>
        <v>0</v>
      </c>
      <c r="M68" s="487">
        <f t="shared" si="9"/>
        <v>0</v>
      </c>
      <c r="N68" s="241">
        <v>1212.17</v>
      </c>
      <c r="O68" s="338">
        <f t="shared" si="10"/>
        <v>1212.17</v>
      </c>
      <c r="P68" s="135">
        <v>25</v>
      </c>
      <c r="Q68" s="503">
        <f t="shared" si="14"/>
        <v>0</v>
      </c>
      <c r="R68" s="340" t="str">
        <f t="shared" si="6"/>
        <v>0.00</v>
      </c>
      <c r="T68" s="292"/>
      <c r="U68" s="292"/>
      <c r="V68" s="302"/>
    </row>
    <row r="69" spans="2:22" x14ac:dyDescent="0.25">
      <c r="B69" s="118"/>
      <c r="C69" s="78">
        <v>50</v>
      </c>
      <c r="D69" s="258">
        <v>3104</v>
      </c>
      <c r="E69" s="403" t="str">
        <f>UPPER("Pipe-galvanized")</f>
        <v>PIPE-GALVANIZED</v>
      </c>
      <c r="F69" s="241">
        <v>3123.58</v>
      </c>
      <c r="G69" s="134">
        <f t="shared" si="15"/>
        <v>0</v>
      </c>
      <c r="H69" s="241">
        <v>3123.58</v>
      </c>
      <c r="I69" s="135">
        <v>25</v>
      </c>
      <c r="J69" s="266">
        <v>0</v>
      </c>
      <c r="K69" s="437">
        <v>3123.58</v>
      </c>
      <c r="L69" s="277">
        <f t="shared" si="5"/>
        <v>0</v>
      </c>
      <c r="M69" s="487">
        <f t="shared" si="9"/>
        <v>0</v>
      </c>
      <c r="N69" s="241">
        <v>3123.58</v>
      </c>
      <c r="O69" s="338">
        <f t="shared" si="10"/>
        <v>3123.58</v>
      </c>
      <c r="P69" s="135">
        <v>25</v>
      </c>
      <c r="Q69" s="503">
        <f t="shared" si="14"/>
        <v>0</v>
      </c>
      <c r="R69" s="340" t="str">
        <f t="shared" si="6"/>
        <v>0.00</v>
      </c>
      <c r="T69" s="292"/>
      <c r="U69" s="292"/>
      <c r="V69" s="302"/>
    </row>
    <row r="70" spans="2:22" x14ac:dyDescent="0.25">
      <c r="B70" s="118"/>
      <c r="C70" s="78">
        <v>51</v>
      </c>
      <c r="D70" s="258">
        <v>17348</v>
      </c>
      <c r="E70" s="403" t="s">
        <v>92</v>
      </c>
      <c r="F70" s="241">
        <v>725</v>
      </c>
      <c r="G70" s="134">
        <f t="shared" si="15"/>
        <v>0</v>
      </c>
      <c r="H70" s="241">
        <v>725</v>
      </c>
      <c r="I70" s="135">
        <v>25</v>
      </c>
      <c r="J70" s="266">
        <v>0</v>
      </c>
      <c r="K70" s="437">
        <v>725</v>
      </c>
      <c r="L70" s="277">
        <f t="shared" si="5"/>
        <v>0</v>
      </c>
      <c r="M70" s="487">
        <f t="shared" si="9"/>
        <v>0</v>
      </c>
      <c r="N70" s="241">
        <v>725</v>
      </c>
      <c r="O70" s="338">
        <f t="shared" si="10"/>
        <v>725</v>
      </c>
      <c r="P70" s="135">
        <v>25</v>
      </c>
      <c r="Q70" s="503">
        <f t="shared" si="14"/>
        <v>0</v>
      </c>
      <c r="R70" s="340" t="str">
        <f t="shared" si="6"/>
        <v>0.00</v>
      </c>
      <c r="T70" s="292"/>
      <c r="U70" s="292"/>
      <c r="V70" s="302"/>
    </row>
    <row r="71" spans="2:22" x14ac:dyDescent="0.25">
      <c r="B71" s="127"/>
      <c r="C71" s="78">
        <v>52</v>
      </c>
      <c r="D71" s="258">
        <v>22462</v>
      </c>
      <c r="E71" s="403" t="s">
        <v>92</v>
      </c>
      <c r="F71" s="241">
        <v>679.2</v>
      </c>
      <c r="G71" s="134">
        <f t="shared" si="15"/>
        <v>0</v>
      </c>
      <c r="H71" s="241">
        <v>679.2</v>
      </c>
      <c r="I71" s="135">
        <v>25</v>
      </c>
      <c r="J71" s="266">
        <v>0</v>
      </c>
      <c r="K71" s="437">
        <v>679.2</v>
      </c>
      <c r="L71" s="277">
        <f t="shared" si="5"/>
        <v>0</v>
      </c>
      <c r="M71" s="487">
        <f t="shared" si="9"/>
        <v>0</v>
      </c>
      <c r="N71" s="241">
        <v>679.2</v>
      </c>
      <c r="O71" s="338">
        <f t="shared" si="10"/>
        <v>679.2</v>
      </c>
      <c r="P71" s="135">
        <v>25</v>
      </c>
      <c r="Q71" s="503">
        <f t="shared" si="14"/>
        <v>0</v>
      </c>
      <c r="R71" s="340" t="str">
        <f t="shared" si="6"/>
        <v>0.00</v>
      </c>
      <c r="T71" s="292"/>
      <c r="U71" s="292"/>
      <c r="V71" s="302"/>
    </row>
    <row r="72" spans="2:22" x14ac:dyDescent="0.25">
      <c r="B72" s="118"/>
      <c r="C72" s="78">
        <v>53</v>
      </c>
      <c r="D72" s="258">
        <v>25749</v>
      </c>
      <c r="E72" s="403" t="s">
        <v>92</v>
      </c>
      <c r="F72" s="241">
        <v>664.2</v>
      </c>
      <c r="G72" s="134">
        <f t="shared" si="15"/>
        <v>0</v>
      </c>
      <c r="H72" s="241">
        <v>664.2</v>
      </c>
      <c r="I72" s="135">
        <v>25</v>
      </c>
      <c r="J72" s="266">
        <v>0</v>
      </c>
      <c r="K72" s="437">
        <v>664.2</v>
      </c>
      <c r="L72" s="277">
        <f t="shared" si="5"/>
        <v>0</v>
      </c>
      <c r="M72" s="487">
        <f t="shared" si="9"/>
        <v>0</v>
      </c>
      <c r="N72" s="241">
        <v>664.2</v>
      </c>
      <c r="O72" s="338">
        <f t="shared" si="10"/>
        <v>664.2</v>
      </c>
      <c r="P72" s="135">
        <v>25</v>
      </c>
      <c r="Q72" s="503">
        <f t="shared" si="14"/>
        <v>0</v>
      </c>
      <c r="R72" s="340" t="str">
        <f t="shared" si="6"/>
        <v>0.00</v>
      </c>
      <c r="T72" s="292"/>
      <c r="U72" s="292"/>
      <c r="V72" s="302"/>
    </row>
    <row r="73" spans="2:22" x14ac:dyDescent="0.25">
      <c r="B73" s="118"/>
      <c r="C73" s="78">
        <v>54</v>
      </c>
      <c r="D73" s="258">
        <v>26480</v>
      </c>
      <c r="E73" s="403" t="s">
        <v>92</v>
      </c>
      <c r="F73" s="241">
        <v>2185.3200000000002</v>
      </c>
      <c r="G73" s="134">
        <f t="shared" si="15"/>
        <v>0</v>
      </c>
      <c r="H73" s="241">
        <v>2185.3200000000002</v>
      </c>
      <c r="I73" s="135">
        <v>25</v>
      </c>
      <c r="J73" s="266">
        <v>0</v>
      </c>
      <c r="K73" s="437">
        <v>2185.3200000000002</v>
      </c>
      <c r="L73" s="277">
        <f t="shared" si="5"/>
        <v>0</v>
      </c>
      <c r="M73" s="487">
        <f t="shared" si="9"/>
        <v>0</v>
      </c>
      <c r="N73" s="241">
        <v>2185.3200000000002</v>
      </c>
      <c r="O73" s="338">
        <f t="shared" si="10"/>
        <v>2185.3200000000002</v>
      </c>
      <c r="P73" s="135">
        <v>25</v>
      </c>
      <c r="Q73" s="503">
        <f t="shared" si="14"/>
        <v>0</v>
      </c>
      <c r="R73" s="340" t="str">
        <f t="shared" si="6"/>
        <v>0.00</v>
      </c>
      <c r="T73" s="292"/>
      <c r="U73" s="292"/>
      <c r="V73" s="302"/>
    </row>
    <row r="74" spans="2:22" x14ac:dyDescent="0.25">
      <c r="B74" s="127"/>
      <c r="C74" s="78">
        <v>55</v>
      </c>
      <c r="D74" s="258">
        <v>3104</v>
      </c>
      <c r="E74" s="403" t="s">
        <v>93</v>
      </c>
      <c r="F74" s="241">
        <v>2331.2600000000002</v>
      </c>
      <c r="G74" s="134">
        <f t="shared" si="15"/>
        <v>0</v>
      </c>
      <c r="H74" s="241">
        <v>2331.2600000000002</v>
      </c>
      <c r="I74" s="135">
        <v>65</v>
      </c>
      <c r="J74" s="266">
        <v>0</v>
      </c>
      <c r="K74" s="437">
        <v>2331.2600000000002</v>
      </c>
      <c r="L74" s="277">
        <f t="shared" si="5"/>
        <v>0</v>
      </c>
      <c r="M74" s="487">
        <f t="shared" si="9"/>
        <v>0</v>
      </c>
      <c r="N74" s="241">
        <v>2331.2600000000002</v>
      </c>
      <c r="O74" s="338">
        <f t="shared" si="10"/>
        <v>2331.2600000000002</v>
      </c>
      <c r="P74" s="135">
        <v>65</v>
      </c>
      <c r="Q74" s="503">
        <f t="shared" si="14"/>
        <v>0</v>
      </c>
      <c r="R74" s="340" t="str">
        <f t="shared" si="6"/>
        <v>0.00</v>
      </c>
      <c r="T74" s="292"/>
      <c r="U74" s="292"/>
      <c r="V74" s="302"/>
    </row>
    <row r="75" spans="2:22" x14ac:dyDescent="0.25">
      <c r="B75" s="118"/>
      <c r="C75" s="78">
        <v>56</v>
      </c>
      <c r="D75" s="258">
        <v>7852</v>
      </c>
      <c r="E75" s="403" t="s">
        <v>93</v>
      </c>
      <c r="F75" s="241">
        <v>1523.7</v>
      </c>
      <c r="G75" s="134">
        <f t="shared" si="15"/>
        <v>0</v>
      </c>
      <c r="H75" s="241">
        <v>1523.7</v>
      </c>
      <c r="I75" s="135">
        <v>65</v>
      </c>
      <c r="J75" s="266">
        <v>0</v>
      </c>
      <c r="K75" s="437">
        <v>1523.7</v>
      </c>
      <c r="L75" s="277">
        <f t="shared" si="5"/>
        <v>0</v>
      </c>
      <c r="M75" s="487">
        <f t="shared" si="9"/>
        <v>0</v>
      </c>
      <c r="N75" s="241">
        <v>1523.7</v>
      </c>
      <c r="O75" s="338">
        <f t="shared" si="10"/>
        <v>1523.7</v>
      </c>
      <c r="P75" s="135">
        <v>65</v>
      </c>
      <c r="Q75" s="503">
        <f t="shared" si="14"/>
        <v>0</v>
      </c>
      <c r="R75" s="340" t="str">
        <f t="shared" si="6"/>
        <v>0.00</v>
      </c>
      <c r="T75" s="292"/>
      <c r="U75" s="292"/>
      <c r="V75" s="302"/>
    </row>
    <row r="76" spans="2:22" s="529" customFormat="1" x14ac:dyDescent="0.25">
      <c r="B76" s="513"/>
      <c r="C76" s="514">
        <v>57</v>
      </c>
      <c r="D76" s="515">
        <v>3104</v>
      </c>
      <c r="E76" s="516" t="s">
        <v>289</v>
      </c>
      <c r="F76" s="517">
        <v>3237.87</v>
      </c>
      <c r="G76" s="533">
        <f>H76-F76</f>
        <v>0</v>
      </c>
      <c r="H76" s="517">
        <v>3237.87</v>
      </c>
      <c r="I76" s="526">
        <v>75</v>
      </c>
      <c r="J76" s="534">
        <v>0</v>
      </c>
      <c r="K76" s="535">
        <v>3237.87</v>
      </c>
      <c r="L76" s="536">
        <f>F76-K76</f>
        <v>0</v>
      </c>
      <c r="M76" s="523">
        <f>O76-K76</f>
        <v>0</v>
      </c>
      <c r="N76" s="517">
        <v>3237.87</v>
      </c>
      <c r="O76" s="525">
        <f>IF(N76+((H76-N76)/(ABS(P76*365-($N$10-D76))))*(($F$7-$N$10))&gt;=H76,H76,N76+((H76-N76)/(P76*365-($N$10-D76)))*(($F$7-$N$10)))</f>
        <v>3237.87</v>
      </c>
      <c r="P76" s="526">
        <v>0</v>
      </c>
      <c r="Q76" s="527">
        <f>IF((($F$7)-D76)&gt;=P76*365,0,P76*365-(($F$7)-D76))/365</f>
        <v>0</v>
      </c>
      <c r="R76" s="528" t="str">
        <f>IF(Q76&lt;1,(IF(Q76=0,"0.00",H76-O76)),(H76-N76)/((P76*365-(($F$7)-D76))/365))</f>
        <v>0.00</v>
      </c>
      <c r="T76" s="530"/>
      <c r="U76" s="530"/>
      <c r="V76" s="531"/>
    </row>
    <row r="77" spans="2:22" s="529" customFormat="1" x14ac:dyDescent="0.25">
      <c r="B77" s="513"/>
      <c r="C77" s="514">
        <v>58</v>
      </c>
      <c r="D77" s="515">
        <v>7852</v>
      </c>
      <c r="E77" s="516" t="s">
        <v>285</v>
      </c>
      <c r="F77" s="517">
        <v>2666.48</v>
      </c>
      <c r="G77" s="518"/>
      <c r="H77" s="517">
        <v>2666.48</v>
      </c>
      <c r="I77" s="519">
        <v>75</v>
      </c>
      <c r="J77" s="520">
        <v>0</v>
      </c>
      <c r="K77" s="521">
        <v>2648.48</v>
      </c>
      <c r="L77" s="522"/>
      <c r="M77" s="523">
        <f>O77-K77</f>
        <v>-3.312909402398418</v>
      </c>
      <c r="N77" s="524">
        <v>2648.48</v>
      </c>
      <c r="O77" s="525">
        <f>IF(N77+((H77-N77)/(ABS(P77*365-($N$10-D77))))*(($F$7-$N$10))&gt;=H77,H77,N77+((H77-N77)/(P77*365-($N$10-D77)))*(($F$7-$N$10)))</f>
        <v>2645.1670905976016</v>
      </c>
      <c r="P77" s="526">
        <v>0</v>
      </c>
      <c r="Q77" s="527">
        <f>IF((($F$7)-D77)&gt;=P77*365,0,P77*365-(($F$7)-D77))/365</f>
        <v>0</v>
      </c>
      <c r="R77" s="528" t="str">
        <f>IF(Q77&lt;1,(IF(Q77=0,"0.00",H77-O77)),(H77-N77)/((P77*365-(($F$7)-D77))/365))</f>
        <v>0.00</v>
      </c>
      <c r="T77" s="530"/>
      <c r="U77" s="530"/>
      <c r="V77" s="531"/>
    </row>
    <row r="78" spans="2:22" s="529" customFormat="1" x14ac:dyDescent="0.25">
      <c r="B78" s="513"/>
      <c r="C78" s="514">
        <v>59</v>
      </c>
      <c r="D78" s="532">
        <v>12600</v>
      </c>
      <c r="E78" s="516" t="s">
        <v>286</v>
      </c>
      <c r="F78" s="517">
        <v>201.67</v>
      </c>
      <c r="G78" s="518"/>
      <c r="H78" s="517">
        <v>201.67</v>
      </c>
      <c r="I78" s="519">
        <v>99</v>
      </c>
      <c r="J78" s="520">
        <v>2.02</v>
      </c>
      <c r="K78" s="521">
        <v>166.75</v>
      </c>
      <c r="L78" s="522"/>
      <c r="M78" s="523">
        <f>O78-K78</f>
        <v>1.8522746086017605</v>
      </c>
      <c r="N78" s="524">
        <v>136.44999999999999</v>
      </c>
      <c r="O78" s="525">
        <f>IF(N78+((H78-N78)/(ABS(P78*365-($N$10-D78))))*(($F$7-$N$10))&gt;=H78,H78,N78+((H78-N78)/(P78*365-($N$10-D78)))*(($F$7-$N$10)))</f>
        <v>168.60227460860176</v>
      </c>
      <c r="P78" s="526">
        <v>99</v>
      </c>
      <c r="Q78" s="527">
        <f>IF((($F$7)-D78)&gt;=P78*365,0,P78*365-(($F$7)-D78))/365</f>
        <v>15.438356164383562</v>
      </c>
      <c r="R78" s="528">
        <f>IF(Q78&lt;1,(IF(Q78=0,"0.00",H78-O78)),(H78-N78)/((P78*365-(($F$7)-D78))/365))</f>
        <v>4.224543034605146</v>
      </c>
      <c r="T78" s="530"/>
      <c r="U78" s="530"/>
      <c r="V78" s="531"/>
    </row>
    <row r="79" spans="2:22" x14ac:dyDescent="0.25">
      <c r="B79" s="232"/>
      <c r="C79" s="78">
        <v>60</v>
      </c>
      <c r="D79" s="258">
        <v>12600</v>
      </c>
      <c r="E79" s="403" t="str">
        <f>UPPER("Furniture and fixtures")</f>
        <v>FURNITURE AND FIXTURES</v>
      </c>
      <c r="F79" s="241">
        <v>80.55</v>
      </c>
      <c r="G79" s="134">
        <f t="shared" ref="G79:G198" si="17">H79-F79</f>
        <v>0</v>
      </c>
      <c r="H79" s="241">
        <v>80.55</v>
      </c>
      <c r="I79" s="135">
        <v>10</v>
      </c>
      <c r="J79" s="266">
        <v>0</v>
      </c>
      <c r="K79" s="437">
        <v>80.55</v>
      </c>
      <c r="L79" s="277">
        <f t="shared" si="5"/>
        <v>0</v>
      </c>
      <c r="M79" s="487">
        <f t="shared" si="9"/>
        <v>0</v>
      </c>
      <c r="N79" s="241">
        <v>80.55</v>
      </c>
      <c r="O79" s="338">
        <f t="shared" si="10"/>
        <v>80.55</v>
      </c>
      <c r="P79" s="135">
        <v>10</v>
      </c>
      <c r="Q79" s="503">
        <f t="shared" si="14"/>
        <v>0</v>
      </c>
      <c r="R79" s="340" t="str">
        <f t="shared" si="6"/>
        <v>0.00</v>
      </c>
      <c r="T79" s="292"/>
      <c r="U79" s="292"/>
      <c r="V79" s="302"/>
    </row>
    <row r="80" spans="2:22" s="568" customFormat="1" x14ac:dyDescent="0.25">
      <c r="B80" s="556"/>
      <c r="C80" s="557">
        <v>61</v>
      </c>
      <c r="D80" s="558">
        <v>20636</v>
      </c>
      <c r="E80" s="559" t="s">
        <v>295</v>
      </c>
      <c r="F80" s="560">
        <v>234.81</v>
      </c>
      <c r="G80" s="561">
        <f t="shared" si="17"/>
        <v>0</v>
      </c>
      <c r="H80" s="560">
        <v>234.81</v>
      </c>
      <c r="I80" s="562">
        <v>5</v>
      </c>
      <c r="J80" s="563">
        <v>0</v>
      </c>
      <c r="K80" s="564">
        <v>234.81</v>
      </c>
      <c r="L80" s="565">
        <f t="shared" si="5"/>
        <v>0</v>
      </c>
      <c r="M80" s="548">
        <f t="shared" si="9"/>
        <v>0</v>
      </c>
      <c r="N80" s="560">
        <v>234.81</v>
      </c>
      <c r="O80" s="549">
        <f t="shared" si="10"/>
        <v>234.81</v>
      </c>
      <c r="P80" s="562">
        <v>5</v>
      </c>
      <c r="Q80" s="566">
        <f t="shared" si="14"/>
        <v>0</v>
      </c>
      <c r="R80" s="567" t="str">
        <f t="shared" si="6"/>
        <v>0.00</v>
      </c>
      <c r="T80" s="569"/>
      <c r="U80" s="569"/>
      <c r="V80" s="570"/>
    </row>
    <row r="81" spans="2:22" x14ac:dyDescent="0.25">
      <c r="B81" s="232"/>
      <c r="C81" s="78">
        <v>62</v>
      </c>
      <c r="D81" s="258">
        <v>22462</v>
      </c>
      <c r="E81" s="403" t="str">
        <f>UPPER("Water testing")</f>
        <v>WATER TESTING</v>
      </c>
      <c r="F81" s="241">
        <v>75.95</v>
      </c>
      <c r="G81" s="134">
        <f t="shared" si="17"/>
        <v>0</v>
      </c>
      <c r="H81" s="241">
        <v>75.95</v>
      </c>
      <c r="I81" s="135">
        <v>10</v>
      </c>
      <c r="J81" s="266">
        <v>0</v>
      </c>
      <c r="K81" s="437">
        <v>75.95</v>
      </c>
      <c r="L81" s="277">
        <f t="shared" si="5"/>
        <v>0</v>
      </c>
      <c r="M81" s="487">
        <f t="shared" si="9"/>
        <v>0</v>
      </c>
      <c r="N81" s="241">
        <v>75.95</v>
      </c>
      <c r="O81" s="338">
        <f t="shared" si="10"/>
        <v>75.95</v>
      </c>
      <c r="P81" s="135">
        <v>10</v>
      </c>
      <c r="Q81" s="503">
        <f t="shared" si="14"/>
        <v>0</v>
      </c>
      <c r="R81" s="340" t="str">
        <f t="shared" si="6"/>
        <v>0.00</v>
      </c>
      <c r="T81" s="292"/>
      <c r="U81" s="292"/>
      <c r="V81" s="302"/>
    </row>
    <row r="82" spans="2:22" x14ac:dyDescent="0.25">
      <c r="B82" s="232"/>
      <c r="C82" s="78">
        <v>63</v>
      </c>
      <c r="D82" s="258">
        <v>22462</v>
      </c>
      <c r="E82" s="403" t="s">
        <v>94</v>
      </c>
      <c r="F82" s="241">
        <v>214.4</v>
      </c>
      <c r="G82" s="134">
        <f t="shared" si="17"/>
        <v>0</v>
      </c>
      <c r="H82" s="241">
        <v>214.4</v>
      </c>
      <c r="I82" s="135">
        <v>10</v>
      </c>
      <c r="J82" s="266">
        <v>0</v>
      </c>
      <c r="K82" s="437">
        <v>214.4</v>
      </c>
      <c r="L82" s="277">
        <f t="shared" si="5"/>
        <v>0</v>
      </c>
      <c r="M82" s="487">
        <f t="shared" si="9"/>
        <v>0</v>
      </c>
      <c r="N82" s="241">
        <v>214.4</v>
      </c>
      <c r="O82" s="338">
        <f t="shared" si="10"/>
        <v>214.4</v>
      </c>
      <c r="P82" s="135">
        <v>10</v>
      </c>
      <c r="Q82" s="503">
        <f t="shared" si="14"/>
        <v>0</v>
      </c>
      <c r="R82" s="340" t="str">
        <f t="shared" si="6"/>
        <v>0.00</v>
      </c>
      <c r="T82" s="292"/>
      <c r="U82" s="292"/>
      <c r="V82" s="302"/>
    </row>
    <row r="83" spans="2:22" s="568" customFormat="1" x14ac:dyDescent="0.25">
      <c r="B83" s="556"/>
      <c r="C83" s="557">
        <v>64</v>
      </c>
      <c r="D83" s="558">
        <v>22827</v>
      </c>
      <c r="E83" s="559" t="s">
        <v>296</v>
      </c>
      <c r="F83" s="560">
        <v>130</v>
      </c>
      <c r="G83" s="561">
        <f t="shared" si="17"/>
        <v>0</v>
      </c>
      <c r="H83" s="560">
        <v>130</v>
      </c>
      <c r="I83" s="562">
        <v>10</v>
      </c>
      <c r="J83" s="563">
        <v>0</v>
      </c>
      <c r="K83" s="564">
        <v>130</v>
      </c>
      <c r="L83" s="565">
        <f t="shared" si="5"/>
        <v>0</v>
      </c>
      <c r="M83" s="548">
        <f t="shared" si="9"/>
        <v>0</v>
      </c>
      <c r="N83" s="560">
        <v>130</v>
      </c>
      <c r="O83" s="549">
        <f t="shared" si="10"/>
        <v>130</v>
      </c>
      <c r="P83" s="562">
        <v>10</v>
      </c>
      <c r="Q83" s="566">
        <f t="shared" si="14"/>
        <v>0</v>
      </c>
      <c r="R83" s="567" t="str">
        <f t="shared" si="6"/>
        <v>0.00</v>
      </c>
      <c r="T83" s="569"/>
      <c r="U83" s="569"/>
      <c r="V83" s="570"/>
    </row>
    <row r="84" spans="2:22" s="552" customFormat="1" x14ac:dyDescent="0.25">
      <c r="B84" s="571"/>
      <c r="C84" s="539">
        <v>65</v>
      </c>
      <c r="D84" s="540">
        <v>23923</v>
      </c>
      <c r="E84" s="541" t="s">
        <v>238</v>
      </c>
      <c r="F84" s="542">
        <v>412.8</v>
      </c>
      <c r="G84" s="543">
        <f t="shared" si="17"/>
        <v>-412.8</v>
      </c>
      <c r="H84" s="542">
        <v>0</v>
      </c>
      <c r="I84" s="544">
        <v>30</v>
      </c>
      <c r="J84" s="545">
        <v>0</v>
      </c>
      <c r="K84" s="546">
        <v>344.47</v>
      </c>
      <c r="L84" s="547">
        <f t="shared" si="5"/>
        <v>68.329999999999984</v>
      </c>
      <c r="M84" s="548">
        <f t="shared" si="9"/>
        <v>-344.47</v>
      </c>
      <c r="N84" s="542">
        <v>0</v>
      </c>
      <c r="O84" s="549">
        <f t="shared" si="10"/>
        <v>0</v>
      </c>
      <c r="P84" s="544">
        <v>30</v>
      </c>
      <c r="Q84" s="550">
        <f t="shared" si="14"/>
        <v>0</v>
      </c>
      <c r="R84" s="551" t="str">
        <f t="shared" si="6"/>
        <v>0.00</v>
      </c>
      <c r="T84" s="553"/>
      <c r="U84" s="553"/>
      <c r="V84" s="572"/>
    </row>
    <row r="85" spans="2:22" x14ac:dyDescent="0.25">
      <c r="B85" s="232"/>
      <c r="C85" s="78">
        <v>66</v>
      </c>
      <c r="D85" s="258">
        <v>24653</v>
      </c>
      <c r="E85" s="403" t="s">
        <v>81</v>
      </c>
      <c r="F85" s="241">
        <v>455.11</v>
      </c>
      <c r="G85" s="134">
        <f t="shared" si="17"/>
        <v>0</v>
      </c>
      <c r="H85" s="241">
        <v>455.11</v>
      </c>
      <c r="I85" s="135">
        <v>30</v>
      </c>
      <c r="J85" s="266">
        <v>0</v>
      </c>
      <c r="K85" s="437">
        <v>455.11</v>
      </c>
      <c r="L85" s="277">
        <f t="shared" si="5"/>
        <v>0</v>
      </c>
      <c r="M85" s="487">
        <f t="shared" si="9"/>
        <v>0</v>
      </c>
      <c r="N85" s="241">
        <v>455.11</v>
      </c>
      <c r="O85" s="338">
        <f t="shared" si="10"/>
        <v>455.11</v>
      </c>
      <c r="P85" s="135">
        <v>30</v>
      </c>
      <c r="Q85" s="503">
        <f t="shared" si="14"/>
        <v>0</v>
      </c>
      <c r="R85" s="340" t="str">
        <f t="shared" si="6"/>
        <v>0.00</v>
      </c>
      <c r="T85" s="292"/>
      <c r="U85" s="292"/>
      <c r="V85" s="302"/>
    </row>
    <row r="86" spans="2:22" x14ac:dyDescent="0.25">
      <c r="B86" s="232"/>
      <c r="C86" s="78">
        <v>67</v>
      </c>
      <c r="D86" s="258">
        <v>25019</v>
      </c>
      <c r="E86" s="403" t="s">
        <v>81</v>
      </c>
      <c r="F86" s="241">
        <v>406.45</v>
      </c>
      <c r="G86" s="134">
        <f t="shared" si="17"/>
        <v>0</v>
      </c>
      <c r="H86" s="241">
        <v>406.45</v>
      </c>
      <c r="I86" s="135">
        <v>30</v>
      </c>
      <c r="J86" s="266">
        <v>0</v>
      </c>
      <c r="K86" s="437">
        <v>406.45</v>
      </c>
      <c r="L86" s="277">
        <f t="shared" si="5"/>
        <v>0</v>
      </c>
      <c r="M86" s="487">
        <f t="shared" si="9"/>
        <v>0</v>
      </c>
      <c r="N86" s="241">
        <v>406.45</v>
      </c>
      <c r="O86" s="338">
        <f t="shared" si="10"/>
        <v>406.45</v>
      </c>
      <c r="P86" s="135">
        <v>30</v>
      </c>
      <c r="Q86" s="503">
        <f t="shared" si="14"/>
        <v>0</v>
      </c>
      <c r="R86" s="340" t="str">
        <f t="shared" si="6"/>
        <v>0.00</v>
      </c>
      <c r="T86" s="292"/>
      <c r="U86" s="292"/>
      <c r="V86" s="302"/>
    </row>
    <row r="87" spans="2:22" s="529" customFormat="1" x14ac:dyDescent="0.25">
      <c r="B87" s="537"/>
      <c r="C87" s="514">
        <v>68</v>
      </c>
      <c r="D87" s="515">
        <v>25019</v>
      </c>
      <c r="E87" s="516" t="s">
        <v>286</v>
      </c>
      <c r="F87" s="517">
        <v>100</v>
      </c>
      <c r="G87" s="518"/>
      <c r="H87" s="517">
        <v>100</v>
      </c>
      <c r="I87" s="519">
        <v>50</v>
      </c>
      <c r="J87" s="520">
        <v>2</v>
      </c>
      <c r="K87" s="521">
        <v>100</v>
      </c>
      <c r="L87" s="522"/>
      <c r="M87" s="523">
        <f t="shared" si="9"/>
        <v>-0.89766288951841489</v>
      </c>
      <c r="N87" s="524">
        <v>70</v>
      </c>
      <c r="O87" s="525">
        <f t="shared" si="10"/>
        <v>99.102337110481585</v>
      </c>
      <c r="P87" s="526">
        <v>50</v>
      </c>
      <c r="Q87" s="527">
        <f t="shared" si="14"/>
        <v>0.46301369863013697</v>
      </c>
      <c r="R87" s="528">
        <f t="shared" si="6"/>
        <v>0.89766288951841489</v>
      </c>
      <c r="T87" s="530"/>
      <c r="U87" s="530"/>
      <c r="V87" s="531"/>
    </row>
    <row r="88" spans="2:22" s="529" customFormat="1" x14ac:dyDescent="0.25">
      <c r="B88" s="537"/>
      <c r="C88" s="514">
        <v>69</v>
      </c>
      <c r="D88" s="515">
        <v>25019</v>
      </c>
      <c r="E88" s="516" t="s">
        <v>287</v>
      </c>
      <c r="F88" s="517">
        <v>702.73</v>
      </c>
      <c r="G88" s="518"/>
      <c r="H88" s="517">
        <v>702.73</v>
      </c>
      <c r="I88" s="519">
        <v>50</v>
      </c>
      <c r="J88" s="520">
        <v>14.05</v>
      </c>
      <c r="K88" s="521">
        <v>702.5</v>
      </c>
      <c r="L88" s="522"/>
      <c r="M88" s="523">
        <f t="shared" si="9"/>
        <v>-6.0829638810198503</v>
      </c>
      <c r="N88" s="524">
        <v>491.75</v>
      </c>
      <c r="O88" s="525">
        <f t="shared" si="10"/>
        <v>696.41703611898015</v>
      </c>
      <c r="P88" s="526">
        <v>50</v>
      </c>
      <c r="Q88" s="527">
        <f t="shared" si="14"/>
        <v>0.46301369863013697</v>
      </c>
      <c r="R88" s="528">
        <f t="shared" si="6"/>
        <v>6.3129638810198685</v>
      </c>
      <c r="T88" s="530"/>
      <c r="U88" s="530"/>
      <c r="V88" s="531"/>
    </row>
    <row r="89" spans="2:22" s="80" customFormat="1" x14ac:dyDescent="0.25">
      <c r="B89" s="232"/>
      <c r="C89" s="78">
        <v>70</v>
      </c>
      <c r="D89" s="258">
        <v>25019</v>
      </c>
      <c r="E89" s="403" t="s">
        <v>95</v>
      </c>
      <c r="F89" s="241">
        <v>632.45000000000005</v>
      </c>
      <c r="G89" s="134">
        <f t="shared" si="17"/>
        <v>0</v>
      </c>
      <c r="H89" s="241">
        <v>632.45000000000005</v>
      </c>
      <c r="I89" s="135">
        <v>50</v>
      </c>
      <c r="J89" s="177">
        <v>12.6</v>
      </c>
      <c r="K89" s="437">
        <v>632.45000000000005</v>
      </c>
      <c r="L89" s="277">
        <f t="shared" si="5"/>
        <v>0</v>
      </c>
      <c r="M89" s="487">
        <f t="shared" si="9"/>
        <v>-77.916143256614305</v>
      </c>
      <c r="N89" s="241">
        <v>442.75</v>
      </c>
      <c r="O89" s="338">
        <f t="shared" si="10"/>
        <v>554.53385674338574</v>
      </c>
      <c r="P89" s="135">
        <v>60</v>
      </c>
      <c r="Q89" s="136">
        <f t="shared" ref="Q89:Q122" si="18">IF((($F$7)-D89)&gt;=P89*365,0,P89*365-(($F$7)-D89))/365</f>
        <v>10.463013698630137</v>
      </c>
      <c r="R89" s="340">
        <f t="shared" si="6"/>
        <v>18.130531552762509</v>
      </c>
      <c r="T89" s="300"/>
      <c r="U89" s="300"/>
      <c r="V89" s="303"/>
    </row>
    <row r="90" spans="2:22" s="529" customFormat="1" x14ac:dyDescent="0.25">
      <c r="B90" s="537"/>
      <c r="C90" s="514">
        <v>71</v>
      </c>
      <c r="D90" s="515">
        <v>25019</v>
      </c>
      <c r="E90" s="516" t="s">
        <v>90</v>
      </c>
      <c r="F90" s="517">
        <v>13351.8</v>
      </c>
      <c r="G90" s="518">
        <f>H90-F90</f>
        <v>0</v>
      </c>
      <c r="H90" s="517">
        <v>13351.8</v>
      </c>
      <c r="I90" s="519">
        <v>50</v>
      </c>
      <c r="J90" s="520">
        <v>266.83999999999997</v>
      </c>
      <c r="K90" s="521">
        <v>13351.8</v>
      </c>
      <c r="L90" s="536">
        <f>F90-K90</f>
        <v>0</v>
      </c>
      <c r="M90" s="523">
        <f t="shared" si="9"/>
        <v>-119.84996458923524</v>
      </c>
      <c r="N90" s="517">
        <v>9346.4</v>
      </c>
      <c r="O90" s="525">
        <f t="shared" si="10"/>
        <v>13231.950035410764</v>
      </c>
      <c r="P90" s="526">
        <v>50</v>
      </c>
      <c r="Q90" s="527">
        <f t="shared" si="18"/>
        <v>0.46301369863013697</v>
      </c>
      <c r="R90" s="528">
        <f>IF(Q90&lt;1,(IF(Q90=0,"0.00",H90-O90)),(H90-N90)/((P90*365-(($F$7)-D90))/365))</f>
        <v>119.84996458923524</v>
      </c>
      <c r="T90" s="530"/>
      <c r="U90" s="530"/>
      <c r="V90" s="531"/>
    </row>
    <row r="91" spans="2:22" x14ac:dyDescent="0.25">
      <c r="B91" s="232"/>
      <c r="C91" s="78">
        <v>72</v>
      </c>
      <c r="D91" s="258">
        <v>25019</v>
      </c>
      <c r="E91" s="403" t="s">
        <v>96</v>
      </c>
      <c r="F91" s="241">
        <v>15213.02</v>
      </c>
      <c r="G91" s="134">
        <f t="shared" si="17"/>
        <v>0</v>
      </c>
      <c r="H91" s="241">
        <v>15213.02</v>
      </c>
      <c r="I91" s="135">
        <v>50</v>
      </c>
      <c r="J91" s="177">
        <f t="shared" ref="J91:J118" si="19">F91/I91</f>
        <v>304.2604</v>
      </c>
      <c r="K91" s="437">
        <v>14793.31</v>
      </c>
      <c r="L91" s="277">
        <f t="shared" ref="L91:L155" si="20">F91-K91</f>
        <v>419.71000000000095</v>
      </c>
      <c r="M91" s="487">
        <f t="shared" si="9"/>
        <v>-1627.2255334480524</v>
      </c>
      <c r="N91" s="241">
        <v>10229.41</v>
      </c>
      <c r="O91" s="338">
        <f t="shared" si="10"/>
        <v>13166.084466551947</v>
      </c>
      <c r="P91" s="135">
        <v>60</v>
      </c>
      <c r="Q91" s="136">
        <f t="shared" si="18"/>
        <v>10.463013698630137</v>
      </c>
      <c r="R91" s="340">
        <f t="shared" ref="R91:R155" si="21">IF(Q91&lt;1,(IF(Q91=0,"0.00",H91-O91)),(H91-N91)/((P91*365-(($F$7)-D91))/365))</f>
        <v>476.30731866980892</v>
      </c>
      <c r="T91" s="292"/>
      <c r="U91" s="292"/>
      <c r="V91" s="302"/>
    </row>
    <row r="92" spans="2:22" x14ac:dyDescent="0.25">
      <c r="B92" s="232"/>
      <c r="C92" s="78">
        <v>73</v>
      </c>
      <c r="D92" s="258">
        <v>25384</v>
      </c>
      <c r="E92" s="403" t="s">
        <v>96</v>
      </c>
      <c r="F92" s="241">
        <v>1314.2</v>
      </c>
      <c r="G92" s="134">
        <f t="shared" si="17"/>
        <v>0</v>
      </c>
      <c r="H92" s="241">
        <v>1314.2</v>
      </c>
      <c r="I92" s="135">
        <v>50</v>
      </c>
      <c r="J92" s="177">
        <f t="shared" si="19"/>
        <v>26.284000000000002</v>
      </c>
      <c r="K92" s="437">
        <v>1300.8599999999999</v>
      </c>
      <c r="L92" s="277">
        <f t="shared" si="20"/>
        <v>13.340000000000146</v>
      </c>
      <c r="M92" s="487">
        <f t="shared" si="9"/>
        <v>-163.12148815067781</v>
      </c>
      <c r="N92" s="241">
        <v>906.66</v>
      </c>
      <c r="O92" s="338">
        <f t="shared" si="10"/>
        <v>1137.7385118493221</v>
      </c>
      <c r="P92" s="135">
        <v>60</v>
      </c>
      <c r="Q92" s="136">
        <f t="shared" si="18"/>
        <v>11.463013698630137</v>
      </c>
      <c r="R92" s="340">
        <f t="shared" si="21"/>
        <v>35.552605162523911</v>
      </c>
      <c r="T92" s="292"/>
      <c r="U92" s="292"/>
      <c r="V92" s="302"/>
    </row>
    <row r="93" spans="2:22" x14ac:dyDescent="0.25">
      <c r="B93" s="232"/>
      <c r="C93" s="78">
        <v>74</v>
      </c>
      <c r="D93" s="258">
        <v>25384</v>
      </c>
      <c r="E93" s="403" t="s">
        <v>81</v>
      </c>
      <c r="F93" s="241">
        <v>547.20000000000005</v>
      </c>
      <c r="G93" s="134">
        <f t="shared" si="17"/>
        <v>0</v>
      </c>
      <c r="H93" s="241">
        <v>547.20000000000005</v>
      </c>
      <c r="I93" s="135">
        <v>30</v>
      </c>
      <c r="J93" s="266">
        <v>0</v>
      </c>
      <c r="K93" s="437">
        <v>547.20000000000005</v>
      </c>
      <c r="L93" s="277">
        <f t="shared" si="20"/>
        <v>0</v>
      </c>
      <c r="M93" s="487">
        <f t="shared" si="9"/>
        <v>0</v>
      </c>
      <c r="N93" s="241">
        <v>547.20000000000005</v>
      </c>
      <c r="O93" s="338">
        <f t="shared" si="10"/>
        <v>547.20000000000005</v>
      </c>
      <c r="P93" s="135">
        <v>35</v>
      </c>
      <c r="Q93" s="503">
        <f t="shared" si="18"/>
        <v>0</v>
      </c>
      <c r="R93" s="340" t="str">
        <f t="shared" si="21"/>
        <v>0.00</v>
      </c>
      <c r="T93" s="292"/>
      <c r="U93" s="292"/>
      <c r="V93" s="302"/>
    </row>
    <row r="94" spans="2:22" x14ac:dyDescent="0.25">
      <c r="B94" s="232"/>
      <c r="C94" s="78">
        <v>75</v>
      </c>
      <c r="D94" s="258">
        <v>26114</v>
      </c>
      <c r="E94" s="403" t="s">
        <v>81</v>
      </c>
      <c r="F94" s="241">
        <v>2124.36</v>
      </c>
      <c r="G94" s="134">
        <f t="shared" si="17"/>
        <v>0</v>
      </c>
      <c r="H94" s="241">
        <v>2124.36</v>
      </c>
      <c r="I94" s="135">
        <v>30</v>
      </c>
      <c r="J94" s="266">
        <v>0</v>
      </c>
      <c r="K94" s="437">
        <v>2124.36</v>
      </c>
      <c r="L94" s="277">
        <f t="shared" si="20"/>
        <v>0</v>
      </c>
      <c r="M94" s="487">
        <f t="shared" ref="M94:M158" si="22">O94-K94</f>
        <v>0</v>
      </c>
      <c r="N94" s="241">
        <v>2124.36</v>
      </c>
      <c r="O94" s="338">
        <f t="shared" si="10"/>
        <v>2124.36</v>
      </c>
      <c r="P94" s="135">
        <v>35</v>
      </c>
      <c r="Q94" s="136">
        <f t="shared" si="18"/>
        <v>0</v>
      </c>
      <c r="R94" s="340" t="str">
        <f t="shared" si="21"/>
        <v>0.00</v>
      </c>
      <c r="T94" s="292"/>
      <c r="U94" s="292"/>
      <c r="V94" s="302"/>
    </row>
    <row r="95" spans="2:22" x14ac:dyDescent="0.25">
      <c r="B95" s="232"/>
      <c r="C95" s="78">
        <v>76</v>
      </c>
      <c r="D95" s="258">
        <v>26114</v>
      </c>
      <c r="E95" s="403" t="str">
        <f>UPPER("Pump and pump stations")</f>
        <v>PUMP AND PUMP STATIONS</v>
      </c>
      <c r="F95" s="241">
        <v>570.34</v>
      </c>
      <c r="G95" s="134">
        <f t="shared" si="17"/>
        <v>0</v>
      </c>
      <c r="H95" s="241">
        <v>570.34</v>
      </c>
      <c r="I95" s="135">
        <v>50</v>
      </c>
      <c r="J95" s="177">
        <f t="shared" si="19"/>
        <v>11.4068</v>
      </c>
      <c r="K95" s="437">
        <v>530.52</v>
      </c>
      <c r="L95" s="277">
        <f t="shared" si="20"/>
        <v>39.82000000000005</v>
      </c>
      <c r="M95" s="487">
        <f t="shared" si="22"/>
        <v>39.82000000000005</v>
      </c>
      <c r="N95" s="241">
        <v>359.37</v>
      </c>
      <c r="O95" s="338">
        <f t="shared" si="10"/>
        <v>570.34</v>
      </c>
      <c r="P95" s="135">
        <v>20</v>
      </c>
      <c r="Q95" s="503">
        <f t="shared" si="18"/>
        <v>0</v>
      </c>
      <c r="R95" s="340" t="str">
        <f t="shared" si="21"/>
        <v>0.00</v>
      </c>
      <c r="T95" s="292"/>
      <c r="U95" s="292"/>
      <c r="V95" s="302"/>
    </row>
    <row r="96" spans="2:22" x14ac:dyDescent="0.25">
      <c r="B96" s="232"/>
      <c r="C96" s="78">
        <v>77</v>
      </c>
      <c r="D96" s="258">
        <v>26114</v>
      </c>
      <c r="E96" s="403" t="s">
        <v>97</v>
      </c>
      <c r="F96" s="241">
        <v>594.35</v>
      </c>
      <c r="G96" s="134">
        <f t="shared" si="17"/>
        <v>0</v>
      </c>
      <c r="H96" s="241">
        <v>594.35</v>
      </c>
      <c r="I96" s="135">
        <v>50</v>
      </c>
      <c r="J96" s="177">
        <f t="shared" si="19"/>
        <v>11.887</v>
      </c>
      <c r="K96" s="437">
        <v>552.84</v>
      </c>
      <c r="L96" s="277">
        <f t="shared" si="20"/>
        <v>41.509999999999991</v>
      </c>
      <c r="M96" s="487">
        <f t="shared" si="22"/>
        <v>41.509999999999991</v>
      </c>
      <c r="N96" s="241">
        <v>374.49</v>
      </c>
      <c r="O96" s="338">
        <f t="shared" si="10"/>
        <v>594.35</v>
      </c>
      <c r="P96" s="135">
        <v>40</v>
      </c>
      <c r="Q96" s="136">
        <f t="shared" si="18"/>
        <v>0</v>
      </c>
      <c r="R96" s="340" t="str">
        <f t="shared" si="21"/>
        <v>0.00</v>
      </c>
      <c r="T96" s="292"/>
      <c r="U96" s="292"/>
      <c r="V96" s="302"/>
    </row>
    <row r="97" spans="2:22" x14ac:dyDescent="0.25">
      <c r="B97" s="232"/>
      <c r="C97" s="78">
        <v>78</v>
      </c>
      <c r="D97" s="258">
        <v>26480</v>
      </c>
      <c r="E97" s="403" t="s">
        <v>98</v>
      </c>
      <c r="F97" s="241">
        <v>183.4</v>
      </c>
      <c r="G97" s="134">
        <f t="shared" si="17"/>
        <v>0</v>
      </c>
      <c r="H97" s="241">
        <v>183.4</v>
      </c>
      <c r="I97" s="135">
        <v>50</v>
      </c>
      <c r="J97" s="177">
        <f t="shared" si="19"/>
        <v>3.6680000000000001</v>
      </c>
      <c r="K97" s="437">
        <v>166.98</v>
      </c>
      <c r="L97" s="277">
        <f t="shared" si="20"/>
        <v>16.420000000000016</v>
      </c>
      <c r="M97" s="487">
        <f t="shared" si="22"/>
        <v>16.420000000000016</v>
      </c>
      <c r="N97" s="241">
        <v>111.93</v>
      </c>
      <c r="O97" s="338">
        <f t="shared" si="10"/>
        <v>183.4</v>
      </c>
      <c r="P97" s="135">
        <v>20</v>
      </c>
      <c r="Q97" s="503">
        <f t="shared" si="18"/>
        <v>0</v>
      </c>
      <c r="R97" s="340" t="str">
        <f t="shared" si="21"/>
        <v>0.00</v>
      </c>
      <c r="T97" s="292"/>
      <c r="U97" s="292"/>
      <c r="V97" s="302"/>
    </row>
    <row r="98" spans="2:22" x14ac:dyDescent="0.25">
      <c r="B98" s="232"/>
      <c r="C98" s="78">
        <v>79</v>
      </c>
      <c r="D98" s="258">
        <v>26480</v>
      </c>
      <c r="E98" s="403" t="s">
        <v>81</v>
      </c>
      <c r="F98" s="241">
        <v>333</v>
      </c>
      <c r="G98" s="134">
        <f t="shared" si="17"/>
        <v>0</v>
      </c>
      <c r="H98" s="241">
        <v>333</v>
      </c>
      <c r="I98" s="135">
        <v>30</v>
      </c>
      <c r="J98" s="266">
        <v>0</v>
      </c>
      <c r="K98" s="437">
        <v>333</v>
      </c>
      <c r="L98" s="277">
        <f t="shared" si="20"/>
        <v>0</v>
      </c>
      <c r="M98" s="487">
        <f t="shared" si="22"/>
        <v>0</v>
      </c>
      <c r="N98" s="241">
        <v>333</v>
      </c>
      <c r="O98" s="338">
        <f t="shared" si="10"/>
        <v>333</v>
      </c>
      <c r="P98" s="135">
        <v>35</v>
      </c>
      <c r="Q98" s="136">
        <f t="shared" si="18"/>
        <v>0</v>
      </c>
      <c r="R98" s="340" t="str">
        <f t="shared" si="21"/>
        <v>0.00</v>
      </c>
      <c r="T98" s="292"/>
      <c r="U98" s="292"/>
      <c r="V98" s="302"/>
    </row>
    <row r="99" spans="2:22" x14ac:dyDescent="0.25">
      <c r="B99" s="232"/>
      <c r="C99" s="78">
        <v>80</v>
      </c>
      <c r="D99" s="258">
        <v>27210</v>
      </c>
      <c r="E99" s="403" t="s">
        <v>81</v>
      </c>
      <c r="F99" s="241">
        <v>1219.52</v>
      </c>
      <c r="G99" s="134">
        <f t="shared" si="17"/>
        <v>0</v>
      </c>
      <c r="H99" s="241">
        <v>1219.52</v>
      </c>
      <c r="I99" s="135">
        <v>30</v>
      </c>
      <c r="J99" s="266">
        <v>0</v>
      </c>
      <c r="K99" s="437">
        <v>1219.52</v>
      </c>
      <c r="L99" s="277">
        <f t="shared" si="20"/>
        <v>0</v>
      </c>
      <c r="M99" s="487">
        <f t="shared" si="22"/>
        <v>0</v>
      </c>
      <c r="N99" s="241">
        <v>1188.3399999999999</v>
      </c>
      <c r="O99" s="338">
        <f t="shared" si="10"/>
        <v>1219.52</v>
      </c>
      <c r="P99" s="135">
        <v>35</v>
      </c>
      <c r="Q99" s="136">
        <f t="shared" si="18"/>
        <v>0</v>
      </c>
      <c r="R99" s="340" t="str">
        <f t="shared" si="21"/>
        <v>0.00</v>
      </c>
      <c r="T99" s="292"/>
      <c r="U99" s="292"/>
      <c r="V99" s="302"/>
    </row>
    <row r="100" spans="2:22" x14ac:dyDescent="0.25">
      <c r="B100" s="232"/>
      <c r="C100" s="78">
        <v>81</v>
      </c>
      <c r="D100" s="258">
        <v>27210</v>
      </c>
      <c r="E100" s="403" t="s">
        <v>100</v>
      </c>
      <c r="F100" s="241">
        <v>114.89</v>
      </c>
      <c r="G100" s="134">
        <f t="shared" si="17"/>
        <v>0</v>
      </c>
      <c r="H100" s="241">
        <v>114.89</v>
      </c>
      <c r="I100" s="135">
        <v>10</v>
      </c>
      <c r="J100" s="266">
        <v>0</v>
      </c>
      <c r="K100" s="437">
        <v>114.89</v>
      </c>
      <c r="L100" s="277">
        <f t="shared" si="20"/>
        <v>0</v>
      </c>
      <c r="M100" s="487">
        <f t="shared" si="22"/>
        <v>0</v>
      </c>
      <c r="N100" s="241">
        <v>114.89</v>
      </c>
      <c r="O100" s="338">
        <f t="shared" ref="O100:O164" si="23">IF(N100+((H100-N100)/(ABS(P100*365-($N$10-D100))))*(($F$7-$N$10))&gt;=H100,H100,N100+((H100-N100)/(P100*365-($N$10-D100)))*(($F$7-$N$10)))</f>
        <v>114.89</v>
      </c>
      <c r="P100" s="135">
        <v>20</v>
      </c>
      <c r="Q100" s="503">
        <f t="shared" si="18"/>
        <v>0</v>
      </c>
      <c r="R100" s="340" t="str">
        <f t="shared" si="21"/>
        <v>0.00</v>
      </c>
      <c r="T100" s="292"/>
      <c r="U100" s="292"/>
      <c r="V100" s="302"/>
    </row>
    <row r="101" spans="2:22" x14ac:dyDescent="0.25">
      <c r="B101" s="232"/>
      <c r="C101" s="78">
        <v>82</v>
      </c>
      <c r="D101" s="258">
        <v>27210</v>
      </c>
      <c r="E101" s="403" t="s">
        <v>99</v>
      </c>
      <c r="F101" s="241">
        <v>4156.5200000000004</v>
      </c>
      <c r="G101" s="134">
        <f t="shared" si="17"/>
        <v>0</v>
      </c>
      <c r="H101" s="241">
        <v>4156.5200000000004</v>
      </c>
      <c r="I101" s="135">
        <v>50</v>
      </c>
      <c r="J101" s="177">
        <f t="shared" si="19"/>
        <v>83.130400000000009</v>
      </c>
      <c r="K101" s="437">
        <v>3616.15</v>
      </c>
      <c r="L101" s="277">
        <f t="shared" si="20"/>
        <v>540.37000000000035</v>
      </c>
      <c r="M101" s="487">
        <f t="shared" si="22"/>
        <v>-394.59328662198641</v>
      </c>
      <c r="N101" s="241">
        <v>2369.1999999999998</v>
      </c>
      <c r="O101" s="338">
        <f t="shared" si="23"/>
        <v>3221.5567133780137</v>
      </c>
      <c r="P101" s="135">
        <v>60</v>
      </c>
      <c r="Q101" s="136">
        <f t="shared" si="18"/>
        <v>16.465753424657535</v>
      </c>
      <c r="R101" s="340">
        <f t="shared" si="21"/>
        <v>108.54772046589021</v>
      </c>
      <c r="T101" s="292"/>
      <c r="U101" s="292"/>
      <c r="V101" s="302"/>
    </row>
    <row r="102" spans="2:22" x14ac:dyDescent="0.25">
      <c r="B102" s="232"/>
      <c r="C102" s="78">
        <v>83</v>
      </c>
      <c r="D102" s="258">
        <v>27210</v>
      </c>
      <c r="E102" s="403" t="s">
        <v>96</v>
      </c>
      <c r="F102" s="241">
        <v>2263.23</v>
      </c>
      <c r="G102" s="134">
        <f t="shared" si="17"/>
        <v>0</v>
      </c>
      <c r="H102" s="241">
        <v>2263.23</v>
      </c>
      <c r="I102" s="135">
        <v>50</v>
      </c>
      <c r="J102" s="177">
        <f t="shared" si="19"/>
        <v>45.264600000000002</v>
      </c>
      <c r="K102" s="437">
        <v>1968.81</v>
      </c>
      <c r="L102" s="277">
        <f t="shared" si="20"/>
        <v>294.42000000000007</v>
      </c>
      <c r="M102" s="487">
        <f t="shared" si="22"/>
        <v>-214.73251109757143</v>
      </c>
      <c r="N102" s="241">
        <v>1289.9100000000001</v>
      </c>
      <c r="O102" s="338">
        <f t="shared" si="23"/>
        <v>1754.0774889024285</v>
      </c>
      <c r="P102" s="135">
        <v>60</v>
      </c>
      <c r="Q102" s="136">
        <f t="shared" si="18"/>
        <v>16.465753424657535</v>
      </c>
      <c r="R102" s="340">
        <f t="shared" si="21"/>
        <v>59.111780366056564</v>
      </c>
      <c r="T102" s="292"/>
      <c r="U102" s="292"/>
      <c r="V102" s="302"/>
    </row>
    <row r="103" spans="2:22" x14ac:dyDescent="0.25">
      <c r="B103" s="232"/>
      <c r="C103" s="78">
        <v>84</v>
      </c>
      <c r="D103" s="258">
        <v>27575</v>
      </c>
      <c r="E103" s="403" t="s">
        <v>96</v>
      </c>
      <c r="F103" s="241">
        <v>2822.57</v>
      </c>
      <c r="G103" s="134">
        <f t="shared" si="17"/>
        <v>0</v>
      </c>
      <c r="H103" s="241">
        <v>2822.57</v>
      </c>
      <c r="I103" s="135">
        <v>50</v>
      </c>
      <c r="J103" s="177">
        <f t="shared" si="19"/>
        <v>56.451400000000007</v>
      </c>
      <c r="K103" s="437">
        <v>2399.09</v>
      </c>
      <c r="L103" s="277">
        <f t="shared" si="20"/>
        <v>423.48</v>
      </c>
      <c r="M103" s="487">
        <f t="shared" si="22"/>
        <v>-259.64099291378443</v>
      </c>
      <c r="N103" s="241">
        <v>1552.34</v>
      </c>
      <c r="O103" s="338">
        <f t="shared" si="23"/>
        <v>2139.4490070862157</v>
      </c>
      <c r="P103" s="135">
        <v>60</v>
      </c>
      <c r="Q103" s="136">
        <f t="shared" si="18"/>
        <v>17.465753424657535</v>
      </c>
      <c r="R103" s="340">
        <f t="shared" si="21"/>
        <v>72.726894117647063</v>
      </c>
      <c r="T103" s="292"/>
      <c r="U103" s="292"/>
      <c r="V103" s="302"/>
    </row>
    <row r="104" spans="2:22" x14ac:dyDescent="0.25">
      <c r="B104" s="232"/>
      <c r="C104" s="78">
        <v>85</v>
      </c>
      <c r="D104" s="258">
        <v>27575</v>
      </c>
      <c r="E104" s="403" t="s">
        <v>128</v>
      </c>
      <c r="F104" s="241">
        <v>290.61</v>
      </c>
      <c r="G104" s="134">
        <f t="shared" si="17"/>
        <v>0</v>
      </c>
      <c r="H104" s="241">
        <v>290.61</v>
      </c>
      <c r="I104" s="135">
        <v>30</v>
      </c>
      <c r="J104" s="266">
        <v>0</v>
      </c>
      <c r="K104" s="437">
        <v>290.61</v>
      </c>
      <c r="L104" s="277">
        <f t="shared" si="20"/>
        <v>0</v>
      </c>
      <c r="M104" s="487">
        <f t="shared" si="22"/>
        <v>0</v>
      </c>
      <c r="N104" s="241">
        <v>266.47000000000003</v>
      </c>
      <c r="O104" s="338">
        <f t="shared" si="23"/>
        <v>290.61</v>
      </c>
      <c r="P104" s="135">
        <v>35</v>
      </c>
      <c r="Q104" s="136">
        <f t="shared" si="18"/>
        <v>0</v>
      </c>
      <c r="R104" s="340" t="str">
        <f t="shared" si="21"/>
        <v>0.00</v>
      </c>
      <c r="T104" s="292"/>
      <c r="U104" s="292"/>
      <c r="V104" s="302"/>
    </row>
    <row r="105" spans="2:22" x14ac:dyDescent="0.25">
      <c r="B105" s="232"/>
      <c r="C105" s="78">
        <v>86</v>
      </c>
      <c r="D105" s="258">
        <v>27575</v>
      </c>
      <c r="E105" s="403" t="s">
        <v>138</v>
      </c>
      <c r="F105" s="241">
        <v>5636.45</v>
      </c>
      <c r="G105" s="134">
        <f t="shared" si="17"/>
        <v>0</v>
      </c>
      <c r="H105" s="241">
        <v>5636.45</v>
      </c>
      <c r="I105" s="135">
        <v>50</v>
      </c>
      <c r="J105" s="177">
        <f t="shared" si="19"/>
        <v>112.729</v>
      </c>
      <c r="K105" s="437">
        <v>4791.0200000000004</v>
      </c>
      <c r="L105" s="277">
        <f t="shared" si="20"/>
        <v>845.42999999999938</v>
      </c>
      <c r="M105" s="487">
        <f t="shared" si="22"/>
        <v>-518.61778977560334</v>
      </c>
      <c r="N105" s="241">
        <v>3100.07</v>
      </c>
      <c r="O105" s="338">
        <f t="shared" si="23"/>
        <v>4272.4022102243971</v>
      </c>
      <c r="P105" s="135">
        <v>60</v>
      </c>
      <c r="Q105" s="136">
        <f t="shared" si="18"/>
        <v>17.465753424657535</v>
      </c>
      <c r="R105" s="340">
        <f t="shared" si="21"/>
        <v>145.2201882352941</v>
      </c>
      <c r="T105" s="292"/>
      <c r="U105" s="292"/>
      <c r="V105" s="302"/>
    </row>
    <row r="106" spans="2:22" x14ac:dyDescent="0.25">
      <c r="B106" s="232"/>
      <c r="C106" s="78">
        <v>87</v>
      </c>
      <c r="D106" s="258">
        <v>27575</v>
      </c>
      <c r="E106" s="403" t="s">
        <v>139</v>
      </c>
      <c r="F106" s="241">
        <v>573.29999999999995</v>
      </c>
      <c r="G106" s="134">
        <f t="shared" si="17"/>
        <v>0</v>
      </c>
      <c r="H106" s="241">
        <v>573.29999999999995</v>
      </c>
      <c r="I106" s="135">
        <v>50</v>
      </c>
      <c r="J106" s="177">
        <f t="shared" si="19"/>
        <v>11.465999999999999</v>
      </c>
      <c r="K106" s="437">
        <v>487.47</v>
      </c>
      <c r="L106" s="277">
        <f t="shared" si="20"/>
        <v>85.829999999999927</v>
      </c>
      <c r="M106" s="487">
        <f t="shared" si="22"/>
        <v>-52.856097519824573</v>
      </c>
      <c r="N106" s="241">
        <v>315.42</v>
      </c>
      <c r="O106" s="338">
        <f t="shared" si="23"/>
        <v>434.61390248017545</v>
      </c>
      <c r="P106" s="135">
        <v>60</v>
      </c>
      <c r="Q106" s="136">
        <f t="shared" si="18"/>
        <v>17.465753424657535</v>
      </c>
      <c r="R106" s="340">
        <f t="shared" si="21"/>
        <v>14.764894117647055</v>
      </c>
      <c r="T106" s="292"/>
      <c r="U106" s="292"/>
      <c r="V106" s="302"/>
    </row>
    <row r="107" spans="2:22" x14ac:dyDescent="0.25">
      <c r="B107" s="232"/>
      <c r="C107" s="78">
        <v>88</v>
      </c>
      <c r="D107" s="258">
        <v>27941</v>
      </c>
      <c r="E107" s="403" t="s">
        <v>96</v>
      </c>
      <c r="F107" s="241">
        <v>24558.79</v>
      </c>
      <c r="G107" s="134">
        <f t="shared" si="17"/>
        <v>0</v>
      </c>
      <c r="H107" s="241">
        <v>24558.79</v>
      </c>
      <c r="I107" s="135">
        <v>50</v>
      </c>
      <c r="J107" s="177">
        <f t="shared" si="19"/>
        <v>491.17580000000004</v>
      </c>
      <c r="K107" s="437">
        <v>20383.97</v>
      </c>
      <c r="L107" s="277">
        <f t="shared" si="20"/>
        <v>4174.82</v>
      </c>
      <c r="M107" s="487">
        <f t="shared" si="22"/>
        <v>-2192.4571947626828</v>
      </c>
      <c r="N107" s="241">
        <v>13016.27</v>
      </c>
      <c r="O107" s="338">
        <f t="shared" si="23"/>
        <v>18191.512805237318</v>
      </c>
      <c r="P107" s="135">
        <v>60</v>
      </c>
      <c r="Q107" s="136">
        <f t="shared" si="18"/>
        <v>18.468493150684932</v>
      </c>
      <c r="R107" s="340">
        <f t="shared" si="21"/>
        <v>624.98439400682389</v>
      </c>
      <c r="T107" s="292"/>
      <c r="U107" s="292"/>
      <c r="V107" s="302"/>
    </row>
    <row r="108" spans="2:22" x14ac:dyDescent="0.25">
      <c r="B108" s="232"/>
      <c r="C108" s="78">
        <v>89</v>
      </c>
      <c r="D108" s="258">
        <v>27941</v>
      </c>
      <c r="E108" s="403" t="s">
        <v>95</v>
      </c>
      <c r="F108" s="241">
        <v>820.84</v>
      </c>
      <c r="G108" s="134">
        <f t="shared" si="17"/>
        <v>0</v>
      </c>
      <c r="H108" s="241">
        <v>820.84</v>
      </c>
      <c r="I108" s="135">
        <v>50</v>
      </c>
      <c r="J108" s="177">
        <f t="shared" si="19"/>
        <v>16.416800000000002</v>
      </c>
      <c r="K108" s="437">
        <v>681.43</v>
      </c>
      <c r="L108" s="277">
        <f t="shared" si="20"/>
        <v>139.41000000000008</v>
      </c>
      <c r="M108" s="487">
        <f t="shared" si="22"/>
        <v>-73.361776595744573</v>
      </c>
      <c r="N108" s="241">
        <v>435.13</v>
      </c>
      <c r="O108" s="338">
        <f t="shared" si="23"/>
        <v>608.06822340425538</v>
      </c>
      <c r="P108" s="135">
        <v>60</v>
      </c>
      <c r="Q108" s="136">
        <f t="shared" si="18"/>
        <v>18.468493150684932</v>
      </c>
      <c r="R108" s="340">
        <f t="shared" si="21"/>
        <v>20.884757454383625</v>
      </c>
      <c r="T108" s="292"/>
      <c r="U108" s="292"/>
      <c r="V108" s="302"/>
    </row>
    <row r="109" spans="2:22" x14ac:dyDescent="0.25">
      <c r="B109" s="232"/>
      <c r="C109" s="78">
        <v>90</v>
      </c>
      <c r="D109" s="258">
        <v>27941</v>
      </c>
      <c r="E109" s="403" t="s">
        <v>81</v>
      </c>
      <c r="F109" s="241">
        <v>328.2</v>
      </c>
      <c r="G109" s="134">
        <f t="shared" si="17"/>
        <v>0</v>
      </c>
      <c r="H109" s="241">
        <v>328.2</v>
      </c>
      <c r="I109" s="135">
        <v>30</v>
      </c>
      <c r="J109" s="266">
        <v>0</v>
      </c>
      <c r="K109" s="437">
        <v>328.2</v>
      </c>
      <c r="L109" s="277">
        <f t="shared" si="20"/>
        <v>0</v>
      </c>
      <c r="M109" s="487">
        <f t="shared" si="22"/>
        <v>0</v>
      </c>
      <c r="N109" s="241">
        <v>289.91000000000003</v>
      </c>
      <c r="O109" s="338">
        <f t="shared" si="23"/>
        <v>328.2</v>
      </c>
      <c r="P109" s="135">
        <v>35</v>
      </c>
      <c r="Q109" s="136">
        <f t="shared" si="18"/>
        <v>0</v>
      </c>
      <c r="R109" s="340" t="str">
        <f t="shared" si="21"/>
        <v>0.00</v>
      </c>
      <c r="T109" s="292"/>
      <c r="U109" s="292"/>
      <c r="V109" s="302"/>
    </row>
    <row r="110" spans="2:22" x14ac:dyDescent="0.25">
      <c r="B110" s="232"/>
      <c r="C110" s="78">
        <v>91</v>
      </c>
      <c r="D110" s="258">
        <v>28306</v>
      </c>
      <c r="E110" s="403" t="s">
        <v>101</v>
      </c>
      <c r="F110" s="241">
        <v>994.89</v>
      </c>
      <c r="G110" s="134">
        <f t="shared" si="17"/>
        <v>0</v>
      </c>
      <c r="H110" s="241">
        <v>994.89</v>
      </c>
      <c r="I110" s="135">
        <v>50</v>
      </c>
      <c r="J110" s="177">
        <f t="shared" si="19"/>
        <v>19.8978</v>
      </c>
      <c r="K110" s="437">
        <v>805.95</v>
      </c>
      <c r="L110" s="277">
        <f t="shared" si="20"/>
        <v>188.93999999999994</v>
      </c>
      <c r="M110" s="487">
        <f t="shared" si="22"/>
        <v>188.93999999999994</v>
      </c>
      <c r="N110" s="241">
        <v>507.45</v>
      </c>
      <c r="O110" s="338">
        <f t="shared" si="23"/>
        <v>994.89</v>
      </c>
      <c r="P110" s="135">
        <v>40</v>
      </c>
      <c r="Q110" s="136">
        <f t="shared" si="18"/>
        <v>0</v>
      </c>
      <c r="R110" s="340" t="str">
        <f t="shared" si="21"/>
        <v>0.00</v>
      </c>
      <c r="T110" s="292"/>
      <c r="U110" s="292"/>
      <c r="V110" s="302"/>
    </row>
    <row r="111" spans="2:22" x14ac:dyDescent="0.25">
      <c r="B111" s="232"/>
      <c r="C111" s="78">
        <v>92</v>
      </c>
      <c r="D111" s="258">
        <v>28306</v>
      </c>
      <c r="E111" s="403" t="s">
        <v>137</v>
      </c>
      <c r="F111" s="241">
        <v>504.8</v>
      </c>
      <c r="G111" s="134">
        <f t="shared" si="17"/>
        <v>0</v>
      </c>
      <c r="H111" s="241">
        <v>504.8</v>
      </c>
      <c r="I111" s="135">
        <v>30</v>
      </c>
      <c r="J111" s="266">
        <v>0</v>
      </c>
      <c r="K111" s="437">
        <v>504.8</v>
      </c>
      <c r="L111" s="277">
        <f t="shared" si="20"/>
        <v>0</v>
      </c>
      <c r="M111" s="487">
        <f t="shared" si="22"/>
        <v>0</v>
      </c>
      <c r="N111" s="241">
        <v>429.17</v>
      </c>
      <c r="O111" s="338">
        <f t="shared" si="23"/>
        <v>504.8</v>
      </c>
      <c r="P111" s="135">
        <v>35</v>
      </c>
      <c r="Q111" s="136">
        <f t="shared" si="18"/>
        <v>0</v>
      </c>
      <c r="R111" s="340" t="str">
        <f t="shared" si="21"/>
        <v>0.00</v>
      </c>
      <c r="T111" s="292"/>
      <c r="U111" s="292"/>
      <c r="V111" s="302"/>
    </row>
    <row r="112" spans="2:22" x14ac:dyDescent="0.25">
      <c r="B112" s="232"/>
      <c r="C112" s="78">
        <v>93</v>
      </c>
      <c r="D112" s="258">
        <v>28306</v>
      </c>
      <c r="E112" s="403" t="s">
        <v>102</v>
      </c>
      <c r="F112" s="241">
        <v>2356.0100000000002</v>
      </c>
      <c r="G112" s="134">
        <f t="shared" si="17"/>
        <v>0</v>
      </c>
      <c r="H112" s="241">
        <v>2356.0100000000002</v>
      </c>
      <c r="I112" s="135">
        <v>50</v>
      </c>
      <c r="J112" s="177">
        <f t="shared" si="19"/>
        <v>47.120200000000004</v>
      </c>
      <c r="K112" s="437">
        <v>1908.36</v>
      </c>
      <c r="L112" s="277">
        <f t="shared" si="20"/>
        <v>447.65000000000032</v>
      </c>
      <c r="M112" s="487">
        <f t="shared" si="22"/>
        <v>-204.19916170043689</v>
      </c>
      <c r="N112" s="241">
        <v>1201.56</v>
      </c>
      <c r="O112" s="338">
        <f t="shared" si="23"/>
        <v>1704.160838299563</v>
      </c>
      <c r="P112" s="135">
        <v>60</v>
      </c>
      <c r="Q112" s="136">
        <f t="shared" si="18"/>
        <v>19.468493150684932</v>
      </c>
      <c r="R112" s="340">
        <f t="shared" si="21"/>
        <v>59.298374613003112</v>
      </c>
      <c r="T112" s="292"/>
      <c r="U112" s="292"/>
      <c r="V112" s="302"/>
    </row>
    <row r="113" spans="2:22" s="529" customFormat="1" x14ac:dyDescent="0.25">
      <c r="B113" s="537"/>
      <c r="C113" s="514">
        <v>94</v>
      </c>
      <c r="D113" s="515">
        <v>28306</v>
      </c>
      <c r="E113" s="516" t="s">
        <v>67</v>
      </c>
      <c r="F113" s="517">
        <v>385.42</v>
      </c>
      <c r="G113" s="518">
        <f>H113-F113</f>
        <v>0</v>
      </c>
      <c r="H113" s="517">
        <v>385.42</v>
      </c>
      <c r="I113" s="519">
        <v>50</v>
      </c>
      <c r="J113" s="520">
        <v>7.71</v>
      </c>
      <c r="K113" s="521">
        <v>312.26</v>
      </c>
      <c r="L113" s="536">
        <f>F113-K113</f>
        <v>73.160000000000025</v>
      </c>
      <c r="M113" s="523">
        <f t="shared" si="22"/>
        <v>0.12951762730835981</v>
      </c>
      <c r="N113" s="517">
        <v>196.61</v>
      </c>
      <c r="O113" s="525">
        <f t="shared" si="23"/>
        <v>312.38951762730835</v>
      </c>
      <c r="P113" s="526">
        <v>50</v>
      </c>
      <c r="Q113" s="527">
        <f t="shared" si="18"/>
        <v>9.4684931506849317</v>
      </c>
      <c r="R113" s="528">
        <f t="shared" si="21"/>
        <v>19.940870949074075</v>
      </c>
      <c r="T113" s="530"/>
      <c r="U113" s="530"/>
      <c r="V113" s="531"/>
    </row>
    <row r="114" spans="2:22" x14ac:dyDescent="0.25">
      <c r="B114" s="232"/>
      <c r="C114" s="78">
        <v>95</v>
      </c>
      <c r="D114" s="258">
        <v>28306</v>
      </c>
      <c r="E114" s="403" t="s">
        <v>136</v>
      </c>
      <c r="F114" s="241">
        <v>595.38</v>
      </c>
      <c r="G114" s="134">
        <f t="shared" si="17"/>
        <v>0</v>
      </c>
      <c r="H114" s="241">
        <v>595.38</v>
      </c>
      <c r="I114" s="135">
        <v>50</v>
      </c>
      <c r="J114" s="177">
        <f t="shared" si="19"/>
        <v>11.9076</v>
      </c>
      <c r="K114" s="437">
        <v>482.36</v>
      </c>
      <c r="L114" s="277">
        <f t="shared" si="20"/>
        <v>113.01999999999998</v>
      </c>
      <c r="M114" s="487">
        <f t="shared" si="22"/>
        <v>-51.66867858561784</v>
      </c>
      <c r="N114" s="241">
        <v>303.70999999999998</v>
      </c>
      <c r="O114" s="338">
        <f t="shared" si="23"/>
        <v>430.69132141438217</v>
      </c>
      <c r="P114" s="135">
        <v>60</v>
      </c>
      <c r="Q114" s="136">
        <f t="shared" si="18"/>
        <v>19.468493150684932</v>
      </c>
      <c r="R114" s="340">
        <f t="shared" si="21"/>
        <v>14.981642274134535</v>
      </c>
      <c r="T114" s="292"/>
      <c r="U114" s="292"/>
      <c r="V114" s="302"/>
    </row>
    <row r="115" spans="2:22" x14ac:dyDescent="0.25">
      <c r="B115" s="232"/>
      <c r="C115" s="78">
        <v>96</v>
      </c>
      <c r="D115" s="258">
        <v>28671</v>
      </c>
      <c r="E115" s="403" t="s">
        <v>103</v>
      </c>
      <c r="F115" s="241">
        <v>1709.83</v>
      </c>
      <c r="G115" s="134">
        <f t="shared" si="17"/>
        <v>0</v>
      </c>
      <c r="H115" s="241">
        <v>1709.83</v>
      </c>
      <c r="I115" s="135">
        <v>50</v>
      </c>
      <c r="J115" s="177">
        <f t="shared" si="19"/>
        <v>34.196599999999997</v>
      </c>
      <c r="K115" s="437">
        <v>1350.9</v>
      </c>
      <c r="L115" s="277">
        <f t="shared" si="20"/>
        <v>358.92999999999984</v>
      </c>
      <c r="M115" s="487">
        <f t="shared" si="22"/>
        <v>332.54061415929186</v>
      </c>
      <c r="N115" s="241">
        <v>837.9</v>
      </c>
      <c r="O115" s="338">
        <f t="shared" si="23"/>
        <v>1683.440614159292</v>
      </c>
      <c r="P115" s="135">
        <v>40</v>
      </c>
      <c r="Q115" s="136">
        <f t="shared" si="18"/>
        <v>0.46849315068493153</v>
      </c>
      <c r="R115" s="340">
        <f t="shared" si="21"/>
        <v>26.389385840707973</v>
      </c>
      <c r="T115" s="292"/>
      <c r="U115" s="292"/>
      <c r="V115" s="302"/>
    </row>
    <row r="116" spans="2:22" x14ac:dyDescent="0.25">
      <c r="B116" s="232"/>
      <c r="C116" s="78">
        <v>97</v>
      </c>
      <c r="D116" s="258">
        <v>28671</v>
      </c>
      <c r="E116" s="403" t="s">
        <v>135</v>
      </c>
      <c r="F116" s="241">
        <v>846.28</v>
      </c>
      <c r="G116" s="134">
        <f t="shared" si="17"/>
        <v>0</v>
      </c>
      <c r="H116" s="241">
        <v>846.28</v>
      </c>
      <c r="I116" s="135">
        <v>30</v>
      </c>
      <c r="J116" s="177">
        <v>0</v>
      </c>
      <c r="K116" s="437">
        <v>846.28</v>
      </c>
      <c r="L116" s="277">
        <f t="shared" si="20"/>
        <v>0</v>
      </c>
      <c r="M116" s="487">
        <f t="shared" si="22"/>
        <v>0</v>
      </c>
      <c r="N116" s="241">
        <v>691.15</v>
      </c>
      <c r="O116" s="338">
        <f t="shared" si="23"/>
        <v>846.28</v>
      </c>
      <c r="P116" s="135">
        <v>35</v>
      </c>
      <c r="Q116" s="136">
        <f t="shared" si="18"/>
        <v>0</v>
      </c>
      <c r="R116" s="340" t="str">
        <f t="shared" si="21"/>
        <v>0.00</v>
      </c>
      <c r="T116" s="292"/>
      <c r="U116" s="292"/>
      <c r="V116" s="302"/>
    </row>
    <row r="117" spans="2:22" x14ac:dyDescent="0.25">
      <c r="B117" s="232"/>
      <c r="C117" s="78">
        <v>98</v>
      </c>
      <c r="D117" s="258">
        <v>28671</v>
      </c>
      <c r="E117" s="403" t="s">
        <v>102</v>
      </c>
      <c r="F117" s="241">
        <v>10271.870000000001</v>
      </c>
      <c r="G117" s="134">
        <f t="shared" si="17"/>
        <v>0</v>
      </c>
      <c r="H117" s="241">
        <v>10271.870000000001</v>
      </c>
      <c r="I117" s="135">
        <v>50</v>
      </c>
      <c r="J117" s="177">
        <f t="shared" si="19"/>
        <v>205.43740000000003</v>
      </c>
      <c r="K117" s="437">
        <v>8114.88</v>
      </c>
      <c r="L117" s="277">
        <f t="shared" si="20"/>
        <v>2156.9900000000007</v>
      </c>
      <c r="M117" s="487">
        <f t="shared" si="22"/>
        <v>-865.21122702702723</v>
      </c>
      <c r="N117" s="241">
        <v>5033.28</v>
      </c>
      <c r="O117" s="338">
        <f t="shared" si="23"/>
        <v>7249.6687729729729</v>
      </c>
      <c r="P117" s="135">
        <v>60</v>
      </c>
      <c r="Q117" s="136">
        <f t="shared" si="18"/>
        <v>20.468493150684932</v>
      </c>
      <c r="R117" s="340">
        <f t="shared" si="21"/>
        <v>255.93432606076834</v>
      </c>
      <c r="T117" s="292"/>
      <c r="U117" s="292"/>
      <c r="V117" s="302"/>
    </row>
    <row r="118" spans="2:22" x14ac:dyDescent="0.25">
      <c r="B118" s="232"/>
      <c r="C118" s="78">
        <v>99</v>
      </c>
      <c r="D118" s="258">
        <v>28671</v>
      </c>
      <c r="E118" s="403" t="s">
        <v>95</v>
      </c>
      <c r="F118" s="241">
        <v>1070.1600000000001</v>
      </c>
      <c r="G118" s="134">
        <f t="shared" si="17"/>
        <v>0</v>
      </c>
      <c r="H118" s="241">
        <v>1070.1600000000001</v>
      </c>
      <c r="I118" s="135">
        <v>50</v>
      </c>
      <c r="J118" s="177">
        <f t="shared" si="19"/>
        <v>21.403200000000002</v>
      </c>
      <c r="K118" s="437">
        <v>845</v>
      </c>
      <c r="L118" s="277">
        <f t="shared" si="20"/>
        <v>225.16000000000008</v>
      </c>
      <c r="M118" s="487">
        <f t="shared" si="22"/>
        <v>-89.925819305019218</v>
      </c>
      <c r="N118" s="241">
        <v>524</v>
      </c>
      <c r="O118" s="338">
        <f t="shared" si="23"/>
        <v>755.07418069498078</v>
      </c>
      <c r="P118" s="135">
        <v>60</v>
      </c>
      <c r="Q118" s="136">
        <f t="shared" si="18"/>
        <v>20.468493150684932</v>
      </c>
      <c r="R118" s="340">
        <f t="shared" si="21"/>
        <v>26.682960781689204</v>
      </c>
      <c r="T118" s="292"/>
      <c r="U118" s="292"/>
      <c r="V118" s="302"/>
    </row>
    <row r="119" spans="2:22" x14ac:dyDescent="0.25">
      <c r="B119" s="232"/>
      <c r="C119" s="78">
        <v>100</v>
      </c>
      <c r="D119" s="258">
        <v>28671</v>
      </c>
      <c r="E119" s="403" t="s">
        <v>104</v>
      </c>
      <c r="F119" s="241">
        <v>703.63</v>
      </c>
      <c r="G119" s="134">
        <f t="shared" si="17"/>
        <v>0</v>
      </c>
      <c r="H119" s="241">
        <v>703.63</v>
      </c>
      <c r="I119" s="135">
        <v>20</v>
      </c>
      <c r="J119" s="266">
        <v>0</v>
      </c>
      <c r="K119" s="437">
        <v>703.63</v>
      </c>
      <c r="L119" s="277">
        <f t="shared" si="20"/>
        <v>0</v>
      </c>
      <c r="M119" s="487">
        <f t="shared" si="22"/>
        <v>0</v>
      </c>
      <c r="N119" s="241">
        <v>703.63</v>
      </c>
      <c r="O119" s="338">
        <f t="shared" si="23"/>
        <v>703.63</v>
      </c>
      <c r="P119" s="135">
        <v>20</v>
      </c>
      <c r="Q119" s="503">
        <f t="shared" si="18"/>
        <v>0</v>
      </c>
      <c r="R119" s="340" t="str">
        <f t="shared" si="21"/>
        <v>0.00</v>
      </c>
      <c r="T119" s="292"/>
      <c r="U119" s="292"/>
      <c r="V119" s="302"/>
    </row>
    <row r="120" spans="2:22" x14ac:dyDescent="0.25">
      <c r="B120" s="232"/>
      <c r="C120" s="78">
        <v>101</v>
      </c>
      <c r="D120" s="258">
        <v>29036</v>
      </c>
      <c r="E120" s="403" t="s">
        <v>103</v>
      </c>
      <c r="F120" s="241">
        <v>1403.93</v>
      </c>
      <c r="G120" s="134">
        <f t="shared" si="17"/>
        <v>0</v>
      </c>
      <c r="H120" s="241">
        <v>1403.93</v>
      </c>
      <c r="I120" s="135">
        <v>33.25</v>
      </c>
      <c r="J120" s="177">
        <v>0</v>
      </c>
      <c r="K120" s="437">
        <v>1229.99</v>
      </c>
      <c r="L120" s="277">
        <f t="shared" si="20"/>
        <v>173.94000000000005</v>
      </c>
      <c r="M120" s="487">
        <f t="shared" si="22"/>
        <v>145.11897256857856</v>
      </c>
      <c r="N120" s="241">
        <v>1080.5</v>
      </c>
      <c r="O120" s="338">
        <f t="shared" si="23"/>
        <v>1375.1089725685786</v>
      </c>
      <c r="P120" s="135">
        <v>40</v>
      </c>
      <c r="Q120" s="136">
        <f t="shared" si="18"/>
        <v>1.4684931506849315</v>
      </c>
      <c r="R120" s="340">
        <f t="shared" si="21"/>
        <v>220.24617537313438</v>
      </c>
      <c r="T120" s="292"/>
      <c r="U120" s="292"/>
      <c r="V120" s="302"/>
    </row>
    <row r="121" spans="2:22" x14ac:dyDescent="0.25">
      <c r="B121" s="232"/>
      <c r="C121" s="78">
        <v>102</v>
      </c>
      <c r="D121" s="258">
        <v>29036</v>
      </c>
      <c r="E121" s="403" t="s">
        <v>102</v>
      </c>
      <c r="F121" s="241">
        <v>6770.3</v>
      </c>
      <c r="G121" s="134">
        <f t="shared" si="17"/>
        <v>0</v>
      </c>
      <c r="H121" s="241">
        <v>6770.3</v>
      </c>
      <c r="I121" s="135">
        <v>33.25</v>
      </c>
      <c r="J121" s="177">
        <v>0</v>
      </c>
      <c r="K121" s="437">
        <v>5931.57</v>
      </c>
      <c r="L121" s="277">
        <f t="shared" si="20"/>
        <v>838.73000000000047</v>
      </c>
      <c r="M121" s="487">
        <f t="shared" si="22"/>
        <v>-79.167799474276762</v>
      </c>
      <c r="N121" s="241">
        <v>5210.6000000000004</v>
      </c>
      <c r="O121" s="338">
        <f t="shared" si="23"/>
        <v>5852.4022005257229</v>
      </c>
      <c r="P121" s="135">
        <v>60</v>
      </c>
      <c r="Q121" s="136">
        <f t="shared" si="18"/>
        <v>21.468493150684932</v>
      </c>
      <c r="R121" s="340">
        <f t="shared" si="21"/>
        <v>72.650650842266458</v>
      </c>
      <c r="T121" s="292"/>
      <c r="U121" s="292"/>
      <c r="V121" s="302"/>
    </row>
    <row r="122" spans="2:22" s="552" customFormat="1" x14ac:dyDescent="0.25">
      <c r="B122" s="571"/>
      <c r="C122" s="539">
        <v>103</v>
      </c>
      <c r="D122" s="540">
        <v>29036</v>
      </c>
      <c r="E122" s="541" t="s">
        <v>239</v>
      </c>
      <c r="F122" s="542">
        <v>1794</v>
      </c>
      <c r="G122" s="543">
        <f t="shared" si="17"/>
        <v>-1794</v>
      </c>
      <c r="H122" s="542">
        <v>0</v>
      </c>
      <c r="I122" s="544">
        <v>7</v>
      </c>
      <c r="J122" s="545">
        <v>0</v>
      </c>
      <c r="K122" s="546">
        <v>1739.5</v>
      </c>
      <c r="L122" s="547">
        <f t="shared" si="20"/>
        <v>54.5</v>
      </c>
      <c r="M122" s="548">
        <f t="shared" si="22"/>
        <v>-1739.5</v>
      </c>
      <c r="N122" s="542">
        <v>0</v>
      </c>
      <c r="O122" s="549">
        <f t="shared" si="23"/>
        <v>0</v>
      </c>
      <c r="P122" s="544">
        <v>7</v>
      </c>
      <c r="Q122" s="550">
        <f t="shared" si="18"/>
        <v>0</v>
      </c>
      <c r="R122" s="551" t="str">
        <f t="shared" si="21"/>
        <v>0.00</v>
      </c>
      <c r="T122" s="553"/>
      <c r="U122" s="553"/>
      <c r="V122" s="572"/>
    </row>
    <row r="123" spans="2:22" x14ac:dyDescent="0.25">
      <c r="B123" s="232"/>
      <c r="C123" s="78">
        <v>104</v>
      </c>
      <c r="D123" s="258">
        <v>29036</v>
      </c>
      <c r="E123" s="403" t="s">
        <v>95</v>
      </c>
      <c r="F123" s="241">
        <v>861.9</v>
      </c>
      <c r="G123" s="134">
        <f t="shared" si="17"/>
        <v>0</v>
      </c>
      <c r="H123" s="241">
        <v>861.9</v>
      </c>
      <c r="I123" s="135">
        <v>33.25</v>
      </c>
      <c r="J123" s="177">
        <v>0</v>
      </c>
      <c r="K123" s="437">
        <v>755.13</v>
      </c>
      <c r="L123" s="277">
        <f t="shared" si="20"/>
        <v>106.76999999999998</v>
      </c>
      <c r="M123" s="487">
        <f t="shared" si="22"/>
        <v>-10.084386781824946</v>
      </c>
      <c r="N123" s="241">
        <v>663.34</v>
      </c>
      <c r="O123" s="338">
        <f t="shared" si="23"/>
        <v>745.04561321817505</v>
      </c>
      <c r="P123" s="135">
        <v>60</v>
      </c>
      <c r="Q123" s="136">
        <f t="shared" ref="Q123:Q154" si="24">IF((($F$7)-D123)&gt;=P123*365,0,P123*365-(($F$7)-D123))/365</f>
        <v>21.468493150684932</v>
      </c>
      <c r="R123" s="340">
        <f t="shared" si="21"/>
        <v>9.2489025012761594</v>
      </c>
      <c r="T123" s="292"/>
      <c r="U123" s="292"/>
      <c r="V123" s="302"/>
    </row>
    <row r="124" spans="2:22" s="552" customFormat="1" x14ac:dyDescent="0.25">
      <c r="B124" s="571"/>
      <c r="C124" s="539">
        <v>105</v>
      </c>
      <c r="D124" s="540">
        <v>29036</v>
      </c>
      <c r="E124" s="541" t="s">
        <v>240</v>
      </c>
      <c r="F124" s="542">
        <v>528.09</v>
      </c>
      <c r="G124" s="543">
        <f t="shared" si="17"/>
        <v>-528.09</v>
      </c>
      <c r="H124" s="542">
        <v>0</v>
      </c>
      <c r="I124" s="544">
        <v>7</v>
      </c>
      <c r="J124" s="545">
        <v>0</v>
      </c>
      <c r="K124" s="546">
        <v>511.25</v>
      </c>
      <c r="L124" s="547">
        <f t="shared" si="20"/>
        <v>16.840000000000032</v>
      </c>
      <c r="M124" s="548">
        <f t="shared" si="22"/>
        <v>-511.25</v>
      </c>
      <c r="N124" s="542">
        <v>0</v>
      </c>
      <c r="O124" s="549">
        <f t="shared" si="23"/>
        <v>0</v>
      </c>
      <c r="P124" s="544">
        <v>20</v>
      </c>
      <c r="Q124" s="550">
        <f t="shared" si="24"/>
        <v>0</v>
      </c>
      <c r="R124" s="551" t="str">
        <f t="shared" si="21"/>
        <v>0.00</v>
      </c>
      <c r="T124" s="553"/>
      <c r="U124" s="553"/>
      <c r="V124" s="572"/>
    </row>
    <row r="125" spans="2:22" x14ac:dyDescent="0.25">
      <c r="B125" s="232"/>
      <c r="C125" s="78">
        <v>106</v>
      </c>
      <c r="D125" s="258">
        <v>29036</v>
      </c>
      <c r="E125" s="403" t="s">
        <v>81</v>
      </c>
      <c r="F125" s="241">
        <v>227.36</v>
      </c>
      <c r="G125" s="134">
        <f t="shared" si="17"/>
        <v>0</v>
      </c>
      <c r="H125" s="241">
        <v>227.36</v>
      </c>
      <c r="I125" s="135">
        <v>30</v>
      </c>
      <c r="J125" s="177">
        <v>0</v>
      </c>
      <c r="K125" s="437">
        <v>200.09</v>
      </c>
      <c r="L125" s="277">
        <f t="shared" si="20"/>
        <v>27.27000000000001</v>
      </c>
      <c r="M125" s="487">
        <f t="shared" si="22"/>
        <v>27.27000000000001</v>
      </c>
      <c r="N125" s="241">
        <v>183.14</v>
      </c>
      <c r="O125" s="338">
        <f t="shared" si="23"/>
        <v>227.36</v>
      </c>
      <c r="P125" s="135">
        <v>35</v>
      </c>
      <c r="Q125" s="136">
        <f t="shared" si="24"/>
        <v>0</v>
      </c>
      <c r="R125" s="340" t="str">
        <f t="shared" si="21"/>
        <v>0.00</v>
      </c>
      <c r="T125" s="292"/>
      <c r="U125" s="292"/>
      <c r="V125" s="302"/>
    </row>
    <row r="126" spans="2:22" x14ac:dyDescent="0.25">
      <c r="B126" s="232"/>
      <c r="C126" s="78">
        <v>107</v>
      </c>
      <c r="D126" s="258">
        <v>29402</v>
      </c>
      <c r="E126" s="403" t="s">
        <v>134</v>
      </c>
      <c r="F126" s="241">
        <v>436.3</v>
      </c>
      <c r="G126" s="134">
        <f t="shared" si="17"/>
        <v>0</v>
      </c>
      <c r="H126" s="241">
        <v>436.3</v>
      </c>
      <c r="I126" s="135">
        <v>33.25</v>
      </c>
      <c r="J126" s="177">
        <v>0</v>
      </c>
      <c r="K126" s="437">
        <v>382.27</v>
      </c>
      <c r="L126" s="277">
        <f t="shared" si="20"/>
        <v>54.03000000000003</v>
      </c>
      <c r="M126" s="487">
        <f t="shared" si="22"/>
        <v>54.03000000000003</v>
      </c>
      <c r="N126" s="241">
        <v>329.38</v>
      </c>
      <c r="O126" s="338">
        <f t="shared" si="23"/>
        <v>436.3</v>
      </c>
      <c r="P126" s="135">
        <v>35</v>
      </c>
      <c r="Q126" s="136">
        <f t="shared" si="24"/>
        <v>0</v>
      </c>
      <c r="R126" s="340" t="str">
        <f t="shared" si="21"/>
        <v>0.00</v>
      </c>
      <c r="T126" s="292"/>
      <c r="U126" s="292"/>
      <c r="V126" s="302"/>
    </row>
    <row r="127" spans="2:22" x14ac:dyDescent="0.25">
      <c r="B127" s="232"/>
      <c r="C127" s="78">
        <v>108</v>
      </c>
      <c r="D127" s="258">
        <v>29402</v>
      </c>
      <c r="E127" s="403" t="s">
        <v>95</v>
      </c>
      <c r="F127" s="241">
        <v>2184.5</v>
      </c>
      <c r="G127" s="134">
        <f t="shared" si="17"/>
        <v>0</v>
      </c>
      <c r="H127" s="241">
        <v>2184.5</v>
      </c>
      <c r="I127" s="135">
        <v>33.25</v>
      </c>
      <c r="J127" s="177">
        <v>0</v>
      </c>
      <c r="K127" s="437">
        <v>1913.71</v>
      </c>
      <c r="L127" s="277">
        <f t="shared" si="20"/>
        <v>270.78999999999996</v>
      </c>
      <c r="M127" s="487">
        <f t="shared" si="22"/>
        <v>-50.4315188948176</v>
      </c>
      <c r="N127" s="241">
        <v>1648.7</v>
      </c>
      <c r="O127" s="338">
        <f t="shared" si="23"/>
        <v>1863.2784811051824</v>
      </c>
      <c r="P127" s="135">
        <v>60</v>
      </c>
      <c r="Q127" s="136">
        <f t="shared" si="24"/>
        <v>22.471232876712328</v>
      </c>
      <c r="R127" s="340">
        <f t="shared" si="21"/>
        <v>23.84381858083394</v>
      </c>
      <c r="T127" s="292"/>
      <c r="U127" s="292"/>
      <c r="V127" s="302"/>
    </row>
    <row r="128" spans="2:22" x14ac:dyDescent="0.25">
      <c r="B128" s="232"/>
      <c r="C128" s="78">
        <v>109</v>
      </c>
      <c r="D128" s="258">
        <v>29402</v>
      </c>
      <c r="E128" s="403" t="s">
        <v>96</v>
      </c>
      <c r="F128" s="241">
        <v>707.99</v>
      </c>
      <c r="G128" s="134">
        <f t="shared" si="17"/>
        <v>0</v>
      </c>
      <c r="H128" s="241">
        <v>707.99</v>
      </c>
      <c r="I128" s="135">
        <v>33.25</v>
      </c>
      <c r="J128" s="177">
        <v>0</v>
      </c>
      <c r="K128" s="437">
        <v>620.27</v>
      </c>
      <c r="L128" s="277">
        <f t="shared" si="20"/>
        <v>87.720000000000027</v>
      </c>
      <c r="M128" s="487">
        <f t="shared" si="22"/>
        <v>-16.308290329654255</v>
      </c>
      <c r="N128" s="241">
        <v>534.47</v>
      </c>
      <c r="O128" s="338">
        <f t="shared" si="23"/>
        <v>603.96170967034573</v>
      </c>
      <c r="P128" s="135">
        <v>60</v>
      </c>
      <c r="Q128" s="136">
        <f t="shared" si="24"/>
        <v>22.471232876712328</v>
      </c>
      <c r="R128" s="340">
        <f t="shared" si="21"/>
        <v>7.7218727139722017</v>
      </c>
      <c r="T128" s="292"/>
      <c r="U128" s="292"/>
      <c r="V128" s="302"/>
    </row>
    <row r="129" spans="2:22" x14ac:dyDescent="0.25">
      <c r="B129" s="232"/>
      <c r="C129" s="78">
        <v>110</v>
      </c>
      <c r="D129" s="258">
        <v>29767</v>
      </c>
      <c r="E129" s="403" t="s">
        <v>105</v>
      </c>
      <c r="F129" s="241">
        <v>1789.78</v>
      </c>
      <c r="G129" s="134">
        <f t="shared" si="17"/>
        <v>0</v>
      </c>
      <c r="H129" s="241">
        <v>1789.78</v>
      </c>
      <c r="I129" s="135">
        <v>33.25</v>
      </c>
      <c r="J129" s="177">
        <v>0</v>
      </c>
      <c r="K129" s="437">
        <v>1789.78</v>
      </c>
      <c r="L129" s="277">
        <f t="shared" si="20"/>
        <v>0</v>
      </c>
      <c r="M129" s="487">
        <f t="shared" si="22"/>
        <v>-119.21369404091297</v>
      </c>
      <c r="N129" s="241">
        <v>1155.04</v>
      </c>
      <c r="O129" s="338">
        <f t="shared" si="23"/>
        <v>1670.566305959087</v>
      </c>
      <c r="P129" s="135">
        <v>40</v>
      </c>
      <c r="Q129" s="136">
        <f t="shared" si="24"/>
        <v>3.4712328767123286</v>
      </c>
      <c r="R129" s="340">
        <f t="shared" si="21"/>
        <v>182.85722178374112</v>
      </c>
      <c r="T129" s="292"/>
      <c r="U129" s="292"/>
      <c r="V129" s="302"/>
    </row>
    <row r="130" spans="2:22" x14ac:dyDescent="0.25">
      <c r="B130" s="232"/>
      <c r="C130" s="78">
        <v>111</v>
      </c>
      <c r="D130" s="258">
        <v>29767</v>
      </c>
      <c r="E130" s="403" t="s">
        <v>133</v>
      </c>
      <c r="F130" s="241">
        <v>354.38</v>
      </c>
      <c r="G130" s="134">
        <f t="shared" si="17"/>
        <v>0</v>
      </c>
      <c r="H130" s="241">
        <v>354.38</v>
      </c>
      <c r="I130" s="135">
        <v>33.25</v>
      </c>
      <c r="J130" s="177">
        <v>0</v>
      </c>
      <c r="K130" s="437">
        <v>354.38</v>
      </c>
      <c r="L130" s="277">
        <f t="shared" si="20"/>
        <v>0</v>
      </c>
      <c r="M130" s="487">
        <f t="shared" si="22"/>
        <v>0</v>
      </c>
      <c r="N130" s="241">
        <v>228.77</v>
      </c>
      <c r="O130" s="338">
        <f t="shared" si="23"/>
        <v>354.38</v>
      </c>
      <c r="P130" s="135">
        <v>35</v>
      </c>
      <c r="Q130" s="136">
        <f t="shared" si="24"/>
        <v>0</v>
      </c>
      <c r="R130" s="340" t="str">
        <f t="shared" si="21"/>
        <v>0.00</v>
      </c>
      <c r="T130" s="292"/>
      <c r="U130" s="292"/>
      <c r="V130" s="302"/>
    </row>
    <row r="131" spans="2:22" x14ac:dyDescent="0.25">
      <c r="B131" s="232"/>
      <c r="C131" s="78">
        <v>112</v>
      </c>
      <c r="D131" s="258">
        <v>29767</v>
      </c>
      <c r="E131" s="403" t="s">
        <v>106</v>
      </c>
      <c r="F131" s="241">
        <v>2088.75</v>
      </c>
      <c r="G131" s="134">
        <f t="shared" si="17"/>
        <v>0</v>
      </c>
      <c r="H131" s="241">
        <v>2088.75</v>
      </c>
      <c r="I131" s="135">
        <v>33.25</v>
      </c>
      <c r="J131" s="177">
        <v>0</v>
      </c>
      <c r="K131" s="437">
        <v>2088.75</v>
      </c>
      <c r="L131" s="277">
        <f t="shared" si="20"/>
        <v>0</v>
      </c>
      <c r="M131" s="487">
        <f t="shared" si="22"/>
        <v>-451.80769756514314</v>
      </c>
      <c r="N131" s="241">
        <v>1347.99</v>
      </c>
      <c r="O131" s="338">
        <f t="shared" si="23"/>
        <v>1636.9423024348569</v>
      </c>
      <c r="P131" s="135">
        <v>60</v>
      </c>
      <c r="Q131" s="136">
        <f t="shared" si="24"/>
        <v>23.471232876712328</v>
      </c>
      <c r="R131" s="340">
        <f t="shared" si="21"/>
        <v>31.560336173689741</v>
      </c>
      <c r="T131" s="292"/>
      <c r="U131" s="292"/>
      <c r="V131" s="302"/>
    </row>
    <row r="132" spans="2:22" x14ac:dyDescent="0.25">
      <c r="B132" s="232"/>
      <c r="C132" s="78">
        <v>113</v>
      </c>
      <c r="D132" s="258">
        <v>29767</v>
      </c>
      <c r="E132" s="403" t="s">
        <v>95</v>
      </c>
      <c r="F132" s="241">
        <v>689</v>
      </c>
      <c r="G132" s="134">
        <f t="shared" si="17"/>
        <v>0</v>
      </c>
      <c r="H132" s="241">
        <v>689</v>
      </c>
      <c r="I132" s="135">
        <v>33.25</v>
      </c>
      <c r="J132" s="177">
        <v>0</v>
      </c>
      <c r="K132" s="437">
        <v>689</v>
      </c>
      <c r="L132" s="277">
        <f t="shared" si="20"/>
        <v>0</v>
      </c>
      <c r="M132" s="487">
        <f t="shared" si="22"/>
        <v>-148.98626584080876</v>
      </c>
      <c r="N132" s="241">
        <v>444.73</v>
      </c>
      <c r="O132" s="338">
        <f t="shared" si="23"/>
        <v>540.01373415919124</v>
      </c>
      <c r="P132" s="135">
        <v>60</v>
      </c>
      <c r="Q132" s="136">
        <f t="shared" si="24"/>
        <v>23.471232876712328</v>
      </c>
      <c r="R132" s="340">
        <f t="shared" si="21"/>
        <v>10.40720789074355</v>
      </c>
      <c r="T132" s="292"/>
      <c r="U132" s="292"/>
      <c r="V132" s="302"/>
    </row>
    <row r="133" spans="2:22" x14ac:dyDescent="0.25">
      <c r="B133" s="232"/>
      <c r="C133" s="78">
        <v>114</v>
      </c>
      <c r="D133" s="258">
        <v>30132</v>
      </c>
      <c r="E133" s="403" t="s">
        <v>105</v>
      </c>
      <c r="F133" s="241">
        <v>822.43</v>
      </c>
      <c r="G133" s="134">
        <f t="shared" si="17"/>
        <v>0</v>
      </c>
      <c r="H133" s="241">
        <v>822.43</v>
      </c>
      <c r="I133" s="135">
        <v>33.25</v>
      </c>
      <c r="J133" s="177">
        <v>0</v>
      </c>
      <c r="K133" s="437">
        <v>822.43</v>
      </c>
      <c r="L133" s="277">
        <f t="shared" si="20"/>
        <v>0</v>
      </c>
      <c r="M133" s="487">
        <f t="shared" si="22"/>
        <v>-72.612639572493322</v>
      </c>
      <c r="N133" s="241">
        <v>506.04</v>
      </c>
      <c r="O133" s="338">
        <f t="shared" si="23"/>
        <v>749.81736042750663</v>
      </c>
      <c r="P133" s="135">
        <v>40</v>
      </c>
      <c r="Q133" s="136">
        <f t="shared" si="24"/>
        <v>4.4712328767123291</v>
      </c>
      <c r="R133" s="340">
        <f t="shared" si="21"/>
        <v>70.761243872549002</v>
      </c>
      <c r="T133" s="292"/>
      <c r="U133" s="292"/>
      <c r="V133" s="302"/>
    </row>
    <row r="134" spans="2:22" x14ac:dyDescent="0.25">
      <c r="B134" s="232"/>
      <c r="C134" s="78">
        <v>115</v>
      </c>
      <c r="D134" s="258">
        <v>30132</v>
      </c>
      <c r="E134" s="403" t="s">
        <v>132</v>
      </c>
      <c r="F134" s="241">
        <v>425.95</v>
      </c>
      <c r="G134" s="134">
        <f t="shared" si="17"/>
        <v>0</v>
      </c>
      <c r="H134" s="241">
        <v>425.95</v>
      </c>
      <c r="I134" s="135">
        <v>33.25</v>
      </c>
      <c r="J134" s="177">
        <v>0</v>
      </c>
      <c r="K134" s="437">
        <v>425.95</v>
      </c>
      <c r="L134" s="277">
        <f t="shared" si="20"/>
        <v>0</v>
      </c>
      <c r="M134" s="487">
        <f t="shared" si="22"/>
        <v>-101.5301450281035</v>
      </c>
      <c r="N134" s="241">
        <v>262.14</v>
      </c>
      <c r="O134" s="338">
        <f t="shared" si="23"/>
        <v>324.41985497189648</v>
      </c>
      <c r="P134" s="135">
        <v>60</v>
      </c>
      <c r="Q134" s="136">
        <f t="shared" si="24"/>
        <v>24.471232876712328</v>
      </c>
      <c r="R134" s="340">
        <f t="shared" si="21"/>
        <v>6.6939823107926557</v>
      </c>
      <c r="T134" s="292"/>
      <c r="U134" s="292"/>
      <c r="V134" s="302"/>
    </row>
    <row r="135" spans="2:22" x14ac:dyDescent="0.25">
      <c r="B135" s="232"/>
      <c r="C135" s="78">
        <v>116</v>
      </c>
      <c r="D135" s="258">
        <v>30132</v>
      </c>
      <c r="E135" s="403" t="s">
        <v>107</v>
      </c>
      <c r="F135" s="241">
        <v>7864.31</v>
      </c>
      <c r="G135" s="134">
        <f t="shared" si="17"/>
        <v>0</v>
      </c>
      <c r="H135" s="241">
        <v>7864.31</v>
      </c>
      <c r="I135" s="135">
        <v>33.25</v>
      </c>
      <c r="J135" s="177">
        <v>0.59</v>
      </c>
      <c r="K135" s="437">
        <v>7864.31</v>
      </c>
      <c r="L135" s="277">
        <f t="shared" si="20"/>
        <v>0</v>
      </c>
      <c r="M135" s="487">
        <f t="shared" si="22"/>
        <v>-1874.7840954826179</v>
      </c>
      <c r="N135" s="241">
        <v>4839.51</v>
      </c>
      <c r="O135" s="338">
        <f t="shared" si="23"/>
        <v>5989.5259045173825</v>
      </c>
      <c r="P135" s="135">
        <v>60</v>
      </c>
      <c r="Q135" s="136">
        <f t="shared" si="24"/>
        <v>24.471232876712328</v>
      </c>
      <c r="R135" s="340">
        <f t="shared" si="21"/>
        <v>123.60635915808331</v>
      </c>
      <c r="T135" s="292"/>
      <c r="U135" s="292"/>
      <c r="V135" s="302"/>
    </row>
    <row r="136" spans="2:22" s="239" customFormat="1" x14ac:dyDescent="0.25">
      <c r="B136" s="238"/>
      <c r="C136" s="512">
        <v>117</v>
      </c>
      <c r="D136" s="258">
        <v>30132</v>
      </c>
      <c r="E136" s="403" t="s">
        <v>107</v>
      </c>
      <c r="F136" s="241">
        <v>4831.28</v>
      </c>
      <c r="G136" s="240">
        <f t="shared" si="17"/>
        <v>0</v>
      </c>
      <c r="H136" s="241">
        <v>4831.28</v>
      </c>
      <c r="I136" s="135">
        <v>33.25</v>
      </c>
      <c r="J136" s="177">
        <v>0.36</v>
      </c>
      <c r="K136" s="437">
        <v>4831.28</v>
      </c>
      <c r="L136" s="277">
        <f t="shared" si="20"/>
        <v>0</v>
      </c>
      <c r="M136" s="487">
        <f t="shared" si="22"/>
        <v>-1151.8133509124973</v>
      </c>
      <c r="N136" s="241">
        <v>2972.93</v>
      </c>
      <c r="O136" s="338">
        <f t="shared" si="23"/>
        <v>3679.4666490875024</v>
      </c>
      <c r="P136" s="135">
        <v>60</v>
      </c>
      <c r="Q136" s="136">
        <f t="shared" si="24"/>
        <v>24.471232876712328</v>
      </c>
      <c r="R136" s="340">
        <f t="shared" si="21"/>
        <v>75.940186968204202</v>
      </c>
      <c r="T136" s="301"/>
      <c r="U136" s="301"/>
      <c r="V136" s="304"/>
    </row>
    <row r="137" spans="2:22" x14ac:dyDescent="0.25">
      <c r="B137" s="232"/>
      <c r="C137" s="78">
        <v>118</v>
      </c>
      <c r="D137" s="258">
        <v>30497</v>
      </c>
      <c r="E137" s="403" t="s">
        <v>105</v>
      </c>
      <c r="F137" s="241">
        <v>2988.12</v>
      </c>
      <c r="G137" s="134">
        <f t="shared" si="17"/>
        <v>0</v>
      </c>
      <c r="H137" s="241">
        <v>2988.12</v>
      </c>
      <c r="I137" s="135">
        <v>33.25</v>
      </c>
      <c r="J137" s="177">
        <v>0.23</v>
      </c>
      <c r="K137" s="437">
        <v>2988.12</v>
      </c>
      <c r="L137" s="277">
        <f t="shared" si="20"/>
        <v>0</v>
      </c>
      <c r="M137" s="487">
        <f t="shared" si="22"/>
        <v>-330.9608119315144</v>
      </c>
      <c r="N137" s="241">
        <v>1749.13</v>
      </c>
      <c r="O137" s="338">
        <f t="shared" si="23"/>
        <v>2657.1591880684855</v>
      </c>
      <c r="P137" s="135">
        <v>40</v>
      </c>
      <c r="Q137" s="136">
        <f t="shared" si="24"/>
        <v>5.4712328767123291</v>
      </c>
      <c r="R137" s="340">
        <f t="shared" si="21"/>
        <v>226.45535803705553</v>
      </c>
      <c r="T137" s="292"/>
      <c r="U137" s="292"/>
      <c r="V137" s="302"/>
    </row>
    <row r="138" spans="2:22" x14ac:dyDescent="0.25">
      <c r="B138" s="232"/>
      <c r="C138" s="78">
        <v>119</v>
      </c>
      <c r="D138" s="258">
        <v>30497</v>
      </c>
      <c r="E138" s="403" t="s">
        <v>131</v>
      </c>
      <c r="F138" s="241">
        <v>14810.82</v>
      </c>
      <c r="G138" s="134">
        <f t="shared" si="17"/>
        <v>0</v>
      </c>
      <c r="H138" s="241">
        <v>14810.82</v>
      </c>
      <c r="I138" s="135">
        <v>33.25</v>
      </c>
      <c r="J138" s="177">
        <v>1.1200000000000001</v>
      </c>
      <c r="K138" s="437">
        <v>14810.82</v>
      </c>
      <c r="L138" s="277">
        <f t="shared" si="20"/>
        <v>0</v>
      </c>
      <c r="M138" s="487">
        <f t="shared" si="22"/>
        <v>-3863.8800121819168</v>
      </c>
      <c r="N138" s="241">
        <v>8669.84</v>
      </c>
      <c r="O138" s="338">
        <f t="shared" si="23"/>
        <v>10946.939987818083</v>
      </c>
      <c r="P138" s="135">
        <v>60</v>
      </c>
      <c r="Q138" s="136">
        <f t="shared" si="24"/>
        <v>25.471232876712328</v>
      </c>
      <c r="R138" s="340">
        <f t="shared" si="21"/>
        <v>241.09472948262879</v>
      </c>
      <c r="T138" s="292"/>
      <c r="U138" s="292"/>
      <c r="V138" s="302"/>
    </row>
    <row r="139" spans="2:22" x14ac:dyDescent="0.25">
      <c r="B139" s="232"/>
      <c r="C139" s="78">
        <v>120</v>
      </c>
      <c r="D139" s="258">
        <v>30497</v>
      </c>
      <c r="E139" s="403" t="s">
        <v>108</v>
      </c>
      <c r="F139" s="241">
        <v>8437.11</v>
      </c>
      <c r="G139" s="134">
        <f t="shared" si="17"/>
        <v>0</v>
      </c>
      <c r="H139" s="241">
        <v>8437.11</v>
      </c>
      <c r="I139" s="135">
        <v>33.25</v>
      </c>
      <c r="J139" s="177">
        <v>0.64</v>
      </c>
      <c r="K139" s="437">
        <v>8437.11</v>
      </c>
      <c r="L139" s="277">
        <f t="shared" si="20"/>
        <v>0</v>
      </c>
      <c r="M139" s="487">
        <f t="shared" si="22"/>
        <v>-2201.0911762317273</v>
      </c>
      <c r="N139" s="241">
        <v>4938.8500000000004</v>
      </c>
      <c r="O139" s="338">
        <f t="shared" si="23"/>
        <v>6236.0188237682733</v>
      </c>
      <c r="P139" s="135">
        <v>60</v>
      </c>
      <c r="Q139" s="136">
        <f t="shared" si="24"/>
        <v>25.471232876712328</v>
      </c>
      <c r="R139" s="340">
        <f t="shared" si="21"/>
        <v>137.34160481875875</v>
      </c>
      <c r="T139" s="292"/>
      <c r="U139" s="292"/>
      <c r="V139" s="302"/>
    </row>
    <row r="140" spans="2:22" x14ac:dyDescent="0.25">
      <c r="B140" s="232"/>
      <c r="C140" s="78">
        <v>121</v>
      </c>
      <c r="D140" s="258">
        <v>30497</v>
      </c>
      <c r="E140" s="403" t="s">
        <v>109</v>
      </c>
      <c r="F140" s="241">
        <v>51.59</v>
      </c>
      <c r="G140" s="134">
        <f t="shared" si="17"/>
        <v>0</v>
      </c>
      <c r="H140" s="241">
        <v>51.59</v>
      </c>
      <c r="I140" s="135">
        <v>33.25</v>
      </c>
      <c r="J140" s="177">
        <v>0</v>
      </c>
      <c r="K140" s="437">
        <v>51.59</v>
      </c>
      <c r="L140" s="277">
        <f t="shared" si="20"/>
        <v>0</v>
      </c>
      <c r="M140" s="487">
        <f t="shared" si="22"/>
        <v>-0.65044062997699825</v>
      </c>
      <c r="N140" s="241">
        <v>30.22</v>
      </c>
      <c r="O140" s="338">
        <f t="shared" si="23"/>
        <v>50.939559370023005</v>
      </c>
      <c r="P140" s="135">
        <v>35</v>
      </c>
      <c r="Q140" s="136">
        <f t="shared" si="24"/>
        <v>0.47123287671232877</v>
      </c>
      <c r="R140" s="340">
        <f t="shared" si="21"/>
        <v>0.65044062997699825</v>
      </c>
      <c r="T140" s="292"/>
      <c r="U140" s="292"/>
      <c r="V140" s="302"/>
    </row>
    <row r="141" spans="2:22" x14ac:dyDescent="0.25">
      <c r="B141" s="232"/>
      <c r="C141" s="78">
        <v>122</v>
      </c>
      <c r="D141" s="258">
        <v>30863</v>
      </c>
      <c r="E141" s="403" t="s">
        <v>105</v>
      </c>
      <c r="F141" s="241">
        <v>823.61</v>
      </c>
      <c r="G141" s="134">
        <f t="shared" si="17"/>
        <v>0</v>
      </c>
      <c r="H141" s="241">
        <v>823.61</v>
      </c>
      <c r="I141" s="135">
        <v>33.25</v>
      </c>
      <c r="J141" s="177">
        <v>19.399999999999999</v>
      </c>
      <c r="K141" s="437">
        <v>823.61</v>
      </c>
      <c r="L141" s="277">
        <f t="shared" si="20"/>
        <v>0</v>
      </c>
      <c r="M141" s="487">
        <f t="shared" si="22"/>
        <v>-110.33962509563889</v>
      </c>
      <c r="N141" s="241">
        <v>457.43</v>
      </c>
      <c r="O141" s="338">
        <f t="shared" si="23"/>
        <v>713.27037490436112</v>
      </c>
      <c r="P141" s="135">
        <v>40</v>
      </c>
      <c r="Q141" s="136">
        <f t="shared" si="24"/>
        <v>6.4739726027397264</v>
      </c>
      <c r="R141" s="340">
        <f t="shared" si="21"/>
        <v>56.56187050359712</v>
      </c>
      <c r="T141" s="292"/>
      <c r="U141" s="292"/>
      <c r="V141" s="302"/>
    </row>
    <row r="142" spans="2:22" x14ac:dyDescent="0.25">
      <c r="B142" s="232"/>
      <c r="C142" s="78">
        <v>123</v>
      </c>
      <c r="D142" s="258">
        <v>30863</v>
      </c>
      <c r="E142" s="403" t="str">
        <f>UPPER("Culvert (20' X 15-IN)")</f>
        <v>CULVERT (20' X 15-IN)</v>
      </c>
      <c r="F142" s="241">
        <v>493.49</v>
      </c>
      <c r="G142" s="134">
        <f t="shared" si="17"/>
        <v>0</v>
      </c>
      <c r="H142" s="241">
        <v>493.49</v>
      </c>
      <c r="I142" s="135">
        <v>33.25</v>
      </c>
      <c r="J142" s="177">
        <v>11.73</v>
      </c>
      <c r="K142" s="437">
        <v>493.49</v>
      </c>
      <c r="L142" s="277">
        <f t="shared" si="20"/>
        <v>0</v>
      </c>
      <c r="M142" s="487">
        <f t="shared" si="22"/>
        <v>-114.84453271841284</v>
      </c>
      <c r="N142" s="241">
        <v>274</v>
      </c>
      <c r="O142" s="338">
        <f t="shared" si="23"/>
        <v>378.64546728158717</v>
      </c>
      <c r="P142" s="135">
        <v>50</v>
      </c>
      <c r="Q142" s="136">
        <f t="shared" si="24"/>
        <v>16.473972602739725</v>
      </c>
      <c r="R142" s="340">
        <f t="shared" si="21"/>
        <v>13.323440878097458</v>
      </c>
      <c r="T142" s="292"/>
      <c r="U142" s="292"/>
      <c r="V142" s="302"/>
    </row>
    <row r="143" spans="2:22" x14ac:dyDescent="0.25">
      <c r="B143" s="232"/>
      <c r="C143" s="78">
        <v>124</v>
      </c>
      <c r="D143" s="258">
        <v>31228</v>
      </c>
      <c r="E143" s="403" t="s">
        <v>130</v>
      </c>
      <c r="F143" s="241">
        <v>385</v>
      </c>
      <c r="G143" s="134">
        <f t="shared" si="17"/>
        <v>0</v>
      </c>
      <c r="H143" s="241">
        <v>385</v>
      </c>
      <c r="I143" s="135">
        <v>33.25</v>
      </c>
      <c r="J143" s="177">
        <f t="shared" ref="J143:J194" si="25">F143/I143</f>
        <v>11.578947368421053</v>
      </c>
      <c r="K143" s="437">
        <v>375.98</v>
      </c>
      <c r="L143" s="277">
        <f t="shared" si="20"/>
        <v>9.0199999999999818</v>
      </c>
      <c r="M143" s="487">
        <f t="shared" si="22"/>
        <v>9.0199999999999818</v>
      </c>
      <c r="N143" s="241">
        <v>202.28</v>
      </c>
      <c r="O143" s="338">
        <f t="shared" si="23"/>
        <v>385</v>
      </c>
      <c r="P143" s="135">
        <v>20</v>
      </c>
      <c r="Q143" s="503">
        <f t="shared" si="24"/>
        <v>0</v>
      </c>
      <c r="R143" s="340" t="str">
        <f t="shared" si="21"/>
        <v>0.00</v>
      </c>
      <c r="T143" s="292"/>
      <c r="U143" s="292"/>
      <c r="V143" s="302"/>
    </row>
    <row r="144" spans="2:22" x14ac:dyDescent="0.25">
      <c r="B144" s="232"/>
      <c r="C144" s="78">
        <v>125</v>
      </c>
      <c r="D144" s="258">
        <v>31228</v>
      </c>
      <c r="E144" s="403" t="s">
        <v>110</v>
      </c>
      <c r="F144" s="241">
        <v>95.52</v>
      </c>
      <c r="G144" s="134">
        <f t="shared" si="17"/>
        <v>0</v>
      </c>
      <c r="H144" s="241">
        <v>95.52</v>
      </c>
      <c r="I144" s="135">
        <v>33.25</v>
      </c>
      <c r="J144" s="177">
        <f t="shared" si="25"/>
        <v>2.872781954887218</v>
      </c>
      <c r="K144" s="437">
        <v>93.27</v>
      </c>
      <c r="L144" s="277">
        <f t="shared" si="20"/>
        <v>2.25</v>
      </c>
      <c r="M144" s="487">
        <f t="shared" si="22"/>
        <v>-4.1595738013161991</v>
      </c>
      <c r="N144" s="241">
        <v>50.22</v>
      </c>
      <c r="O144" s="338">
        <f t="shared" si="23"/>
        <v>89.110426198683797</v>
      </c>
      <c r="P144" s="135">
        <v>35</v>
      </c>
      <c r="Q144" s="136">
        <f t="shared" si="24"/>
        <v>2.473972602739726</v>
      </c>
      <c r="R144" s="340">
        <f t="shared" si="21"/>
        <v>18.310631229235881</v>
      </c>
      <c r="T144" s="292"/>
      <c r="U144" s="292"/>
      <c r="V144" s="302"/>
    </row>
    <row r="145" spans="2:22" x14ac:dyDescent="0.25">
      <c r="B145" s="232"/>
      <c r="C145" s="78">
        <v>126</v>
      </c>
      <c r="D145" s="258">
        <v>31228</v>
      </c>
      <c r="E145" s="403" t="str">
        <f>UPPER("Fireproof file cabinet")</f>
        <v>FIREPROOF FILE CABINET</v>
      </c>
      <c r="F145" s="241">
        <v>449.88</v>
      </c>
      <c r="G145" s="134">
        <f t="shared" si="17"/>
        <v>0</v>
      </c>
      <c r="H145" s="241">
        <v>449.88</v>
      </c>
      <c r="I145" s="135">
        <v>33.25</v>
      </c>
      <c r="J145" s="177">
        <f t="shared" si="25"/>
        <v>13.530225563909774</v>
      </c>
      <c r="K145" s="437">
        <v>439.35</v>
      </c>
      <c r="L145" s="277">
        <f t="shared" si="20"/>
        <v>10.529999999999973</v>
      </c>
      <c r="M145" s="487">
        <f t="shared" si="22"/>
        <v>10.529999999999973</v>
      </c>
      <c r="N145" s="241">
        <v>236.4</v>
      </c>
      <c r="O145" s="338">
        <f t="shared" si="23"/>
        <v>449.88</v>
      </c>
      <c r="P145" s="135">
        <v>20</v>
      </c>
      <c r="Q145" s="503">
        <f t="shared" si="24"/>
        <v>0</v>
      </c>
      <c r="R145" s="340" t="str">
        <f t="shared" si="21"/>
        <v>0.00</v>
      </c>
      <c r="T145" s="292"/>
      <c r="U145" s="292"/>
      <c r="V145" s="302"/>
    </row>
    <row r="146" spans="2:22" x14ac:dyDescent="0.25">
      <c r="B146" s="232"/>
      <c r="C146" s="78">
        <v>127</v>
      </c>
      <c r="D146" s="258">
        <v>31228</v>
      </c>
      <c r="E146" s="403" t="str">
        <f>UPPER("Mainline (952') and Improvements")</f>
        <v>MAINLINE (952') AND IMPROVEMENTS</v>
      </c>
      <c r="F146" s="241">
        <v>17200.63</v>
      </c>
      <c r="G146" s="134">
        <f t="shared" si="17"/>
        <v>0</v>
      </c>
      <c r="H146" s="241">
        <v>17200.63</v>
      </c>
      <c r="I146" s="135">
        <v>33.25</v>
      </c>
      <c r="J146" s="177">
        <f t="shared" si="25"/>
        <v>517.3121804511278</v>
      </c>
      <c r="K146" s="437">
        <v>16796.45</v>
      </c>
      <c r="L146" s="277">
        <f t="shared" si="20"/>
        <v>404.18000000000029</v>
      </c>
      <c r="M146" s="487">
        <f t="shared" si="22"/>
        <v>-4875.170437866771</v>
      </c>
      <c r="N146" s="241">
        <v>9036.7999999999993</v>
      </c>
      <c r="O146" s="338">
        <f t="shared" si="23"/>
        <v>11921.27956213323</v>
      </c>
      <c r="P146" s="135">
        <v>60</v>
      </c>
      <c r="Q146" s="136">
        <f t="shared" si="24"/>
        <v>27.473972602739725</v>
      </c>
      <c r="R146" s="340">
        <f t="shared" si="21"/>
        <v>297.1477812126048</v>
      </c>
      <c r="T146" s="292"/>
      <c r="U146" s="292"/>
      <c r="V146" s="302"/>
    </row>
    <row r="147" spans="2:22" x14ac:dyDescent="0.25">
      <c r="B147" s="232"/>
      <c r="C147" s="78">
        <v>128</v>
      </c>
      <c r="D147" s="258">
        <v>31593</v>
      </c>
      <c r="E147" s="403" t="s">
        <v>129</v>
      </c>
      <c r="F147" s="241">
        <v>394.58</v>
      </c>
      <c r="G147" s="134">
        <f t="shared" si="17"/>
        <v>0</v>
      </c>
      <c r="H147" s="241">
        <v>394.58</v>
      </c>
      <c r="I147" s="135">
        <v>33.25</v>
      </c>
      <c r="J147" s="177">
        <f t="shared" si="25"/>
        <v>11.867067669172933</v>
      </c>
      <c r="K147" s="437">
        <v>373.56</v>
      </c>
      <c r="L147" s="277">
        <f t="shared" si="20"/>
        <v>21.019999999999982</v>
      </c>
      <c r="M147" s="487">
        <f t="shared" si="22"/>
        <v>-16.392295835186019</v>
      </c>
      <c r="N147" s="241">
        <v>195.51</v>
      </c>
      <c r="O147" s="338">
        <f t="shared" si="23"/>
        <v>357.16770416481398</v>
      </c>
      <c r="P147" s="135">
        <v>35</v>
      </c>
      <c r="Q147" s="136">
        <f t="shared" si="24"/>
        <v>3.473972602739726</v>
      </c>
      <c r="R147" s="340">
        <f t="shared" si="21"/>
        <v>57.303272870662461</v>
      </c>
      <c r="T147" s="292"/>
      <c r="U147" s="292"/>
      <c r="V147" s="302"/>
    </row>
    <row r="148" spans="2:22" x14ac:dyDescent="0.25">
      <c r="B148" s="232"/>
      <c r="C148" s="78">
        <v>129</v>
      </c>
      <c r="D148" s="258">
        <v>31593</v>
      </c>
      <c r="E148" s="403" t="s">
        <v>95</v>
      </c>
      <c r="F148" s="241">
        <v>4455.79</v>
      </c>
      <c r="G148" s="134">
        <f t="shared" si="17"/>
        <v>0</v>
      </c>
      <c r="H148" s="241">
        <v>4455.79</v>
      </c>
      <c r="I148" s="135">
        <v>33.25</v>
      </c>
      <c r="J148" s="177">
        <f t="shared" si="25"/>
        <v>134.00872180451128</v>
      </c>
      <c r="K148" s="437">
        <v>4217.41</v>
      </c>
      <c r="L148" s="277">
        <f t="shared" si="20"/>
        <v>238.38000000000011</v>
      </c>
      <c r="M148" s="487">
        <f t="shared" si="22"/>
        <v>-1233.9594839969755</v>
      </c>
      <c r="N148" s="241">
        <v>2207.2600000000002</v>
      </c>
      <c r="O148" s="338">
        <f t="shared" si="23"/>
        <v>2983.4505160030244</v>
      </c>
      <c r="P148" s="135">
        <v>60</v>
      </c>
      <c r="Q148" s="136">
        <f t="shared" si="24"/>
        <v>28.473972602739725</v>
      </c>
      <c r="R148" s="340">
        <f t="shared" si="21"/>
        <v>78.967906283075138</v>
      </c>
      <c r="T148" s="292"/>
      <c r="U148" s="292"/>
      <c r="V148" s="302"/>
    </row>
    <row r="149" spans="2:22" x14ac:dyDescent="0.25">
      <c r="B149" s="232"/>
      <c r="C149" s="78">
        <v>130</v>
      </c>
      <c r="D149" s="258">
        <v>31593</v>
      </c>
      <c r="E149" s="403" t="s">
        <v>111</v>
      </c>
      <c r="F149" s="241">
        <v>3994.63</v>
      </c>
      <c r="G149" s="134">
        <f t="shared" si="17"/>
        <v>0</v>
      </c>
      <c r="H149" s="241">
        <v>3994.63</v>
      </c>
      <c r="I149" s="135">
        <v>33.25</v>
      </c>
      <c r="J149" s="177">
        <f t="shared" si="25"/>
        <v>120.13924812030075</v>
      </c>
      <c r="K149" s="437">
        <v>3780.96</v>
      </c>
      <c r="L149" s="277">
        <f t="shared" si="20"/>
        <v>213.67000000000007</v>
      </c>
      <c r="M149" s="487">
        <f t="shared" si="22"/>
        <v>-1106.258024823589</v>
      </c>
      <c r="N149" s="241">
        <v>1978.86</v>
      </c>
      <c r="O149" s="338">
        <f t="shared" si="23"/>
        <v>2674.701975176411</v>
      </c>
      <c r="P149" s="135">
        <v>60</v>
      </c>
      <c r="Q149" s="136">
        <f t="shared" si="24"/>
        <v>28.473972602739725</v>
      </c>
      <c r="R149" s="340">
        <f t="shared" si="21"/>
        <v>70.793423458096811</v>
      </c>
      <c r="T149" s="292"/>
      <c r="U149" s="292"/>
      <c r="V149" s="302"/>
    </row>
    <row r="150" spans="2:22" x14ac:dyDescent="0.25">
      <c r="B150" s="232"/>
      <c r="C150" s="78">
        <v>131</v>
      </c>
      <c r="D150" s="258">
        <v>31958</v>
      </c>
      <c r="E150" s="403" t="s">
        <v>112</v>
      </c>
      <c r="F150" s="241">
        <v>2063.64</v>
      </c>
      <c r="G150" s="134">
        <f t="shared" si="17"/>
        <v>0</v>
      </c>
      <c r="H150" s="241">
        <v>2063.64</v>
      </c>
      <c r="I150" s="135">
        <v>33.25</v>
      </c>
      <c r="J150" s="177">
        <f t="shared" si="25"/>
        <v>62.064360902255636</v>
      </c>
      <c r="K150" s="437">
        <v>1891.26</v>
      </c>
      <c r="L150" s="277">
        <f t="shared" si="20"/>
        <v>172.37999999999988</v>
      </c>
      <c r="M150" s="487">
        <f t="shared" si="22"/>
        <v>-558.61009915624822</v>
      </c>
      <c r="N150" s="241">
        <v>960.36</v>
      </c>
      <c r="O150" s="338">
        <f t="shared" si="23"/>
        <v>1332.6499008437518</v>
      </c>
      <c r="P150" s="135">
        <v>60</v>
      </c>
      <c r="Q150" s="136">
        <f t="shared" si="24"/>
        <v>29.473972602739725</v>
      </c>
      <c r="R150" s="340">
        <f t="shared" si="21"/>
        <v>37.432348020078074</v>
      </c>
      <c r="T150" s="292"/>
      <c r="U150" s="292"/>
      <c r="V150" s="302"/>
    </row>
    <row r="151" spans="2:22" x14ac:dyDescent="0.25">
      <c r="B151" s="232"/>
      <c r="C151" s="78">
        <v>132</v>
      </c>
      <c r="D151" s="258">
        <v>31958</v>
      </c>
      <c r="E151" s="403" t="s">
        <v>113</v>
      </c>
      <c r="F151" s="241">
        <v>6328.7</v>
      </c>
      <c r="G151" s="134">
        <f t="shared" si="17"/>
        <v>0</v>
      </c>
      <c r="H151" s="241">
        <v>6328.7</v>
      </c>
      <c r="I151" s="135">
        <v>33.25</v>
      </c>
      <c r="J151" s="177">
        <f t="shared" si="25"/>
        <v>190.33684210526314</v>
      </c>
      <c r="K151" s="437">
        <v>5800.33</v>
      </c>
      <c r="L151" s="277">
        <f t="shared" si="20"/>
        <v>528.36999999999989</v>
      </c>
      <c r="M151" s="487">
        <f t="shared" si="22"/>
        <v>-1713.3846504896223</v>
      </c>
      <c r="N151" s="241">
        <v>2945.23</v>
      </c>
      <c r="O151" s="338">
        <f t="shared" si="23"/>
        <v>4086.9453495103776</v>
      </c>
      <c r="P151" s="135">
        <v>60</v>
      </c>
      <c r="Q151" s="136">
        <f t="shared" si="24"/>
        <v>29.473972602739725</v>
      </c>
      <c r="R151" s="340">
        <f t="shared" si="21"/>
        <v>114.79518033091652</v>
      </c>
      <c r="T151" s="292"/>
      <c r="U151" s="292"/>
      <c r="V151" s="302"/>
    </row>
    <row r="152" spans="2:22" x14ac:dyDescent="0.25">
      <c r="B152" s="232"/>
      <c r="C152" s="78">
        <v>133</v>
      </c>
      <c r="D152" s="258">
        <v>31958</v>
      </c>
      <c r="E152" s="403" t="s">
        <v>128</v>
      </c>
      <c r="F152" s="241">
        <v>522</v>
      </c>
      <c r="G152" s="134">
        <f t="shared" si="17"/>
        <v>0</v>
      </c>
      <c r="H152" s="241">
        <v>522</v>
      </c>
      <c r="I152" s="135">
        <v>33.25</v>
      </c>
      <c r="J152" s="177">
        <f t="shared" si="25"/>
        <v>15.699248120300751</v>
      </c>
      <c r="K152" s="437">
        <v>478.43</v>
      </c>
      <c r="L152" s="277">
        <f t="shared" si="20"/>
        <v>43.569999999999993</v>
      </c>
      <c r="M152" s="487">
        <f t="shared" si="22"/>
        <v>-20.507799493813252</v>
      </c>
      <c r="N152" s="241">
        <v>242.93</v>
      </c>
      <c r="O152" s="338">
        <f t="shared" si="23"/>
        <v>457.92220050618675</v>
      </c>
      <c r="P152" s="135">
        <v>35</v>
      </c>
      <c r="Q152" s="136">
        <f t="shared" si="24"/>
        <v>4.4739726027397264</v>
      </c>
      <c r="R152" s="340">
        <f t="shared" si="21"/>
        <v>62.376331904470291</v>
      </c>
      <c r="T152" s="292"/>
      <c r="U152" s="292"/>
      <c r="V152" s="302"/>
    </row>
    <row r="153" spans="2:22" x14ac:dyDescent="0.25">
      <c r="B153" s="232"/>
      <c r="C153" s="78">
        <v>134</v>
      </c>
      <c r="D153" s="258">
        <v>32324</v>
      </c>
      <c r="E153" s="403" t="s">
        <v>114</v>
      </c>
      <c r="F153" s="241">
        <v>3463.08</v>
      </c>
      <c r="G153" s="134">
        <f t="shared" si="17"/>
        <v>0</v>
      </c>
      <c r="H153" s="241">
        <v>3463.08</v>
      </c>
      <c r="I153" s="135">
        <v>33.25</v>
      </c>
      <c r="J153" s="177">
        <f t="shared" si="25"/>
        <v>104.15278195488722</v>
      </c>
      <c r="K153" s="437">
        <v>3069.96</v>
      </c>
      <c r="L153" s="277">
        <f t="shared" si="20"/>
        <v>393.11999999999989</v>
      </c>
      <c r="M153" s="487">
        <f t="shared" si="22"/>
        <v>-916.97672227910607</v>
      </c>
      <c r="N153" s="241">
        <v>1507.71</v>
      </c>
      <c r="O153" s="338">
        <f t="shared" si="23"/>
        <v>2152.983277720894</v>
      </c>
      <c r="P153" s="135">
        <v>60</v>
      </c>
      <c r="Q153" s="136">
        <f t="shared" si="24"/>
        <v>30.476712328767125</v>
      </c>
      <c r="R153" s="340">
        <f t="shared" si="21"/>
        <v>64.159479503775614</v>
      </c>
      <c r="T153" s="292"/>
      <c r="U153" s="292"/>
      <c r="V153" s="302"/>
    </row>
    <row r="154" spans="2:22" x14ac:dyDescent="0.25">
      <c r="B154" s="232"/>
      <c r="C154" s="78">
        <v>135</v>
      </c>
      <c r="D154" s="258">
        <v>32324</v>
      </c>
      <c r="E154" s="403" t="str">
        <f>UPPER("New line and pump")</f>
        <v>NEW LINE AND PUMP</v>
      </c>
      <c r="F154" s="241">
        <v>1237.76</v>
      </c>
      <c r="G154" s="134">
        <f t="shared" si="17"/>
        <v>0</v>
      </c>
      <c r="H154" s="241">
        <v>1237.76</v>
      </c>
      <c r="I154" s="135">
        <v>33.25</v>
      </c>
      <c r="J154" s="177">
        <f t="shared" si="25"/>
        <v>37.225864661654136</v>
      </c>
      <c r="K154" s="437">
        <v>1097.3399999999999</v>
      </c>
      <c r="L154" s="277">
        <f t="shared" si="20"/>
        <v>140.42000000000007</v>
      </c>
      <c r="M154" s="487">
        <f t="shared" si="22"/>
        <v>-6.7392635799933487E-2</v>
      </c>
      <c r="N154" s="241">
        <v>538.89</v>
      </c>
      <c r="O154" s="338">
        <f t="shared" si="23"/>
        <v>1097.2726073642</v>
      </c>
      <c r="P154" s="135">
        <v>33.299999999999997</v>
      </c>
      <c r="Q154" s="136">
        <f t="shared" si="24"/>
        <v>3.7767123287671183</v>
      </c>
      <c r="R154" s="340">
        <f t="shared" si="21"/>
        <v>185.0471889735222</v>
      </c>
      <c r="T154" s="292"/>
      <c r="U154" s="292"/>
      <c r="V154" s="302"/>
    </row>
    <row r="155" spans="2:22" x14ac:dyDescent="0.25">
      <c r="B155" s="232"/>
      <c r="C155" s="78">
        <v>136</v>
      </c>
      <c r="D155" s="258">
        <v>32324</v>
      </c>
      <c r="E155" s="403" t="str">
        <f>UPPER("Line improvements")</f>
        <v>LINE IMPROVEMENTS</v>
      </c>
      <c r="F155" s="241">
        <v>2862.37</v>
      </c>
      <c r="G155" s="134">
        <f t="shared" si="17"/>
        <v>0</v>
      </c>
      <c r="H155" s="241">
        <v>2862.37</v>
      </c>
      <c r="I155" s="135">
        <v>33.25</v>
      </c>
      <c r="J155" s="177">
        <f t="shared" si="25"/>
        <v>86.086315789473687</v>
      </c>
      <c r="K155" s="437">
        <v>2537.5700000000002</v>
      </c>
      <c r="L155" s="277">
        <f t="shared" si="20"/>
        <v>324.79999999999973</v>
      </c>
      <c r="M155" s="487">
        <f t="shared" si="22"/>
        <v>-758.01952659157996</v>
      </c>
      <c r="N155" s="241">
        <v>1246.22</v>
      </c>
      <c r="O155" s="338">
        <f t="shared" si="23"/>
        <v>1779.5504734084202</v>
      </c>
      <c r="P155" s="135">
        <v>60</v>
      </c>
      <c r="Q155" s="136">
        <f t="shared" ref="Q155:Q183" si="26">IF((($F$7)-D155)&gt;=P155*365,0,P155*365-(($F$7)-D155))/365</f>
        <v>30.476712328767125</v>
      </c>
      <c r="R155" s="340">
        <f t="shared" si="21"/>
        <v>53.029013843941023</v>
      </c>
      <c r="T155" s="292"/>
      <c r="U155" s="292"/>
      <c r="V155" s="302"/>
    </row>
    <row r="156" spans="2:22" x14ac:dyDescent="0.25">
      <c r="B156" s="232"/>
      <c r="C156" s="78">
        <v>137</v>
      </c>
      <c r="D156" s="258">
        <v>32690</v>
      </c>
      <c r="E156" s="403" t="str">
        <f>UPPER("Computer &amp; accessories")</f>
        <v>COMPUTER &amp; ACCESSORIES</v>
      </c>
      <c r="F156" s="241">
        <v>1212</v>
      </c>
      <c r="G156" s="134">
        <f t="shared" si="17"/>
        <v>0</v>
      </c>
      <c r="H156" s="241">
        <v>1212</v>
      </c>
      <c r="I156" s="135">
        <v>6</v>
      </c>
      <c r="J156" s="266">
        <v>0</v>
      </c>
      <c r="K156" s="437">
        <v>1212</v>
      </c>
      <c r="L156" s="277">
        <f t="shared" ref="L156:L198" si="27">F156-K156</f>
        <v>0</v>
      </c>
      <c r="M156" s="487">
        <f t="shared" si="22"/>
        <v>0</v>
      </c>
      <c r="N156" s="241">
        <v>1212</v>
      </c>
      <c r="O156" s="338">
        <f t="shared" si="23"/>
        <v>1212</v>
      </c>
      <c r="P156" s="135">
        <v>6</v>
      </c>
      <c r="Q156" s="503">
        <f t="shared" si="26"/>
        <v>0</v>
      </c>
      <c r="R156" s="340" t="str">
        <f t="shared" ref="R156:R183" si="28">IF(Q156&lt;1,(IF(Q156=0,"0.00",H156-O156)),(H156-N156)/((P156*365-(($F$7)-D156))/365))</f>
        <v>0.00</v>
      </c>
      <c r="T156" s="292"/>
      <c r="U156" s="292"/>
      <c r="V156" s="302"/>
    </row>
    <row r="157" spans="2:22" x14ac:dyDescent="0.25">
      <c r="B157" s="232"/>
      <c r="C157" s="78">
        <v>138</v>
      </c>
      <c r="D157" s="258">
        <v>32689</v>
      </c>
      <c r="E157" s="403" t="s">
        <v>115</v>
      </c>
      <c r="F157" s="241">
        <v>3045.19</v>
      </c>
      <c r="G157" s="134">
        <f t="shared" si="17"/>
        <v>0</v>
      </c>
      <c r="H157" s="241">
        <v>3045.19</v>
      </c>
      <c r="I157" s="135">
        <v>33.25</v>
      </c>
      <c r="J157" s="177">
        <f t="shared" si="25"/>
        <v>91.584661654135346</v>
      </c>
      <c r="K157" s="437">
        <v>2608.7800000000002</v>
      </c>
      <c r="L157" s="277">
        <f t="shared" si="27"/>
        <v>436.40999999999985</v>
      </c>
      <c r="M157" s="487">
        <f t="shared" si="22"/>
        <v>-347.88362743069911</v>
      </c>
      <c r="N157" s="241">
        <v>1235.08</v>
      </c>
      <c r="O157" s="338">
        <f t="shared" si="23"/>
        <v>2260.8963725693011</v>
      </c>
      <c r="P157" s="135">
        <v>40</v>
      </c>
      <c r="Q157" s="136">
        <f t="shared" si="26"/>
        <v>11.476712328767123</v>
      </c>
      <c r="R157" s="340">
        <f t="shared" si="28"/>
        <v>157.72025543089043</v>
      </c>
      <c r="T157" s="292"/>
      <c r="U157" s="292"/>
      <c r="V157" s="302"/>
    </row>
    <row r="158" spans="2:22" x14ac:dyDescent="0.25">
      <c r="B158" s="232"/>
      <c r="C158" s="78">
        <v>139</v>
      </c>
      <c r="D158" s="258">
        <v>32669</v>
      </c>
      <c r="E158" s="403" t="s">
        <v>116</v>
      </c>
      <c r="F158" s="241">
        <v>1042.73</v>
      </c>
      <c r="G158" s="134">
        <f t="shared" si="17"/>
        <v>0</v>
      </c>
      <c r="H158" s="241">
        <v>1042.73</v>
      </c>
      <c r="I158" s="135">
        <v>33.25</v>
      </c>
      <c r="J158" s="177">
        <f t="shared" si="25"/>
        <v>31.360300751879699</v>
      </c>
      <c r="K158" s="437">
        <v>895.01</v>
      </c>
      <c r="L158" s="277">
        <f t="shared" si="27"/>
        <v>147.72000000000003</v>
      </c>
      <c r="M158" s="487">
        <f t="shared" si="22"/>
        <v>-270.57232239792302</v>
      </c>
      <c r="N158" s="241">
        <v>424.61</v>
      </c>
      <c r="O158" s="338">
        <f t="shared" si="23"/>
        <v>624.43767760207697</v>
      </c>
      <c r="P158" s="135">
        <v>60</v>
      </c>
      <c r="Q158" s="136">
        <f t="shared" si="26"/>
        <v>31.421917808219177</v>
      </c>
      <c r="R158" s="340">
        <f t="shared" si="28"/>
        <v>19.671619147266544</v>
      </c>
      <c r="T158" s="292"/>
      <c r="U158" s="292"/>
      <c r="V158" s="302"/>
    </row>
    <row r="159" spans="2:22" x14ac:dyDescent="0.25">
      <c r="B159" s="232"/>
      <c r="C159" s="78">
        <v>140</v>
      </c>
      <c r="D159" s="258">
        <v>32812</v>
      </c>
      <c r="E159" s="403" t="str">
        <f>UPPER("Poles at rear")</f>
        <v>POLES AT REAR</v>
      </c>
      <c r="F159" s="241">
        <v>1834.12</v>
      </c>
      <c r="G159" s="134">
        <f t="shared" si="17"/>
        <v>0</v>
      </c>
      <c r="H159" s="241">
        <v>1834.12</v>
      </c>
      <c r="I159" s="135">
        <v>33.25</v>
      </c>
      <c r="J159" s="177">
        <f t="shared" si="25"/>
        <v>55.161503759398492</v>
      </c>
      <c r="K159" s="437">
        <v>1552.71</v>
      </c>
      <c r="L159" s="277">
        <f t="shared" si="27"/>
        <v>281.40999999999985</v>
      </c>
      <c r="M159" s="487">
        <f t="shared" ref="M159:M183" si="29">O159-K159</f>
        <v>-375.41205341864452</v>
      </c>
      <c r="N159" s="241">
        <v>725.31</v>
      </c>
      <c r="O159" s="338">
        <f t="shared" si="23"/>
        <v>1177.2979465813555</v>
      </c>
      <c r="P159" s="135">
        <v>50</v>
      </c>
      <c r="Q159" s="136">
        <f t="shared" si="26"/>
        <v>21.813698630136987</v>
      </c>
      <c r="R159" s="340">
        <f t="shared" si="28"/>
        <v>50.830903039437324</v>
      </c>
      <c r="T159" s="292"/>
      <c r="U159" s="292"/>
      <c r="V159" s="302"/>
    </row>
    <row r="160" spans="2:22" x14ac:dyDescent="0.25">
      <c r="B160" s="232"/>
      <c r="C160" s="78">
        <v>141</v>
      </c>
      <c r="D160" s="258">
        <v>33054</v>
      </c>
      <c r="E160" s="403" t="s">
        <v>117</v>
      </c>
      <c r="F160" s="241">
        <v>9907.24</v>
      </c>
      <c r="G160" s="134">
        <f t="shared" si="17"/>
        <v>0</v>
      </c>
      <c r="H160" s="241">
        <v>9907.24</v>
      </c>
      <c r="I160" s="135">
        <v>33.25</v>
      </c>
      <c r="J160" s="177">
        <f t="shared" si="25"/>
        <v>297.96210526315787</v>
      </c>
      <c r="K160" s="437">
        <v>8190.38</v>
      </c>
      <c r="L160" s="277">
        <f t="shared" si="27"/>
        <v>1716.8599999999997</v>
      </c>
      <c r="M160" s="487">
        <f t="shared" si="29"/>
        <v>-2513.9094017192638</v>
      </c>
      <c r="N160" s="241">
        <v>3720.98</v>
      </c>
      <c r="O160" s="338">
        <f t="shared" si="23"/>
        <v>5676.4705982807363</v>
      </c>
      <c r="P160" s="135">
        <v>60</v>
      </c>
      <c r="Q160" s="136">
        <f t="shared" si="26"/>
        <v>32.476712328767121</v>
      </c>
      <c r="R160" s="340">
        <f t="shared" si="28"/>
        <v>190.48295090264892</v>
      </c>
      <c r="T160" s="292"/>
      <c r="U160" s="292"/>
      <c r="V160" s="302"/>
    </row>
    <row r="161" spans="2:23" x14ac:dyDescent="0.25">
      <c r="B161" s="232"/>
      <c r="C161" s="78">
        <v>142</v>
      </c>
      <c r="D161" s="258">
        <v>33054</v>
      </c>
      <c r="E161" s="403" t="s">
        <v>118</v>
      </c>
      <c r="F161" s="241">
        <v>2150.62</v>
      </c>
      <c r="G161" s="134">
        <f t="shared" si="17"/>
        <v>0</v>
      </c>
      <c r="H161" s="241">
        <v>2150.62</v>
      </c>
      <c r="I161" s="135">
        <v>33.25</v>
      </c>
      <c r="J161" s="177">
        <f t="shared" si="25"/>
        <v>64.680300751879699</v>
      </c>
      <c r="K161" s="437">
        <v>1777.94</v>
      </c>
      <c r="L161" s="277">
        <f t="shared" si="27"/>
        <v>372.67999999999984</v>
      </c>
      <c r="M161" s="487">
        <f t="shared" si="29"/>
        <v>-236.85608292634333</v>
      </c>
      <c r="N161" s="241">
        <v>807.74</v>
      </c>
      <c r="O161" s="338">
        <f t="shared" si="23"/>
        <v>1541.0839170736567</v>
      </c>
      <c r="P161" s="135">
        <v>40</v>
      </c>
      <c r="Q161" s="136">
        <f t="shared" si="26"/>
        <v>12.476712328767123</v>
      </c>
      <c r="R161" s="340">
        <f t="shared" si="28"/>
        <v>107.63091787439613</v>
      </c>
      <c r="T161" s="292"/>
      <c r="U161" s="292"/>
      <c r="V161" s="302"/>
    </row>
    <row r="162" spans="2:23" x14ac:dyDescent="0.25">
      <c r="B162" s="232"/>
      <c r="C162" s="78">
        <v>143</v>
      </c>
      <c r="D162" s="258">
        <v>33419</v>
      </c>
      <c r="E162" s="403" t="str">
        <f>UPPER("Collection Pipe")</f>
        <v>COLLECTION PIPE</v>
      </c>
      <c r="F162" s="241">
        <v>1805</v>
      </c>
      <c r="G162" s="134">
        <f t="shared" si="17"/>
        <v>0</v>
      </c>
      <c r="H162" s="241">
        <v>1805</v>
      </c>
      <c r="I162" s="135">
        <v>33.25</v>
      </c>
      <c r="J162" s="177">
        <f t="shared" si="25"/>
        <v>54.285714285714285</v>
      </c>
      <c r="K162" s="437">
        <v>1438.15</v>
      </c>
      <c r="L162" s="277">
        <f t="shared" si="27"/>
        <v>366.84999999999991</v>
      </c>
      <c r="M162" s="487">
        <f t="shared" si="29"/>
        <v>-448.67055599502783</v>
      </c>
      <c r="N162" s="241">
        <v>623.79999999999995</v>
      </c>
      <c r="O162" s="338">
        <f t="shared" si="23"/>
        <v>989.47944400497227</v>
      </c>
      <c r="P162" s="135">
        <v>60</v>
      </c>
      <c r="Q162" s="136">
        <f t="shared" si="26"/>
        <v>33.476712328767121</v>
      </c>
      <c r="R162" s="340">
        <f t="shared" si="28"/>
        <v>35.28422947868075</v>
      </c>
      <c r="T162" s="292"/>
      <c r="U162" s="292"/>
      <c r="V162" s="302"/>
    </row>
    <row r="163" spans="2:23" x14ac:dyDescent="0.25">
      <c r="B163" s="232"/>
      <c r="C163" s="78">
        <v>144</v>
      </c>
      <c r="D163" s="258">
        <v>33420</v>
      </c>
      <c r="E163" s="403" t="s">
        <v>119</v>
      </c>
      <c r="F163" s="241">
        <v>2200.89</v>
      </c>
      <c r="G163" s="134">
        <f t="shared" si="17"/>
        <v>0</v>
      </c>
      <c r="H163" s="241">
        <v>2200.89</v>
      </c>
      <c r="I163" s="135">
        <v>33.25</v>
      </c>
      <c r="J163" s="177">
        <f t="shared" si="25"/>
        <v>66.192180451127811</v>
      </c>
      <c r="K163" s="437">
        <v>1753.26</v>
      </c>
      <c r="L163" s="277">
        <f t="shared" si="27"/>
        <v>447.62999999999988</v>
      </c>
      <c r="M163" s="487">
        <f t="shared" si="29"/>
        <v>-233.8933772478124</v>
      </c>
      <c r="N163" s="241">
        <v>760.41</v>
      </c>
      <c r="O163" s="338">
        <f t="shared" si="23"/>
        <v>1519.3666227521876</v>
      </c>
      <c r="P163" s="135">
        <v>40</v>
      </c>
      <c r="Q163" s="136">
        <f t="shared" si="26"/>
        <v>13.479452054794521</v>
      </c>
      <c r="R163" s="340">
        <f t="shared" si="28"/>
        <v>106.86487804878048</v>
      </c>
      <c r="T163" s="292"/>
      <c r="U163" s="292"/>
      <c r="V163" s="302"/>
    </row>
    <row r="164" spans="2:23" x14ac:dyDescent="0.25">
      <c r="B164" s="232"/>
      <c r="C164" s="78">
        <v>145</v>
      </c>
      <c r="D164" s="258">
        <v>33785</v>
      </c>
      <c r="E164" s="403" t="s">
        <v>120</v>
      </c>
      <c r="F164" s="241">
        <v>3149.84</v>
      </c>
      <c r="G164" s="134">
        <f t="shared" si="17"/>
        <v>0</v>
      </c>
      <c r="H164" s="241">
        <v>3149.84</v>
      </c>
      <c r="I164" s="135">
        <v>33.25</v>
      </c>
      <c r="J164" s="177">
        <f t="shared" si="25"/>
        <v>94.732030075187978</v>
      </c>
      <c r="K164" s="437">
        <v>2414.35</v>
      </c>
      <c r="L164" s="277">
        <f t="shared" si="27"/>
        <v>735.49000000000024</v>
      </c>
      <c r="M164" s="487">
        <f t="shared" si="29"/>
        <v>-323.29719806763296</v>
      </c>
      <c r="N164" s="241">
        <v>993.4</v>
      </c>
      <c r="O164" s="338">
        <f t="shared" si="23"/>
        <v>2091.0528019323669</v>
      </c>
      <c r="P164" s="135">
        <v>40</v>
      </c>
      <c r="Q164" s="136">
        <f t="shared" si="26"/>
        <v>14.479452054794521</v>
      </c>
      <c r="R164" s="340">
        <f t="shared" si="28"/>
        <v>148.93105014191107</v>
      </c>
      <c r="T164" s="292"/>
      <c r="U164" s="292"/>
      <c r="V164" s="302"/>
    </row>
    <row r="165" spans="2:23" x14ac:dyDescent="0.25">
      <c r="B165" s="232"/>
      <c r="C165" s="78">
        <v>146</v>
      </c>
      <c r="D165" s="258">
        <v>33785</v>
      </c>
      <c r="E165" s="403" t="s">
        <v>121</v>
      </c>
      <c r="F165" s="241">
        <v>2206.94</v>
      </c>
      <c r="G165" s="134">
        <f t="shared" si="17"/>
        <v>0</v>
      </c>
      <c r="H165" s="241">
        <v>2206.94</v>
      </c>
      <c r="I165" s="135">
        <v>33.25</v>
      </c>
      <c r="J165" s="177">
        <f t="shared" si="25"/>
        <v>66.374135338345866</v>
      </c>
      <c r="K165" s="437">
        <v>1691.55</v>
      </c>
      <c r="L165" s="277">
        <f t="shared" si="27"/>
        <v>515.3900000000001</v>
      </c>
      <c r="M165" s="487">
        <f t="shared" si="29"/>
        <v>-537.26610606731606</v>
      </c>
      <c r="N165" s="241">
        <v>696</v>
      </c>
      <c r="O165" s="338">
        <f t="shared" ref="O165:O183" si="30">IF(N165+((H165-N165)/(ABS(P165*365-($N$10-D165))))*(($F$7-$N$10))&gt;=H165,H165,N165+((H165-N165)/(P165*365-($N$10-D165)))*(($F$7-$N$10)))</f>
        <v>1154.2838939326839</v>
      </c>
      <c r="P165" s="135">
        <v>60</v>
      </c>
      <c r="Q165" s="136">
        <f t="shared" si="26"/>
        <v>34.479452054794521</v>
      </c>
      <c r="R165" s="340">
        <f t="shared" si="28"/>
        <v>43.821462058005565</v>
      </c>
      <c r="T165" s="292"/>
      <c r="U165" s="292"/>
      <c r="V165" s="302"/>
    </row>
    <row r="166" spans="2:23" x14ac:dyDescent="0.25">
      <c r="B166" s="232"/>
      <c r="C166" s="78">
        <v>149</v>
      </c>
      <c r="D166" s="258">
        <v>34288</v>
      </c>
      <c r="E166" s="403" t="s">
        <v>122</v>
      </c>
      <c r="F166" s="241">
        <v>5798.81</v>
      </c>
      <c r="G166" s="134">
        <f t="shared" si="17"/>
        <v>0</v>
      </c>
      <c r="H166" s="241">
        <v>5798.81</v>
      </c>
      <c r="I166" s="135">
        <v>10</v>
      </c>
      <c r="J166" s="266">
        <v>0</v>
      </c>
      <c r="K166" s="437">
        <v>5798.81</v>
      </c>
      <c r="L166" s="277">
        <f t="shared" si="27"/>
        <v>0</v>
      </c>
      <c r="M166" s="487">
        <f t="shared" si="29"/>
        <v>0</v>
      </c>
      <c r="N166" s="241">
        <v>5293.59</v>
      </c>
      <c r="O166" s="338">
        <f t="shared" si="30"/>
        <v>5798.81</v>
      </c>
      <c r="P166" s="135">
        <v>7</v>
      </c>
      <c r="Q166" s="503">
        <f t="shared" si="26"/>
        <v>0</v>
      </c>
      <c r="R166" s="340" t="str">
        <f t="shared" si="28"/>
        <v>0.00</v>
      </c>
      <c r="T166" s="292"/>
      <c r="U166" s="292"/>
      <c r="V166" s="302"/>
      <c r="W166" s="507"/>
    </row>
    <row r="167" spans="2:23" x14ac:dyDescent="0.25">
      <c r="B167" s="232"/>
      <c r="C167" s="78">
        <v>150</v>
      </c>
      <c r="D167" s="258">
        <v>34150</v>
      </c>
      <c r="E167" s="403" t="s">
        <v>123</v>
      </c>
      <c r="F167" s="241">
        <v>261</v>
      </c>
      <c r="G167" s="134">
        <f t="shared" si="17"/>
        <v>0</v>
      </c>
      <c r="H167" s="241">
        <v>261</v>
      </c>
      <c r="I167" s="135">
        <v>25</v>
      </c>
      <c r="J167" s="177">
        <f t="shared" si="25"/>
        <v>10.44</v>
      </c>
      <c r="K167" s="437">
        <v>255.85</v>
      </c>
      <c r="L167" s="277">
        <f t="shared" si="27"/>
        <v>5.1500000000000057</v>
      </c>
      <c r="M167" s="487">
        <f t="shared" si="29"/>
        <v>-76.967665558450875</v>
      </c>
      <c r="N167" s="241">
        <v>99.25</v>
      </c>
      <c r="O167" s="338">
        <f t="shared" si="30"/>
        <v>178.88233444154912</v>
      </c>
      <c r="P167" s="135">
        <v>40</v>
      </c>
      <c r="Q167" s="136">
        <f t="shared" si="26"/>
        <v>15.479452054794521</v>
      </c>
      <c r="R167" s="340">
        <f t="shared" si="28"/>
        <v>10.44933628318584</v>
      </c>
      <c r="T167" s="292"/>
      <c r="U167" s="292"/>
      <c r="V167" s="302"/>
    </row>
    <row r="168" spans="2:23" x14ac:dyDescent="0.25">
      <c r="B168" s="232"/>
      <c r="C168" s="78">
        <v>151</v>
      </c>
      <c r="D168" s="258">
        <v>34768</v>
      </c>
      <c r="E168" s="403" t="s">
        <v>252</v>
      </c>
      <c r="F168" s="241">
        <v>325</v>
      </c>
      <c r="G168" s="134">
        <f t="shared" si="17"/>
        <v>0</v>
      </c>
      <c r="H168" s="241">
        <v>325</v>
      </c>
      <c r="I168" s="135">
        <v>6</v>
      </c>
      <c r="J168" s="266">
        <v>0</v>
      </c>
      <c r="K168" s="437">
        <v>325</v>
      </c>
      <c r="L168" s="277">
        <f t="shared" si="27"/>
        <v>0</v>
      </c>
      <c r="M168" s="487">
        <f t="shared" si="29"/>
        <v>0</v>
      </c>
      <c r="N168" s="241">
        <v>325</v>
      </c>
      <c r="O168" s="338">
        <f t="shared" si="30"/>
        <v>325</v>
      </c>
      <c r="P168" s="135">
        <v>20</v>
      </c>
      <c r="Q168" s="136">
        <f t="shared" si="26"/>
        <v>0</v>
      </c>
      <c r="R168" s="340" t="str">
        <f t="shared" si="28"/>
        <v>0.00</v>
      </c>
      <c r="T168" s="292"/>
      <c r="U168" s="292"/>
      <c r="V168" s="302"/>
    </row>
    <row r="169" spans="2:23" x14ac:dyDescent="0.25">
      <c r="B169" s="232"/>
      <c r="C169" s="78">
        <v>152</v>
      </c>
      <c r="D169" s="258">
        <v>35064</v>
      </c>
      <c r="E169" s="403" t="s">
        <v>69</v>
      </c>
      <c r="F169" s="241">
        <v>822.59</v>
      </c>
      <c r="G169" s="134">
        <f t="shared" si="17"/>
        <v>0</v>
      </c>
      <c r="H169" s="241">
        <v>822.59</v>
      </c>
      <c r="I169" s="135">
        <v>50</v>
      </c>
      <c r="J169" s="177">
        <f t="shared" si="25"/>
        <v>16.451800000000002</v>
      </c>
      <c r="K169" s="437">
        <v>361.95</v>
      </c>
      <c r="L169" s="277">
        <f t="shared" si="27"/>
        <v>460.64000000000004</v>
      </c>
      <c r="M169" s="487">
        <f t="shared" si="29"/>
        <v>-46.378299126298884</v>
      </c>
      <c r="N169" s="241">
        <v>115.2</v>
      </c>
      <c r="O169" s="338">
        <f t="shared" si="30"/>
        <v>315.5717008737011</v>
      </c>
      <c r="P169" s="135">
        <v>60</v>
      </c>
      <c r="Q169" s="136">
        <f t="shared" si="26"/>
        <v>37.983561643835614</v>
      </c>
      <c r="R169" s="340">
        <f t="shared" si="28"/>
        <v>18.623582660126949</v>
      </c>
      <c r="T169" s="292"/>
      <c r="U169" s="292"/>
      <c r="V169" s="302"/>
    </row>
    <row r="170" spans="2:23" s="552" customFormat="1" x14ac:dyDescent="0.25">
      <c r="B170" s="571"/>
      <c r="C170" s="539">
        <v>153</v>
      </c>
      <c r="D170" s="540">
        <v>35095</v>
      </c>
      <c r="E170" s="541" t="s">
        <v>306</v>
      </c>
      <c r="F170" s="542">
        <v>0</v>
      </c>
      <c r="G170" s="543">
        <v>0</v>
      </c>
      <c r="H170" s="542">
        <v>0</v>
      </c>
      <c r="I170" s="544">
        <v>6</v>
      </c>
      <c r="J170" s="545">
        <v>0</v>
      </c>
      <c r="K170" s="546">
        <v>0</v>
      </c>
      <c r="L170" s="547">
        <f t="shared" si="27"/>
        <v>0</v>
      </c>
      <c r="M170" s="573">
        <f t="shared" si="29"/>
        <v>0</v>
      </c>
      <c r="N170" s="542">
        <v>0</v>
      </c>
      <c r="O170" s="574">
        <f t="shared" si="30"/>
        <v>0</v>
      </c>
      <c r="P170" s="544">
        <v>7</v>
      </c>
      <c r="Q170" s="550">
        <f t="shared" si="26"/>
        <v>0</v>
      </c>
      <c r="R170" s="551" t="str">
        <f t="shared" si="28"/>
        <v>0.00</v>
      </c>
      <c r="T170" s="553"/>
      <c r="U170" s="553"/>
      <c r="V170" s="572"/>
    </row>
    <row r="171" spans="2:23" x14ac:dyDescent="0.25">
      <c r="B171" s="232"/>
      <c r="C171" s="78">
        <v>154</v>
      </c>
      <c r="D171" s="258">
        <v>35266</v>
      </c>
      <c r="E171" s="403" t="s">
        <v>70</v>
      </c>
      <c r="F171" s="241">
        <v>4415</v>
      </c>
      <c r="G171" s="134">
        <f t="shared" si="17"/>
        <v>0</v>
      </c>
      <c r="H171" s="241">
        <v>4415</v>
      </c>
      <c r="I171" s="135">
        <v>10</v>
      </c>
      <c r="J171" s="266">
        <v>0</v>
      </c>
      <c r="K171" s="437">
        <v>4415</v>
      </c>
      <c r="L171" s="277">
        <f t="shared" si="27"/>
        <v>0</v>
      </c>
      <c r="M171" s="487">
        <f t="shared" si="29"/>
        <v>0</v>
      </c>
      <c r="N171" s="241">
        <v>2848.04</v>
      </c>
      <c r="O171" s="338">
        <f t="shared" si="30"/>
        <v>4415</v>
      </c>
      <c r="P171" s="135">
        <v>20</v>
      </c>
      <c r="Q171" s="136">
        <f t="shared" si="26"/>
        <v>0</v>
      </c>
      <c r="R171" s="340" t="str">
        <f t="shared" si="28"/>
        <v>0.00</v>
      </c>
      <c r="T171" s="292"/>
      <c r="U171" s="292"/>
      <c r="V171" s="302"/>
    </row>
    <row r="172" spans="2:23" x14ac:dyDescent="0.25">
      <c r="B172" s="232"/>
      <c r="C172" s="78">
        <v>155</v>
      </c>
      <c r="D172" s="258">
        <v>35409</v>
      </c>
      <c r="E172" s="403" t="s">
        <v>71</v>
      </c>
      <c r="F172" s="241">
        <v>423.96</v>
      </c>
      <c r="G172" s="134">
        <f t="shared" si="17"/>
        <v>0</v>
      </c>
      <c r="H172" s="241">
        <v>423.96</v>
      </c>
      <c r="I172" s="135">
        <v>6</v>
      </c>
      <c r="J172" s="266">
        <v>0</v>
      </c>
      <c r="K172" s="437">
        <v>423.96</v>
      </c>
      <c r="L172" s="277">
        <f t="shared" si="27"/>
        <v>0</v>
      </c>
      <c r="M172" s="487">
        <f t="shared" si="29"/>
        <v>0</v>
      </c>
      <c r="N172" s="241">
        <v>423.96</v>
      </c>
      <c r="O172" s="338">
        <f t="shared" si="30"/>
        <v>423.96</v>
      </c>
      <c r="P172" s="135">
        <v>7</v>
      </c>
      <c r="Q172" s="503">
        <f t="shared" si="26"/>
        <v>0</v>
      </c>
      <c r="R172" s="340" t="str">
        <f t="shared" si="28"/>
        <v>0.00</v>
      </c>
      <c r="T172" s="292"/>
      <c r="U172" s="292"/>
      <c r="V172" s="302"/>
    </row>
    <row r="173" spans="2:23" x14ac:dyDescent="0.25">
      <c r="B173" s="232"/>
      <c r="C173" s="78">
        <v>156</v>
      </c>
      <c r="D173" s="258">
        <v>35430</v>
      </c>
      <c r="E173" s="403" t="s">
        <v>72</v>
      </c>
      <c r="F173" s="241">
        <v>1739.6</v>
      </c>
      <c r="G173" s="134">
        <f t="shared" si="17"/>
        <v>0</v>
      </c>
      <c r="H173" s="241">
        <v>1739.6</v>
      </c>
      <c r="I173" s="135">
        <v>50</v>
      </c>
      <c r="J173" s="177">
        <f t="shared" si="25"/>
        <v>34.792000000000002</v>
      </c>
      <c r="K173" s="437">
        <v>730.69</v>
      </c>
      <c r="L173" s="277">
        <f t="shared" si="27"/>
        <v>1008.9099999999999</v>
      </c>
      <c r="M173" s="487">
        <f t="shared" si="29"/>
        <v>0.41377981194341373</v>
      </c>
      <c r="N173" s="241">
        <v>208.84</v>
      </c>
      <c r="O173" s="338">
        <f t="shared" si="30"/>
        <v>731.10377981194347</v>
      </c>
      <c r="P173" s="135">
        <v>50</v>
      </c>
      <c r="Q173" s="136">
        <f t="shared" si="26"/>
        <v>28.986301369863014</v>
      </c>
      <c r="R173" s="340">
        <f t="shared" si="28"/>
        <v>52.809773156899809</v>
      </c>
      <c r="T173" s="292"/>
      <c r="U173" s="292"/>
      <c r="V173" s="302"/>
    </row>
    <row r="174" spans="2:23" x14ac:dyDescent="0.25">
      <c r="B174" s="232"/>
      <c r="C174" s="78">
        <v>157</v>
      </c>
      <c r="D174" s="258">
        <v>35430</v>
      </c>
      <c r="E174" s="403" t="s">
        <v>140</v>
      </c>
      <c r="F174" s="241">
        <v>3917.5</v>
      </c>
      <c r="G174" s="134">
        <f t="shared" si="17"/>
        <v>0</v>
      </c>
      <c r="H174" s="241">
        <v>3917.5</v>
      </c>
      <c r="I174" s="135">
        <v>50</v>
      </c>
      <c r="J174" s="177">
        <f t="shared" si="25"/>
        <v>78.349999999999994</v>
      </c>
      <c r="K174" s="437">
        <v>1645.56</v>
      </c>
      <c r="L174" s="277">
        <f t="shared" si="27"/>
        <v>2271.94</v>
      </c>
      <c r="M174" s="487">
        <f t="shared" si="29"/>
        <v>-216.94902024455814</v>
      </c>
      <c r="N174" s="241">
        <v>470.31</v>
      </c>
      <c r="O174" s="338">
        <f t="shared" si="30"/>
        <v>1428.6109797554418</v>
      </c>
      <c r="P174" s="135">
        <v>60</v>
      </c>
      <c r="Q174" s="136">
        <f t="shared" si="26"/>
        <v>38.986301369863014</v>
      </c>
      <c r="R174" s="340">
        <f t="shared" si="28"/>
        <v>88.420544624033738</v>
      </c>
      <c r="T174" s="292"/>
      <c r="U174" s="292"/>
      <c r="V174" s="302"/>
    </row>
    <row r="175" spans="2:23" s="552" customFormat="1" x14ac:dyDescent="0.25">
      <c r="B175" s="571"/>
      <c r="C175" s="539">
        <v>158</v>
      </c>
      <c r="D175" s="540">
        <v>35499</v>
      </c>
      <c r="E175" s="541" t="s">
        <v>307</v>
      </c>
      <c r="F175" s="542">
        <v>1584.7</v>
      </c>
      <c r="G175" s="543">
        <f t="shared" si="17"/>
        <v>0</v>
      </c>
      <c r="H175" s="542">
        <v>1584.7</v>
      </c>
      <c r="I175" s="544">
        <v>6</v>
      </c>
      <c r="J175" s="545">
        <v>0</v>
      </c>
      <c r="K175" s="546">
        <v>1584.7</v>
      </c>
      <c r="L175" s="547">
        <f t="shared" si="27"/>
        <v>0</v>
      </c>
      <c r="M175" s="573">
        <f t="shared" si="29"/>
        <v>0</v>
      </c>
      <c r="N175" s="542">
        <v>1535.51</v>
      </c>
      <c r="O175" s="574">
        <f t="shared" si="30"/>
        <v>1584.7</v>
      </c>
      <c r="P175" s="544">
        <v>7</v>
      </c>
      <c r="Q175" s="550">
        <f t="shared" si="26"/>
        <v>0</v>
      </c>
      <c r="R175" s="551" t="str">
        <f t="shared" si="28"/>
        <v>0.00</v>
      </c>
      <c r="T175" s="553"/>
      <c r="U175" s="553"/>
      <c r="V175" s="572"/>
    </row>
    <row r="176" spans="2:23" x14ac:dyDescent="0.25">
      <c r="B176" s="232"/>
      <c r="C176" s="78">
        <v>159</v>
      </c>
      <c r="D176" s="258">
        <v>35499</v>
      </c>
      <c r="E176" s="403" t="s">
        <v>74</v>
      </c>
      <c r="F176" s="241">
        <v>777.87</v>
      </c>
      <c r="G176" s="134">
        <f t="shared" si="17"/>
        <v>0</v>
      </c>
      <c r="H176" s="241">
        <v>777.87</v>
      </c>
      <c r="I176" s="135">
        <v>6</v>
      </c>
      <c r="J176" s="266">
        <v>0</v>
      </c>
      <c r="K176" s="437">
        <v>777.87</v>
      </c>
      <c r="L176" s="277">
        <f t="shared" si="27"/>
        <v>0</v>
      </c>
      <c r="M176" s="487">
        <f t="shared" si="29"/>
        <v>0</v>
      </c>
      <c r="N176" s="241">
        <v>753.74</v>
      </c>
      <c r="O176" s="338">
        <f t="shared" si="30"/>
        <v>777.87</v>
      </c>
      <c r="P176" s="135">
        <v>20</v>
      </c>
      <c r="Q176" s="136">
        <f t="shared" si="26"/>
        <v>0</v>
      </c>
      <c r="R176" s="340" t="str">
        <f t="shared" si="28"/>
        <v>0.00</v>
      </c>
      <c r="T176" s="292"/>
      <c r="U176" s="292"/>
      <c r="V176" s="302"/>
    </row>
    <row r="177" spans="2:22" x14ac:dyDescent="0.25">
      <c r="B177" s="232"/>
      <c r="C177" s="78">
        <v>160</v>
      </c>
      <c r="D177" s="258">
        <v>35672</v>
      </c>
      <c r="E177" s="403" t="s">
        <v>242</v>
      </c>
      <c r="F177" s="241">
        <v>338.74</v>
      </c>
      <c r="G177" s="134">
        <f t="shared" si="17"/>
        <v>0</v>
      </c>
      <c r="H177" s="241">
        <v>338.74</v>
      </c>
      <c r="I177" s="135">
        <v>50</v>
      </c>
      <c r="J177" s="177">
        <f t="shared" si="25"/>
        <v>6.7747999999999999</v>
      </c>
      <c r="K177" s="437">
        <v>137.69999999999999</v>
      </c>
      <c r="L177" s="277">
        <f t="shared" si="27"/>
        <v>201.04000000000002</v>
      </c>
      <c r="M177" s="487">
        <f t="shared" si="29"/>
        <v>29.498186704608372</v>
      </c>
      <c r="N177" s="241">
        <v>36.15</v>
      </c>
      <c r="O177" s="338">
        <f t="shared" si="30"/>
        <v>167.19818670460836</v>
      </c>
      <c r="P177" s="135">
        <v>40</v>
      </c>
      <c r="Q177" s="136">
        <f t="shared" si="26"/>
        <v>19.649315068493152</v>
      </c>
      <c r="R177" s="340">
        <f t="shared" si="28"/>
        <v>15.39951896263246</v>
      </c>
      <c r="T177" s="292"/>
      <c r="U177" s="292"/>
      <c r="V177" s="302"/>
    </row>
    <row r="178" spans="2:22" x14ac:dyDescent="0.25">
      <c r="B178" s="232"/>
      <c r="C178" s="78">
        <v>161</v>
      </c>
      <c r="D178" s="258">
        <v>35693</v>
      </c>
      <c r="E178" s="403" t="s">
        <v>76</v>
      </c>
      <c r="F178" s="241">
        <v>506.22</v>
      </c>
      <c r="G178" s="134">
        <f t="shared" si="17"/>
        <v>0</v>
      </c>
      <c r="H178" s="241">
        <v>506.22</v>
      </c>
      <c r="I178" s="135">
        <v>50</v>
      </c>
      <c r="J178" s="177">
        <f t="shared" si="25"/>
        <v>10.124400000000001</v>
      </c>
      <c r="K178" s="437">
        <v>205.26</v>
      </c>
      <c r="L178" s="277">
        <f t="shared" si="27"/>
        <v>300.96000000000004</v>
      </c>
      <c r="M178" s="487">
        <f t="shared" si="29"/>
        <v>76.896601825389553</v>
      </c>
      <c r="N178" s="241">
        <v>53.46</v>
      </c>
      <c r="O178" s="338">
        <f t="shared" si="30"/>
        <v>282.15660182538954</v>
      </c>
      <c r="P178" s="135">
        <v>35</v>
      </c>
      <c r="Q178" s="136">
        <f t="shared" si="26"/>
        <v>14.706849315068494</v>
      </c>
      <c r="R178" s="340">
        <f t="shared" si="28"/>
        <v>30.785655737704918</v>
      </c>
      <c r="T178" s="292"/>
      <c r="U178" s="292"/>
      <c r="V178" s="302"/>
    </row>
    <row r="179" spans="2:22" x14ac:dyDescent="0.25">
      <c r="B179" s="232"/>
      <c r="C179" s="78">
        <v>162</v>
      </c>
      <c r="D179" s="258">
        <v>35499</v>
      </c>
      <c r="E179" s="403" t="s">
        <v>77</v>
      </c>
      <c r="F179" s="241">
        <v>536.13</v>
      </c>
      <c r="G179" s="134">
        <f t="shared" si="17"/>
        <v>0</v>
      </c>
      <c r="H179" s="241">
        <v>536.13</v>
      </c>
      <c r="I179" s="135">
        <v>6</v>
      </c>
      <c r="J179" s="266">
        <v>0</v>
      </c>
      <c r="K179" s="437">
        <v>536.13</v>
      </c>
      <c r="L179" s="277">
        <f t="shared" si="27"/>
        <v>0</v>
      </c>
      <c r="M179" s="487">
        <f t="shared" si="29"/>
        <v>0</v>
      </c>
      <c r="N179" s="241">
        <v>519.51</v>
      </c>
      <c r="O179" s="338">
        <f t="shared" si="30"/>
        <v>536.13</v>
      </c>
      <c r="P179" s="135">
        <v>7</v>
      </c>
      <c r="Q179" s="503">
        <f t="shared" si="26"/>
        <v>0</v>
      </c>
      <c r="R179" s="340" t="str">
        <f t="shared" si="28"/>
        <v>0.00</v>
      </c>
      <c r="T179" s="292"/>
      <c r="U179" s="292"/>
      <c r="V179" s="302"/>
    </row>
    <row r="180" spans="2:22" x14ac:dyDescent="0.25">
      <c r="B180" s="232"/>
      <c r="C180" s="78">
        <v>164</v>
      </c>
      <c r="D180" s="258">
        <v>35749</v>
      </c>
      <c r="E180" s="403" t="s">
        <v>78</v>
      </c>
      <c r="F180" s="241">
        <v>3529.97</v>
      </c>
      <c r="G180" s="134">
        <f t="shared" si="17"/>
        <v>0</v>
      </c>
      <c r="H180" s="241">
        <v>3529.97</v>
      </c>
      <c r="I180" s="135">
        <v>50</v>
      </c>
      <c r="J180" s="177">
        <f t="shared" si="25"/>
        <v>70.599400000000003</v>
      </c>
      <c r="K180" s="437">
        <v>1421.09</v>
      </c>
      <c r="L180" s="277">
        <f t="shared" si="27"/>
        <v>2108.88</v>
      </c>
      <c r="M180" s="487">
        <f t="shared" si="29"/>
        <v>0.76398339235561252</v>
      </c>
      <c r="N180" s="241">
        <v>362.09</v>
      </c>
      <c r="O180" s="338">
        <f t="shared" si="30"/>
        <v>1421.8539833923555</v>
      </c>
      <c r="P180" s="135">
        <v>50</v>
      </c>
      <c r="Q180" s="136">
        <f t="shared" si="26"/>
        <v>29.860273972602741</v>
      </c>
      <c r="R180" s="340">
        <f t="shared" si="28"/>
        <v>106.0901183594825</v>
      </c>
      <c r="T180" s="292"/>
      <c r="U180" s="292"/>
      <c r="V180" s="302"/>
    </row>
    <row r="181" spans="2:22" x14ac:dyDescent="0.25">
      <c r="B181" s="232"/>
      <c r="C181" s="78">
        <v>165</v>
      </c>
      <c r="D181" s="258">
        <v>36039</v>
      </c>
      <c r="E181" s="403" t="s">
        <v>79</v>
      </c>
      <c r="F181" s="241">
        <v>13731.28</v>
      </c>
      <c r="G181" s="134">
        <f t="shared" si="17"/>
        <v>0</v>
      </c>
      <c r="H181" s="241">
        <v>13731.28</v>
      </c>
      <c r="I181" s="135">
        <v>50</v>
      </c>
      <c r="J181" s="177">
        <f>F181/I181</f>
        <v>274.62560000000002</v>
      </c>
      <c r="K181" s="437">
        <v>5309.76</v>
      </c>
      <c r="L181" s="277">
        <f t="shared" si="27"/>
        <v>8421.52</v>
      </c>
      <c r="M181" s="487">
        <f t="shared" si="29"/>
        <v>2.9386867050634464</v>
      </c>
      <c r="N181" s="241">
        <v>1190.31</v>
      </c>
      <c r="O181" s="338">
        <f t="shared" si="30"/>
        <v>5312.6986867050637</v>
      </c>
      <c r="P181" s="135">
        <v>50</v>
      </c>
      <c r="Q181" s="136">
        <f t="shared" si="26"/>
        <v>30.654794520547945</v>
      </c>
      <c r="R181" s="340">
        <f t="shared" si="28"/>
        <v>409.10305210474576</v>
      </c>
      <c r="T181" s="292"/>
      <c r="U181" s="292"/>
      <c r="V181" s="302"/>
    </row>
    <row r="182" spans="2:22" x14ac:dyDescent="0.25">
      <c r="B182" s="232"/>
      <c r="C182" s="78">
        <v>166</v>
      </c>
      <c r="D182" s="258">
        <v>36160</v>
      </c>
      <c r="E182" s="403" t="s">
        <v>80</v>
      </c>
      <c r="F182" s="241">
        <v>1728.13</v>
      </c>
      <c r="G182" s="134">
        <f t="shared" si="17"/>
        <v>0</v>
      </c>
      <c r="H182" s="241">
        <v>1728.13</v>
      </c>
      <c r="I182" s="135">
        <v>40</v>
      </c>
      <c r="J182" s="177">
        <f t="shared" si="25"/>
        <v>43.203250000000004</v>
      </c>
      <c r="K182" s="437">
        <v>820.92</v>
      </c>
      <c r="L182" s="277">
        <f t="shared" si="27"/>
        <v>907.21000000000015</v>
      </c>
      <c r="M182" s="487">
        <f t="shared" si="29"/>
        <v>0.52694953953880486</v>
      </c>
      <c r="N182" s="241">
        <v>172.92</v>
      </c>
      <c r="O182" s="338">
        <f t="shared" si="30"/>
        <v>821.44694953953876</v>
      </c>
      <c r="P182" s="135">
        <v>40</v>
      </c>
      <c r="Q182" s="136">
        <f t="shared" si="26"/>
        <v>20.986301369863014</v>
      </c>
      <c r="R182" s="340">
        <f t="shared" si="28"/>
        <v>74.105959530026112</v>
      </c>
      <c r="T182" s="292"/>
      <c r="U182" s="292"/>
      <c r="V182" s="302"/>
    </row>
    <row r="183" spans="2:22" x14ac:dyDescent="0.25">
      <c r="B183" s="232"/>
      <c r="C183" s="78">
        <v>167</v>
      </c>
      <c r="D183" s="258">
        <v>36160</v>
      </c>
      <c r="E183" s="403" t="s">
        <v>124</v>
      </c>
      <c r="F183" s="241">
        <v>11270.92</v>
      </c>
      <c r="G183" s="134">
        <f t="shared" si="17"/>
        <v>0</v>
      </c>
      <c r="H183" s="241">
        <v>11270.92</v>
      </c>
      <c r="I183" s="135">
        <v>50</v>
      </c>
      <c r="J183" s="177">
        <f t="shared" si="25"/>
        <v>225.41839999999999</v>
      </c>
      <c r="K183" s="437">
        <v>4283.6000000000004</v>
      </c>
      <c r="L183" s="277">
        <f t="shared" si="27"/>
        <v>6987.32</v>
      </c>
      <c r="M183" s="487">
        <f t="shared" si="29"/>
        <v>-601.82600518616482</v>
      </c>
      <c r="N183" s="241">
        <v>902.29999999999927</v>
      </c>
      <c r="O183" s="338">
        <f t="shared" si="30"/>
        <v>3681.7739948138355</v>
      </c>
      <c r="P183" s="135">
        <v>60</v>
      </c>
      <c r="Q183" s="136">
        <f t="shared" si="26"/>
        <v>40.986301369863014</v>
      </c>
      <c r="R183" s="340">
        <f t="shared" si="28"/>
        <v>252.9776938502674</v>
      </c>
      <c r="T183" s="292"/>
      <c r="U183" s="292"/>
      <c r="V183" s="302"/>
    </row>
    <row r="184" spans="2:22" s="288" customFormat="1" x14ac:dyDescent="0.25">
      <c r="B184" s="278"/>
      <c r="C184" s="469">
        <v>168</v>
      </c>
      <c r="D184" s="400">
        <v>36201</v>
      </c>
      <c r="E184" s="405" t="s">
        <v>81</v>
      </c>
      <c r="F184" s="470">
        <v>630.22</v>
      </c>
      <c r="G184" s="281">
        <f t="shared" si="17"/>
        <v>0</v>
      </c>
      <c r="H184" s="470">
        <v>630.22</v>
      </c>
      <c r="I184" s="283">
        <v>50</v>
      </c>
      <c r="J184" s="282">
        <f t="shared" si="25"/>
        <v>12.6044</v>
      </c>
      <c r="K184" s="471">
        <v>238.02</v>
      </c>
      <c r="L184" s="284">
        <f t="shared" si="27"/>
        <v>392.20000000000005</v>
      </c>
      <c r="M184" s="491">
        <f>S184-K184</f>
        <v>102.32346614481409</v>
      </c>
      <c r="N184" s="472"/>
      <c r="O184" s="285"/>
      <c r="P184" s="283"/>
      <c r="Q184" s="286"/>
      <c r="R184" s="287"/>
      <c r="S184" s="473">
        <f>IF((($F$7)-D184)&gt;T184*365,H184,(H184/(T184*365)*(($F$7)-D184)))</f>
        <v>340.3434661448141</v>
      </c>
      <c r="T184" s="283">
        <v>35</v>
      </c>
      <c r="U184" s="297">
        <f>IF((($F$7)-D184)&gt;=T184*365,0,(($F$7)-D184))/365</f>
        <v>18.901369863013699</v>
      </c>
      <c r="V184" s="298">
        <f>IF((T184-U184)&lt;1,(H184-S184),(IF(U184=0,(0),(H184/T184))))</f>
        <v>18.006285714285713</v>
      </c>
    </row>
    <row r="185" spans="2:22" s="288" customFormat="1" x14ac:dyDescent="0.25">
      <c r="B185" s="278"/>
      <c r="C185" s="279">
        <v>169</v>
      </c>
      <c r="D185" s="400">
        <v>36524</v>
      </c>
      <c r="E185" s="405" t="s">
        <v>110</v>
      </c>
      <c r="F185" s="280">
        <v>94.07</v>
      </c>
      <c r="G185" s="281">
        <f t="shared" si="17"/>
        <v>0</v>
      </c>
      <c r="H185" s="280">
        <v>94.07</v>
      </c>
      <c r="I185" s="283">
        <v>6</v>
      </c>
      <c r="J185" s="266">
        <v>0</v>
      </c>
      <c r="K185" s="438">
        <v>94.07</v>
      </c>
      <c r="L185" s="284">
        <f t="shared" si="27"/>
        <v>0</v>
      </c>
      <c r="M185" s="491">
        <f t="shared" ref="M185:M198" si="31">S185-K185</f>
        <v>-45.646961252446175</v>
      </c>
      <c r="N185" s="320"/>
      <c r="O185" s="285"/>
      <c r="P185" s="283"/>
      <c r="Q185" s="286"/>
      <c r="R185" s="287"/>
      <c r="S185" s="307">
        <f t="shared" ref="S185:S198" si="32">IF((($F$7)-D185)&gt;T185*365,H185,(H185/(T185*365)*(($F$7)-D185)))</f>
        <v>48.423038747553818</v>
      </c>
      <c r="T185" s="283">
        <v>35</v>
      </c>
      <c r="U185" s="297">
        <f t="shared" ref="U185:U198" si="33">IF((($F$7)-D185)&gt;=T185*365,0,(($F$7)-D185))/365</f>
        <v>18.016438356164382</v>
      </c>
      <c r="V185" s="298">
        <f t="shared" ref="V185:V198" si="34">IF((T185-U185)&lt;1,(H185-S185),(IF(U185=0,(0),(H185/T185))))</f>
        <v>2.6877142857142857</v>
      </c>
    </row>
    <row r="186" spans="2:22" s="288" customFormat="1" x14ac:dyDescent="0.25">
      <c r="B186" s="278"/>
      <c r="C186" s="279">
        <v>170</v>
      </c>
      <c r="D186" s="400">
        <v>36392</v>
      </c>
      <c r="E186" s="405" t="s">
        <v>125</v>
      </c>
      <c r="F186" s="280">
        <v>723.24</v>
      </c>
      <c r="G186" s="281">
        <f t="shared" si="17"/>
        <v>0</v>
      </c>
      <c r="H186" s="280">
        <v>723.24</v>
      </c>
      <c r="I186" s="283">
        <v>6</v>
      </c>
      <c r="J186" s="266">
        <v>0</v>
      </c>
      <c r="K186" s="438">
        <v>723.24</v>
      </c>
      <c r="L186" s="284">
        <f t="shared" si="27"/>
        <v>0</v>
      </c>
      <c r="M186" s="491">
        <f t="shared" si="31"/>
        <v>0</v>
      </c>
      <c r="N186" s="320"/>
      <c r="O186" s="285"/>
      <c r="P186" s="283"/>
      <c r="Q186" s="286"/>
      <c r="R186" s="287"/>
      <c r="S186" s="307">
        <f t="shared" si="32"/>
        <v>723.24</v>
      </c>
      <c r="T186" s="283">
        <v>6</v>
      </c>
      <c r="U186" s="506">
        <f t="shared" si="33"/>
        <v>0</v>
      </c>
      <c r="V186" s="298">
        <f t="shared" si="34"/>
        <v>0</v>
      </c>
    </row>
    <row r="187" spans="2:22" s="288" customFormat="1" x14ac:dyDescent="0.25">
      <c r="B187" s="278"/>
      <c r="C187" s="279">
        <v>171</v>
      </c>
      <c r="D187" s="400">
        <v>36535</v>
      </c>
      <c r="E187" s="405" t="s">
        <v>82</v>
      </c>
      <c r="F187" s="280">
        <v>400</v>
      </c>
      <c r="G187" s="281">
        <f t="shared" si="17"/>
        <v>0</v>
      </c>
      <c r="H187" s="280">
        <v>400</v>
      </c>
      <c r="I187" s="283">
        <v>50</v>
      </c>
      <c r="J187" s="282">
        <f t="shared" si="25"/>
        <v>8</v>
      </c>
      <c r="K187" s="438">
        <v>143.80000000000001</v>
      </c>
      <c r="L187" s="284">
        <f t="shared" si="27"/>
        <v>256.2</v>
      </c>
      <c r="M187" s="491">
        <f t="shared" si="31"/>
        <v>215.92602739726027</v>
      </c>
      <c r="N187" s="320"/>
      <c r="O187" s="285"/>
      <c r="P187" s="283"/>
      <c r="Q187" s="286"/>
      <c r="R187" s="287"/>
      <c r="S187" s="307">
        <f t="shared" si="32"/>
        <v>359.72602739726028</v>
      </c>
      <c r="T187" s="283">
        <v>20</v>
      </c>
      <c r="U187" s="297">
        <f t="shared" si="33"/>
        <v>17.986301369863014</v>
      </c>
      <c r="V187" s="298">
        <f t="shared" si="34"/>
        <v>20</v>
      </c>
    </row>
    <row r="188" spans="2:22" s="288" customFormat="1" x14ac:dyDescent="0.25">
      <c r="B188" s="278"/>
      <c r="C188" s="279">
        <v>172</v>
      </c>
      <c r="D188" s="400">
        <v>36555</v>
      </c>
      <c r="E188" s="405" t="s">
        <v>126</v>
      </c>
      <c r="F188" s="280">
        <v>100</v>
      </c>
      <c r="G188" s="281">
        <f t="shared" si="17"/>
        <v>0</v>
      </c>
      <c r="H188" s="280">
        <v>100</v>
      </c>
      <c r="I188" s="283">
        <v>50</v>
      </c>
      <c r="J188" s="282">
        <f t="shared" si="25"/>
        <v>2</v>
      </c>
      <c r="K188" s="438">
        <v>35.840000000000003</v>
      </c>
      <c r="L188" s="284">
        <f t="shared" si="27"/>
        <v>64.16</v>
      </c>
      <c r="M188" s="491">
        <f t="shared" si="31"/>
        <v>15.392876712328764</v>
      </c>
      <c r="N188" s="320"/>
      <c r="O188" s="285"/>
      <c r="P188" s="283"/>
      <c r="Q188" s="286"/>
      <c r="R188" s="287"/>
      <c r="S188" s="307">
        <f t="shared" si="32"/>
        <v>51.232876712328768</v>
      </c>
      <c r="T188" s="283">
        <v>35</v>
      </c>
      <c r="U188" s="297">
        <f t="shared" si="33"/>
        <v>17.931506849315067</v>
      </c>
      <c r="V188" s="298">
        <f t="shared" si="34"/>
        <v>2.8571428571428572</v>
      </c>
    </row>
    <row r="189" spans="2:22" s="288" customFormat="1" x14ac:dyDescent="0.25">
      <c r="B189" s="278"/>
      <c r="C189" s="279">
        <v>173</v>
      </c>
      <c r="D189" s="400">
        <v>36566</v>
      </c>
      <c r="E189" s="405" t="s">
        <v>83</v>
      </c>
      <c r="F189" s="280">
        <v>50</v>
      </c>
      <c r="G189" s="281">
        <f t="shared" si="17"/>
        <v>0</v>
      </c>
      <c r="H189" s="280">
        <v>50</v>
      </c>
      <c r="I189" s="283">
        <v>50</v>
      </c>
      <c r="J189" s="282">
        <f t="shared" si="25"/>
        <v>1</v>
      </c>
      <c r="K189" s="438">
        <v>17.89</v>
      </c>
      <c r="L189" s="284">
        <f t="shared" si="27"/>
        <v>32.11</v>
      </c>
      <c r="M189" s="491">
        <f t="shared" si="31"/>
        <v>26.863424657534246</v>
      </c>
      <c r="N189" s="320"/>
      <c r="O189" s="285"/>
      <c r="P189" s="283"/>
      <c r="Q189" s="286"/>
      <c r="R189" s="287"/>
      <c r="S189" s="307">
        <f t="shared" si="32"/>
        <v>44.753424657534246</v>
      </c>
      <c r="T189" s="283">
        <v>20</v>
      </c>
      <c r="U189" s="297">
        <f t="shared" si="33"/>
        <v>17.901369863013699</v>
      </c>
      <c r="V189" s="298">
        <f t="shared" si="34"/>
        <v>2.5</v>
      </c>
    </row>
    <row r="190" spans="2:22" s="288" customFormat="1" x14ac:dyDescent="0.25">
      <c r="B190" s="278"/>
      <c r="C190" s="279">
        <v>174</v>
      </c>
      <c r="D190" s="400">
        <v>36615</v>
      </c>
      <c r="E190" s="405" t="s">
        <v>84</v>
      </c>
      <c r="F190" s="280">
        <v>50</v>
      </c>
      <c r="G190" s="281">
        <f t="shared" si="17"/>
        <v>0</v>
      </c>
      <c r="H190" s="280">
        <v>50</v>
      </c>
      <c r="I190" s="283">
        <v>50</v>
      </c>
      <c r="J190" s="282">
        <f t="shared" si="25"/>
        <v>1</v>
      </c>
      <c r="K190" s="438">
        <v>17.760000000000002</v>
      </c>
      <c r="L190" s="284">
        <f t="shared" si="27"/>
        <v>32.239999999999995</v>
      </c>
      <c r="M190" s="491">
        <f t="shared" si="31"/>
        <v>7.6216046966731881</v>
      </c>
      <c r="N190" s="320"/>
      <c r="O190" s="285"/>
      <c r="P190" s="283"/>
      <c r="Q190" s="286"/>
      <c r="R190" s="287"/>
      <c r="S190" s="307">
        <f t="shared" si="32"/>
        <v>25.38160469667319</v>
      </c>
      <c r="T190" s="283">
        <v>35</v>
      </c>
      <c r="U190" s="297">
        <f t="shared" si="33"/>
        <v>17.767123287671232</v>
      </c>
      <c r="V190" s="298">
        <f t="shared" si="34"/>
        <v>1.4285714285714286</v>
      </c>
    </row>
    <row r="191" spans="2:22" s="288" customFormat="1" x14ac:dyDescent="0.25">
      <c r="B191" s="278"/>
      <c r="C191" s="279">
        <v>175</v>
      </c>
      <c r="D191" s="400">
        <v>36636</v>
      </c>
      <c r="E191" s="405" t="s">
        <v>85</v>
      </c>
      <c r="F191" s="280">
        <v>1495.59</v>
      </c>
      <c r="G191" s="281">
        <f t="shared" si="17"/>
        <v>0</v>
      </c>
      <c r="H191" s="280">
        <v>1495.59</v>
      </c>
      <c r="I191" s="283">
        <v>6</v>
      </c>
      <c r="J191" s="266">
        <v>0</v>
      </c>
      <c r="K191" s="438">
        <v>1495.59</v>
      </c>
      <c r="L191" s="284">
        <f t="shared" si="27"/>
        <v>0</v>
      </c>
      <c r="M191" s="491">
        <f t="shared" si="31"/>
        <v>0</v>
      </c>
      <c r="N191" s="320"/>
      <c r="O191" s="285"/>
      <c r="P191" s="283"/>
      <c r="Q191" s="286"/>
      <c r="R191" s="287"/>
      <c r="S191" s="307">
        <f t="shared" si="32"/>
        <v>1495.59</v>
      </c>
      <c r="T191" s="283">
        <v>7</v>
      </c>
      <c r="U191" s="297">
        <f t="shared" si="33"/>
        <v>0</v>
      </c>
      <c r="V191" s="298">
        <f t="shared" si="34"/>
        <v>0</v>
      </c>
    </row>
    <row r="192" spans="2:22" s="288" customFormat="1" x14ac:dyDescent="0.25">
      <c r="B192" s="278"/>
      <c r="C192" s="279">
        <v>176</v>
      </c>
      <c r="D192" s="400">
        <v>36707</v>
      </c>
      <c r="E192" s="405" t="s">
        <v>86</v>
      </c>
      <c r="F192" s="280">
        <v>50</v>
      </c>
      <c r="G192" s="281">
        <f t="shared" si="17"/>
        <v>0</v>
      </c>
      <c r="H192" s="280">
        <v>50</v>
      </c>
      <c r="I192" s="283">
        <v>50</v>
      </c>
      <c r="J192" s="282">
        <f t="shared" si="25"/>
        <v>1</v>
      </c>
      <c r="K192" s="438">
        <v>17.510000000000002</v>
      </c>
      <c r="L192" s="284">
        <f t="shared" si="27"/>
        <v>32.489999999999995</v>
      </c>
      <c r="M192" s="491">
        <f t="shared" si="31"/>
        <v>7.5115264187866906</v>
      </c>
      <c r="N192" s="320"/>
      <c r="O192" s="285"/>
      <c r="P192" s="283"/>
      <c r="Q192" s="286"/>
      <c r="R192" s="287"/>
      <c r="S192" s="307">
        <f t="shared" si="32"/>
        <v>25.021526418786692</v>
      </c>
      <c r="T192" s="283">
        <v>35</v>
      </c>
      <c r="U192" s="297">
        <f t="shared" si="33"/>
        <v>17.515068493150686</v>
      </c>
      <c r="V192" s="298">
        <f t="shared" si="34"/>
        <v>1.4285714285714286</v>
      </c>
    </row>
    <row r="193" spans="1:23" s="288" customFormat="1" x14ac:dyDescent="0.25">
      <c r="B193" s="278"/>
      <c r="C193" s="279">
        <v>177</v>
      </c>
      <c r="D193" s="400">
        <v>36891</v>
      </c>
      <c r="E193" s="405" t="s">
        <v>127</v>
      </c>
      <c r="F193" s="280">
        <v>672.38</v>
      </c>
      <c r="G193" s="281">
        <f t="shared" si="17"/>
        <v>0</v>
      </c>
      <c r="H193" s="280">
        <v>672.38</v>
      </c>
      <c r="I193" s="283">
        <v>50</v>
      </c>
      <c r="J193" s="282">
        <f t="shared" si="25"/>
        <v>13.4476</v>
      </c>
      <c r="K193" s="438">
        <v>228.69</v>
      </c>
      <c r="L193" s="284">
        <f t="shared" si="27"/>
        <v>443.69</v>
      </c>
      <c r="M193" s="491">
        <f t="shared" si="31"/>
        <v>57.255713698630132</v>
      </c>
      <c r="N193" s="320"/>
      <c r="O193" s="285"/>
      <c r="P193" s="283"/>
      <c r="Q193" s="286"/>
      <c r="R193" s="287"/>
      <c r="S193" s="307">
        <f t="shared" si="32"/>
        <v>285.94571369863013</v>
      </c>
      <c r="T193" s="283">
        <v>40</v>
      </c>
      <c r="U193" s="297">
        <f t="shared" si="33"/>
        <v>17.010958904109589</v>
      </c>
      <c r="V193" s="298">
        <f t="shared" si="34"/>
        <v>16.8095</v>
      </c>
    </row>
    <row r="194" spans="1:23" s="288" customFormat="1" x14ac:dyDescent="0.25">
      <c r="B194" s="278"/>
      <c r="C194" s="279">
        <v>178</v>
      </c>
      <c r="D194" s="400">
        <v>37179</v>
      </c>
      <c r="E194" s="405" t="s">
        <v>87</v>
      </c>
      <c r="F194" s="280">
        <v>5224.78</v>
      </c>
      <c r="G194" s="281">
        <f t="shared" si="17"/>
        <v>0</v>
      </c>
      <c r="H194" s="280">
        <v>5224.78</v>
      </c>
      <c r="I194" s="283">
        <v>50</v>
      </c>
      <c r="J194" s="282">
        <f t="shared" si="25"/>
        <v>104.4956</v>
      </c>
      <c r="K194" s="438">
        <v>1694.33</v>
      </c>
      <c r="L194" s="284">
        <f t="shared" si="27"/>
        <v>3530.45</v>
      </c>
      <c r="M194" s="491">
        <f t="shared" si="31"/>
        <v>-281.73080456621005</v>
      </c>
      <c r="N194" s="320"/>
      <c r="O194" s="285"/>
      <c r="P194" s="283"/>
      <c r="Q194" s="286"/>
      <c r="R194" s="287"/>
      <c r="S194" s="307">
        <f t="shared" si="32"/>
        <v>1412.5991954337899</v>
      </c>
      <c r="T194" s="283">
        <v>60</v>
      </c>
      <c r="U194" s="297">
        <f t="shared" si="33"/>
        <v>16.221917808219178</v>
      </c>
      <c r="V194" s="298">
        <f t="shared" si="34"/>
        <v>87.079666666666668</v>
      </c>
    </row>
    <row r="195" spans="1:23" s="288" customFormat="1" x14ac:dyDescent="0.25">
      <c r="B195" s="505"/>
      <c r="C195" s="279">
        <v>179</v>
      </c>
      <c r="D195" s="400">
        <v>37073</v>
      </c>
      <c r="E195" s="405" t="s">
        <v>141</v>
      </c>
      <c r="F195" s="280">
        <v>300</v>
      </c>
      <c r="G195" s="281">
        <f t="shared" si="17"/>
        <v>0</v>
      </c>
      <c r="H195" s="280">
        <v>300</v>
      </c>
      <c r="I195" s="283">
        <v>5</v>
      </c>
      <c r="J195" s="266">
        <v>0</v>
      </c>
      <c r="K195" s="438">
        <v>300</v>
      </c>
      <c r="L195" s="284">
        <f t="shared" si="27"/>
        <v>0</v>
      </c>
      <c r="M195" s="491">
        <f t="shared" si="31"/>
        <v>0</v>
      </c>
      <c r="N195" s="320"/>
      <c r="O195" s="285"/>
      <c r="P195" s="283"/>
      <c r="Q195" s="286"/>
      <c r="R195" s="287"/>
      <c r="S195" s="307">
        <f t="shared" si="32"/>
        <v>300</v>
      </c>
      <c r="T195" s="283">
        <v>7</v>
      </c>
      <c r="U195" s="297">
        <f t="shared" si="33"/>
        <v>0</v>
      </c>
      <c r="V195" s="298">
        <f t="shared" si="34"/>
        <v>0</v>
      </c>
    </row>
    <row r="196" spans="1:23" s="288" customFormat="1" x14ac:dyDescent="0.25">
      <c r="B196" s="278"/>
      <c r="C196" s="279">
        <v>180</v>
      </c>
      <c r="D196" s="400">
        <v>37605</v>
      </c>
      <c r="E196" s="405" t="s">
        <v>88</v>
      </c>
      <c r="F196" s="280">
        <v>15599.93</v>
      </c>
      <c r="G196" s="281">
        <f t="shared" si="17"/>
        <v>0</v>
      </c>
      <c r="H196" s="280">
        <v>15599.93</v>
      </c>
      <c r="I196" s="283">
        <v>50</v>
      </c>
      <c r="J196" s="282">
        <v>312</v>
      </c>
      <c r="K196" s="438">
        <v>4694.53</v>
      </c>
      <c r="L196" s="284">
        <f t="shared" si="27"/>
        <v>10905.400000000001</v>
      </c>
      <c r="M196" s="491">
        <f t="shared" si="31"/>
        <v>2.5448136986306054</v>
      </c>
      <c r="N196" s="320"/>
      <c r="O196" s="285"/>
      <c r="P196" s="283"/>
      <c r="Q196" s="286"/>
      <c r="R196" s="287"/>
      <c r="S196" s="307">
        <f t="shared" si="32"/>
        <v>4697.0748136986304</v>
      </c>
      <c r="T196" s="283">
        <v>50</v>
      </c>
      <c r="U196" s="297">
        <f t="shared" si="33"/>
        <v>15.054794520547945</v>
      </c>
      <c r="V196" s="298">
        <f t="shared" si="34"/>
        <v>311.99860000000001</v>
      </c>
    </row>
    <row r="197" spans="1:23" s="288" customFormat="1" x14ac:dyDescent="0.25">
      <c r="B197" s="278"/>
      <c r="C197" s="279">
        <v>181</v>
      </c>
      <c r="D197" s="400">
        <v>37530</v>
      </c>
      <c r="E197" s="405" t="s">
        <v>89</v>
      </c>
      <c r="F197" s="280">
        <v>2894.28</v>
      </c>
      <c r="G197" s="281">
        <f t="shared" si="17"/>
        <v>0</v>
      </c>
      <c r="H197" s="280">
        <v>2894.28</v>
      </c>
      <c r="I197" s="283">
        <v>50</v>
      </c>
      <c r="J197" s="282">
        <v>57.89</v>
      </c>
      <c r="K197" s="438">
        <v>882.94</v>
      </c>
      <c r="L197" s="284">
        <f t="shared" si="27"/>
        <v>2011.3400000000001</v>
      </c>
      <c r="M197" s="491">
        <f t="shared" si="31"/>
        <v>-146.81490410958907</v>
      </c>
      <c r="N197" s="320"/>
      <c r="O197" s="285"/>
      <c r="P197" s="283"/>
      <c r="Q197" s="286"/>
      <c r="R197" s="287"/>
      <c r="S197" s="307">
        <f t="shared" si="32"/>
        <v>736.12509589041099</v>
      </c>
      <c r="T197" s="283">
        <v>60</v>
      </c>
      <c r="U197" s="297">
        <f t="shared" si="33"/>
        <v>15.260273972602739</v>
      </c>
      <c r="V197" s="298">
        <f t="shared" si="34"/>
        <v>48.238000000000007</v>
      </c>
    </row>
    <row r="198" spans="1:23" s="288" customFormat="1" ht="13.8" thickBot="1" x14ac:dyDescent="0.3">
      <c r="B198" s="278"/>
      <c r="C198" s="279">
        <v>182</v>
      </c>
      <c r="D198" s="400">
        <v>37377</v>
      </c>
      <c r="E198" s="405" t="s">
        <v>109</v>
      </c>
      <c r="F198" s="280">
        <v>200</v>
      </c>
      <c r="G198" s="281">
        <f t="shared" si="17"/>
        <v>0</v>
      </c>
      <c r="H198" s="280">
        <v>200</v>
      </c>
      <c r="I198" s="283">
        <v>50</v>
      </c>
      <c r="J198" s="282">
        <v>4</v>
      </c>
      <c r="K198" s="438">
        <v>62.68</v>
      </c>
      <c r="L198" s="284">
        <f t="shared" si="27"/>
        <v>137.32</v>
      </c>
      <c r="M198" s="491">
        <f t="shared" si="31"/>
        <v>26.916868884540115</v>
      </c>
      <c r="N198" s="320"/>
      <c r="O198" s="285"/>
      <c r="P198" s="283"/>
      <c r="Q198" s="286"/>
      <c r="R198" s="287"/>
      <c r="S198" s="307">
        <f t="shared" si="32"/>
        <v>89.596868884540115</v>
      </c>
      <c r="T198" s="283">
        <v>35</v>
      </c>
      <c r="U198" s="297">
        <f t="shared" si="33"/>
        <v>15.67945205479452</v>
      </c>
      <c r="V198" s="298">
        <f t="shared" si="34"/>
        <v>5.7142857142857144</v>
      </c>
    </row>
    <row r="199" spans="1:23" s="80" customFormat="1" x14ac:dyDescent="0.25">
      <c r="A199" s="81"/>
      <c r="B199" s="452"/>
      <c r="C199" s="453">
        <v>183</v>
      </c>
      <c r="D199" s="454">
        <v>37782</v>
      </c>
      <c r="E199" s="455" t="s">
        <v>268</v>
      </c>
      <c r="F199" s="456">
        <v>274.99</v>
      </c>
      <c r="G199" s="457">
        <f t="shared" ref="G199:G216" si="35">H199-F199</f>
        <v>0</v>
      </c>
      <c r="H199" s="456">
        <v>274.99</v>
      </c>
      <c r="I199" s="458">
        <v>50</v>
      </c>
      <c r="J199" s="459">
        <f>F199/I199</f>
        <v>5.4998000000000005</v>
      </c>
      <c r="K199" s="460">
        <v>80.09</v>
      </c>
      <c r="L199" s="461">
        <f t="shared" ref="L199:L216" si="36">F199-K199</f>
        <v>194.9</v>
      </c>
      <c r="M199" s="492">
        <f t="shared" ref="M199:M206" si="37">S199-K199</f>
        <v>34.383332289628171</v>
      </c>
      <c r="N199" s="463"/>
      <c r="O199" s="462"/>
      <c r="P199" s="458"/>
      <c r="Q199" s="464"/>
      <c r="R199" s="465"/>
      <c r="S199" s="466">
        <f t="shared" ref="S199:S216" si="38">IF((($F$7)-D199)&gt;T199*365,H199,(H199/(T199*365)*(($F$7)-D199)))</f>
        <v>114.47333228962817</v>
      </c>
      <c r="T199" s="458">
        <v>35</v>
      </c>
      <c r="U199" s="467">
        <f t="shared" ref="U199:U216" si="39">IF((($F$7)-D199)&gt;=T199*365,0,(($F$7)-D199))/365</f>
        <v>14.56986301369863</v>
      </c>
      <c r="V199" s="468">
        <f t="shared" ref="V199:V216" si="40">IF((T199-U199)&lt;1,(H199-S199),(IF(U199=0,(0),(H199/T199))))</f>
        <v>7.8568571428571428</v>
      </c>
    </row>
    <row r="200" spans="1:23" s="80" customFormat="1" x14ac:dyDescent="0.25">
      <c r="B200" s="232"/>
      <c r="C200" s="78">
        <v>184</v>
      </c>
      <c r="D200" s="258">
        <v>37787</v>
      </c>
      <c r="E200" s="403" t="s">
        <v>267</v>
      </c>
      <c r="F200" s="241">
        <v>313.87</v>
      </c>
      <c r="G200" s="134">
        <f t="shared" si="35"/>
        <v>0</v>
      </c>
      <c r="H200" s="241">
        <v>313.87</v>
      </c>
      <c r="I200" s="135">
        <v>50</v>
      </c>
      <c r="J200" s="177">
        <f>F200/I200</f>
        <v>6.2774000000000001</v>
      </c>
      <c r="K200" s="437">
        <v>91.36</v>
      </c>
      <c r="L200" s="277">
        <f t="shared" si="36"/>
        <v>222.51</v>
      </c>
      <c r="M200" s="487">
        <f t="shared" si="37"/>
        <v>39.175523287671226</v>
      </c>
      <c r="N200" s="417"/>
      <c r="O200" s="133"/>
      <c r="P200" s="135"/>
      <c r="Q200" s="136"/>
      <c r="R200" s="209"/>
      <c r="S200" s="418">
        <f t="shared" si="38"/>
        <v>130.53552328767123</v>
      </c>
      <c r="T200" s="135">
        <v>35</v>
      </c>
      <c r="U200" s="419">
        <f t="shared" si="39"/>
        <v>14.556164383561644</v>
      </c>
      <c r="V200" s="420">
        <f t="shared" si="40"/>
        <v>8.9677142857142851</v>
      </c>
    </row>
    <row r="201" spans="1:23" s="552" customFormat="1" x14ac:dyDescent="0.25">
      <c r="B201" s="571"/>
      <c r="C201" s="539">
        <v>185</v>
      </c>
      <c r="D201" s="540">
        <v>37965</v>
      </c>
      <c r="E201" s="541" t="s">
        <v>305</v>
      </c>
      <c r="F201" s="542">
        <v>2440.92</v>
      </c>
      <c r="G201" s="543">
        <f t="shared" si="35"/>
        <v>0</v>
      </c>
      <c r="H201" s="542">
        <v>2440.92</v>
      </c>
      <c r="I201" s="544">
        <v>5</v>
      </c>
      <c r="J201" s="545">
        <v>0</v>
      </c>
      <c r="K201" s="546">
        <v>2440.92</v>
      </c>
      <c r="L201" s="547">
        <f t="shared" si="36"/>
        <v>0</v>
      </c>
      <c r="M201" s="573">
        <f t="shared" si="37"/>
        <v>0</v>
      </c>
      <c r="N201" s="575"/>
      <c r="O201" s="576"/>
      <c r="P201" s="544"/>
      <c r="Q201" s="550"/>
      <c r="R201" s="577"/>
      <c r="S201" s="578">
        <f t="shared" si="38"/>
        <v>2440.92</v>
      </c>
      <c r="T201" s="544">
        <v>7</v>
      </c>
      <c r="U201" s="579">
        <f t="shared" si="39"/>
        <v>0</v>
      </c>
      <c r="V201" s="580">
        <f t="shared" si="40"/>
        <v>0</v>
      </c>
    </row>
    <row r="202" spans="1:23" s="80" customFormat="1" x14ac:dyDescent="0.25">
      <c r="B202" s="232"/>
      <c r="C202" s="78">
        <v>186</v>
      </c>
      <c r="D202" s="258">
        <v>38097</v>
      </c>
      <c r="E202" s="403" t="s">
        <v>269</v>
      </c>
      <c r="F202" s="241">
        <v>420</v>
      </c>
      <c r="G202" s="134">
        <f t="shared" si="35"/>
        <v>0</v>
      </c>
      <c r="H202" s="241">
        <v>420</v>
      </c>
      <c r="I202" s="135">
        <v>12</v>
      </c>
      <c r="J202" s="177">
        <v>0</v>
      </c>
      <c r="K202" s="437">
        <v>420</v>
      </c>
      <c r="L202" s="277">
        <f t="shared" si="36"/>
        <v>0</v>
      </c>
      <c r="M202" s="487">
        <f t="shared" si="37"/>
        <v>-132.15616438356165</v>
      </c>
      <c r="N202" s="417"/>
      <c r="O202" s="133"/>
      <c r="P202" s="135"/>
      <c r="Q202" s="136"/>
      <c r="R202" s="209"/>
      <c r="S202" s="418">
        <f t="shared" si="38"/>
        <v>287.84383561643835</v>
      </c>
      <c r="T202" s="135">
        <v>20</v>
      </c>
      <c r="U202" s="419">
        <f t="shared" si="39"/>
        <v>13.706849315068494</v>
      </c>
      <c r="V202" s="420">
        <f t="shared" si="40"/>
        <v>21</v>
      </c>
    </row>
    <row r="203" spans="1:23" s="80" customFormat="1" x14ac:dyDescent="0.25">
      <c r="B203" s="232"/>
      <c r="C203" s="78">
        <v>187</v>
      </c>
      <c r="D203" s="258">
        <v>38441</v>
      </c>
      <c r="E203" s="403" t="s">
        <v>271</v>
      </c>
      <c r="F203" s="241">
        <v>2861.73</v>
      </c>
      <c r="G203" s="134">
        <f t="shared" si="35"/>
        <v>0</v>
      </c>
      <c r="H203" s="241">
        <v>2861.73</v>
      </c>
      <c r="I203" s="135">
        <v>50</v>
      </c>
      <c r="J203" s="177">
        <v>57.23</v>
      </c>
      <c r="K203" s="437">
        <v>730.2</v>
      </c>
      <c r="L203" s="277">
        <f t="shared" si="36"/>
        <v>2131.5299999999997</v>
      </c>
      <c r="M203" s="487">
        <f t="shared" si="37"/>
        <v>0.36438739726031599</v>
      </c>
      <c r="N203" s="417"/>
      <c r="O203" s="133"/>
      <c r="P203" s="135"/>
      <c r="Q203" s="136"/>
      <c r="R203" s="209"/>
      <c r="S203" s="418">
        <f t="shared" si="38"/>
        <v>730.56438739726036</v>
      </c>
      <c r="T203" s="135">
        <v>50</v>
      </c>
      <c r="U203" s="419">
        <f t="shared" si="39"/>
        <v>12.764383561643836</v>
      </c>
      <c r="V203" s="420">
        <f t="shared" si="40"/>
        <v>57.2346</v>
      </c>
    </row>
    <row r="204" spans="1:23" s="80" customFormat="1" x14ac:dyDescent="0.25">
      <c r="B204" s="232"/>
      <c r="C204" s="78">
        <v>188</v>
      </c>
      <c r="D204" s="258">
        <v>38603</v>
      </c>
      <c r="E204" s="403" t="s">
        <v>270</v>
      </c>
      <c r="F204" s="241">
        <v>2869.29</v>
      </c>
      <c r="G204" s="134">
        <f t="shared" si="35"/>
        <v>0</v>
      </c>
      <c r="H204" s="241">
        <v>2869.29</v>
      </c>
      <c r="I204" s="135">
        <v>50</v>
      </c>
      <c r="J204" s="177">
        <v>57.39</v>
      </c>
      <c r="K204" s="437">
        <v>706.76</v>
      </c>
      <c r="L204" s="277">
        <f t="shared" si="36"/>
        <v>2162.5299999999997</v>
      </c>
      <c r="M204" s="487">
        <f t="shared" si="37"/>
        <v>1060.8012506849313</v>
      </c>
      <c r="N204" s="417"/>
      <c r="O204" s="133"/>
      <c r="P204" s="135"/>
      <c r="Q204" s="136"/>
      <c r="R204" s="209"/>
      <c r="S204" s="418">
        <f t="shared" si="38"/>
        <v>1767.5612506849313</v>
      </c>
      <c r="T204" s="135">
        <v>20</v>
      </c>
      <c r="U204" s="419">
        <f t="shared" si="39"/>
        <v>12.32054794520548</v>
      </c>
      <c r="V204" s="420">
        <f t="shared" si="40"/>
        <v>143.46449999999999</v>
      </c>
    </row>
    <row r="205" spans="1:23" s="80" customFormat="1" x14ac:dyDescent="0.25">
      <c r="B205" s="504"/>
      <c r="C205" s="78">
        <v>189</v>
      </c>
      <c r="D205" s="258">
        <v>38640</v>
      </c>
      <c r="E205" s="403" t="s">
        <v>291</v>
      </c>
      <c r="F205" s="241">
        <v>5951.38</v>
      </c>
      <c r="G205" s="134">
        <f t="shared" si="35"/>
        <v>0</v>
      </c>
      <c r="H205" s="241">
        <v>5951.38</v>
      </c>
      <c r="I205" s="135">
        <v>50</v>
      </c>
      <c r="J205" s="177">
        <v>119.03</v>
      </c>
      <c r="K205" s="437">
        <v>1453.79</v>
      </c>
      <c r="L205" s="277">
        <f t="shared" si="36"/>
        <v>4497.59</v>
      </c>
      <c r="M205" s="487">
        <f t="shared" si="37"/>
        <v>-241.77379908675789</v>
      </c>
      <c r="N205" s="417"/>
      <c r="O205" s="133"/>
      <c r="P205" s="135"/>
      <c r="Q205" s="136"/>
      <c r="R205" s="209"/>
      <c r="S205" s="418">
        <f t="shared" si="38"/>
        <v>1212.0162009132421</v>
      </c>
      <c r="T205" s="135">
        <v>60</v>
      </c>
      <c r="U205" s="419">
        <f t="shared" si="39"/>
        <v>12.219178082191782</v>
      </c>
      <c r="V205" s="420">
        <f t="shared" si="40"/>
        <v>99.189666666666668</v>
      </c>
      <c r="W205" s="175"/>
    </row>
    <row r="206" spans="1:23" s="80" customFormat="1" x14ac:dyDescent="0.25">
      <c r="B206" s="232"/>
      <c r="C206" s="78">
        <v>190</v>
      </c>
      <c r="D206" s="258">
        <v>38635</v>
      </c>
      <c r="E206" s="403" t="s">
        <v>272</v>
      </c>
      <c r="F206" s="241">
        <v>1057.0999999999999</v>
      </c>
      <c r="G206" s="134">
        <f t="shared" si="35"/>
        <v>0</v>
      </c>
      <c r="H206" s="241">
        <v>1057.0999999999999</v>
      </c>
      <c r="I206" s="135">
        <v>50</v>
      </c>
      <c r="J206" s="177">
        <v>21.14</v>
      </c>
      <c r="K206" s="437">
        <v>258.49</v>
      </c>
      <c r="L206" s="277">
        <f t="shared" si="36"/>
        <v>798.6099999999999</v>
      </c>
      <c r="M206" s="487">
        <f t="shared" si="37"/>
        <v>110.97782778864962</v>
      </c>
      <c r="N206" s="417"/>
      <c r="O206" s="133"/>
      <c r="P206" s="135"/>
      <c r="Q206" s="136"/>
      <c r="R206" s="209"/>
      <c r="S206" s="418">
        <f t="shared" si="38"/>
        <v>369.46782778864963</v>
      </c>
      <c r="T206" s="135">
        <v>35</v>
      </c>
      <c r="U206" s="419">
        <f t="shared" si="39"/>
        <v>12.232876712328768</v>
      </c>
      <c r="V206" s="420">
        <f t="shared" si="40"/>
        <v>30.202857142857141</v>
      </c>
    </row>
    <row r="207" spans="1:23" s="80" customFormat="1" x14ac:dyDescent="0.25">
      <c r="B207" s="232"/>
      <c r="C207" s="78">
        <v>191</v>
      </c>
      <c r="D207" s="258">
        <v>38640</v>
      </c>
      <c r="E207" s="403" t="s">
        <v>273</v>
      </c>
      <c r="F207" s="241">
        <v>3339.58</v>
      </c>
      <c r="G207" s="134">
        <f>H207-F207</f>
        <v>0</v>
      </c>
      <c r="H207" s="241">
        <v>3339.58</v>
      </c>
      <c r="I207" s="135">
        <v>50</v>
      </c>
      <c r="J207" s="177">
        <v>66.790000000000006</v>
      </c>
      <c r="K207" s="437">
        <v>815.75</v>
      </c>
      <c r="L207" s="277">
        <f>F207-K207</f>
        <v>2523.83</v>
      </c>
      <c r="M207" s="487">
        <f>S207-K207</f>
        <v>204.42306849315071</v>
      </c>
      <c r="N207" s="417"/>
      <c r="O207" s="133"/>
      <c r="P207" s="135"/>
      <c r="Q207" s="136"/>
      <c r="R207" s="209"/>
      <c r="S207" s="418">
        <f>IF((($F$7)-D207)&gt;T207*365,H207,(H207/(T207*365)*(($F$7)-D207)))</f>
        <v>1020.1730684931507</v>
      </c>
      <c r="T207" s="135">
        <v>40</v>
      </c>
      <c r="U207" s="419">
        <f>IF((($F$7)-D207)&gt;=T207*365,0,(($F$7)-D207))/365</f>
        <v>12.219178082191782</v>
      </c>
      <c r="V207" s="420">
        <f>IF((T207-U207)&lt;1,(H207-S207),(IF(U207=0,(0),(H207/T207))))</f>
        <v>83.489499999999992</v>
      </c>
    </row>
    <row r="208" spans="1:23" s="80" customFormat="1" x14ac:dyDescent="0.25">
      <c r="B208" s="504"/>
      <c r="C208" s="581">
        <v>192</v>
      </c>
      <c r="D208" s="258">
        <v>38640</v>
      </c>
      <c r="E208" s="403" t="s">
        <v>290</v>
      </c>
      <c r="F208" s="241">
        <v>5348.18</v>
      </c>
      <c r="G208" s="134">
        <f>H208-F208</f>
        <v>0</v>
      </c>
      <c r="H208" s="241">
        <v>5348.18</v>
      </c>
      <c r="I208" s="135">
        <v>50</v>
      </c>
      <c r="J208" s="177">
        <v>106.96</v>
      </c>
      <c r="K208" s="437">
        <v>1306.3800000000001</v>
      </c>
      <c r="L208" s="277">
        <f>F208-K208</f>
        <v>4041.8</v>
      </c>
      <c r="M208" s="487">
        <f>S208-K208</f>
        <v>-217.2072694063927</v>
      </c>
      <c r="N208" s="417"/>
      <c r="O208" s="133"/>
      <c r="P208" s="135"/>
      <c r="Q208" s="136"/>
      <c r="R208" s="209"/>
      <c r="S208" s="418">
        <f>IF((($F$7)-D208)&gt;T208*365,H208,(H208/(T208*365)*(($F$7)-D208)))</f>
        <v>1089.1727305936074</v>
      </c>
      <c r="T208" s="135">
        <v>60</v>
      </c>
      <c r="U208" s="419">
        <f>IF((($F$7)-D208)&gt;=T208*365,0,(($F$7)-D208))/365</f>
        <v>12.219178082191782</v>
      </c>
      <c r="V208" s="420">
        <f>IF((T208-U208)&lt;1,(H208-S208),(IF(U208=0,(0),(H208/T208))))</f>
        <v>89.13633333333334</v>
      </c>
    </row>
    <row r="209" spans="2:22" s="80" customFormat="1" x14ac:dyDescent="0.25">
      <c r="B209" s="232"/>
      <c r="C209" s="78">
        <v>193</v>
      </c>
      <c r="D209" s="258">
        <v>39556</v>
      </c>
      <c r="E209" s="403" t="s">
        <v>297</v>
      </c>
      <c r="F209" s="241">
        <v>23181.86</v>
      </c>
      <c r="G209" s="134">
        <f t="shared" si="35"/>
        <v>0</v>
      </c>
      <c r="H209" s="241">
        <v>23181.86</v>
      </c>
      <c r="I209" s="135">
        <v>7</v>
      </c>
      <c r="J209" s="177">
        <v>0</v>
      </c>
      <c r="K209" s="437">
        <v>23181.86</v>
      </c>
      <c r="L209" s="277">
        <f t="shared" si="36"/>
        <v>0</v>
      </c>
      <c r="M209" s="487">
        <f t="shared" ref="M209:M216" si="41">S209-K209</f>
        <v>0</v>
      </c>
      <c r="N209" s="417"/>
      <c r="O209" s="133"/>
      <c r="P209" s="135"/>
      <c r="Q209" s="136"/>
      <c r="R209" s="209"/>
      <c r="S209" s="418">
        <f t="shared" si="38"/>
        <v>23181.86</v>
      </c>
      <c r="T209" s="135">
        <v>7</v>
      </c>
      <c r="U209" s="419">
        <f t="shared" si="39"/>
        <v>0</v>
      </c>
      <c r="V209" s="420">
        <f t="shared" si="40"/>
        <v>0</v>
      </c>
    </row>
    <row r="210" spans="2:22" s="80" customFormat="1" x14ac:dyDescent="0.25">
      <c r="B210" s="232"/>
      <c r="C210" s="581">
        <v>194</v>
      </c>
      <c r="D210" s="258">
        <v>39953</v>
      </c>
      <c r="E210" s="403" t="s">
        <v>298</v>
      </c>
      <c r="F210" s="241">
        <v>154.85</v>
      </c>
      <c r="G210" s="134">
        <f t="shared" si="35"/>
        <v>0</v>
      </c>
      <c r="H210" s="241">
        <v>154.85</v>
      </c>
      <c r="I210" s="135">
        <v>50</v>
      </c>
      <c r="J210" s="177">
        <v>3.1</v>
      </c>
      <c r="K210" s="437">
        <v>26.35</v>
      </c>
      <c r="L210" s="277">
        <f t="shared" si="36"/>
        <v>128.5</v>
      </c>
      <c r="M210" s="487">
        <f t="shared" si="41"/>
        <v>0.35207945205479518</v>
      </c>
      <c r="N210" s="417"/>
      <c r="O210" s="133"/>
      <c r="P210" s="135"/>
      <c r="Q210" s="136"/>
      <c r="R210" s="209"/>
      <c r="S210" s="418">
        <f t="shared" si="38"/>
        <v>26.702079452054797</v>
      </c>
      <c r="T210" s="135">
        <v>50</v>
      </c>
      <c r="U210" s="419">
        <f t="shared" si="39"/>
        <v>8.6219178082191785</v>
      </c>
      <c r="V210" s="420">
        <f t="shared" si="40"/>
        <v>3.097</v>
      </c>
    </row>
    <row r="211" spans="2:22" s="80" customFormat="1" ht="13.8" thickBot="1" x14ac:dyDescent="0.3">
      <c r="B211" s="232"/>
      <c r="C211" s="78">
        <v>195</v>
      </c>
      <c r="D211" s="258">
        <v>40137</v>
      </c>
      <c r="E211" s="403" t="s">
        <v>299</v>
      </c>
      <c r="F211" s="241">
        <v>1934.5</v>
      </c>
      <c r="G211" s="134">
        <f t="shared" si="35"/>
        <v>0</v>
      </c>
      <c r="H211" s="241">
        <v>1934.5</v>
      </c>
      <c r="I211" s="135">
        <v>7</v>
      </c>
      <c r="J211" s="177">
        <v>0</v>
      </c>
      <c r="K211" s="437">
        <v>1934.5</v>
      </c>
      <c r="L211" s="277">
        <f t="shared" si="36"/>
        <v>0</v>
      </c>
      <c r="M211" s="487">
        <f t="shared" si="41"/>
        <v>0</v>
      </c>
      <c r="N211" s="417"/>
      <c r="O211" s="133"/>
      <c r="P211" s="135"/>
      <c r="Q211" s="136"/>
      <c r="R211" s="209"/>
      <c r="S211" s="418">
        <f t="shared" si="38"/>
        <v>1934.5</v>
      </c>
      <c r="T211" s="135">
        <v>7</v>
      </c>
      <c r="U211" s="419">
        <f t="shared" si="39"/>
        <v>0</v>
      </c>
      <c r="V211" s="420">
        <f t="shared" si="40"/>
        <v>0</v>
      </c>
    </row>
    <row r="212" spans="2:22" s="80" customFormat="1" ht="13.8" thickBot="1" x14ac:dyDescent="0.3">
      <c r="B212" s="232"/>
      <c r="C212" s="581">
        <v>196</v>
      </c>
      <c r="D212" s="258">
        <v>40518</v>
      </c>
      <c r="E212" s="403" t="s">
        <v>302</v>
      </c>
      <c r="F212" s="241">
        <v>863</v>
      </c>
      <c r="G212" s="134">
        <f t="shared" si="35"/>
        <v>0</v>
      </c>
      <c r="H212" s="241">
        <v>863</v>
      </c>
      <c r="I212" s="135">
        <v>50</v>
      </c>
      <c r="J212" s="177">
        <v>17.260000000000002</v>
      </c>
      <c r="K212" s="437">
        <v>129.44999999999999</v>
      </c>
      <c r="L212" s="277">
        <f t="shared" si="36"/>
        <v>733.55</v>
      </c>
      <c r="M212" s="487">
        <f t="shared" si="41"/>
        <v>44.973953033268117</v>
      </c>
      <c r="N212" s="417"/>
      <c r="O212" s="133"/>
      <c r="P212" s="135"/>
      <c r="Q212" s="136"/>
      <c r="R212" s="209"/>
      <c r="S212" s="418">
        <f t="shared" si="38"/>
        <v>174.42395303326811</v>
      </c>
      <c r="T212" s="135">
        <v>35</v>
      </c>
      <c r="U212" s="419">
        <f t="shared" si="39"/>
        <v>7.0739726027397261</v>
      </c>
      <c r="V212" s="420">
        <f t="shared" si="40"/>
        <v>24.657142857142858</v>
      </c>
    </row>
    <row r="213" spans="2:22" s="80" customFormat="1" x14ac:dyDescent="0.25">
      <c r="B213" s="232"/>
      <c r="C213" s="78">
        <v>197</v>
      </c>
      <c r="D213" s="258">
        <v>40632</v>
      </c>
      <c r="E213" s="403" t="s">
        <v>300</v>
      </c>
      <c r="F213" s="241">
        <v>1715.41</v>
      </c>
      <c r="G213" s="134">
        <f t="shared" si="35"/>
        <v>0</v>
      </c>
      <c r="H213" s="241">
        <v>1715.41</v>
      </c>
      <c r="I213" s="135">
        <v>5</v>
      </c>
      <c r="J213" s="177">
        <v>0</v>
      </c>
      <c r="K213" s="437">
        <v>1715.41</v>
      </c>
      <c r="L213" s="277">
        <f t="shared" si="36"/>
        <v>0</v>
      </c>
      <c r="M213" s="487">
        <f t="shared" si="41"/>
        <v>0</v>
      </c>
      <c r="N213" s="417"/>
      <c r="O213" s="133"/>
      <c r="P213" s="135"/>
      <c r="Q213" s="136"/>
      <c r="R213" s="209"/>
      <c r="S213" s="418">
        <f t="shared" si="38"/>
        <v>1715.41</v>
      </c>
      <c r="T213" s="135">
        <v>5</v>
      </c>
      <c r="U213" s="419">
        <f t="shared" si="39"/>
        <v>0</v>
      </c>
      <c r="V213" s="420">
        <f t="shared" si="40"/>
        <v>0</v>
      </c>
    </row>
    <row r="214" spans="2:22" s="80" customFormat="1" x14ac:dyDescent="0.25">
      <c r="B214" s="232"/>
      <c r="C214" s="581">
        <v>198</v>
      </c>
      <c r="D214" s="258">
        <v>40704</v>
      </c>
      <c r="E214" s="403" t="s">
        <v>301</v>
      </c>
      <c r="F214" s="241">
        <v>3073.5</v>
      </c>
      <c r="G214" s="134">
        <f t="shared" si="35"/>
        <v>0</v>
      </c>
      <c r="H214" s="241">
        <v>3073.5</v>
      </c>
      <c r="I214" s="135">
        <v>5</v>
      </c>
      <c r="J214" s="177">
        <v>0</v>
      </c>
      <c r="K214" s="437">
        <v>3073.5</v>
      </c>
      <c r="L214" s="277">
        <f t="shared" si="36"/>
        <v>0</v>
      </c>
      <c r="M214" s="487">
        <f t="shared" si="41"/>
        <v>0</v>
      </c>
      <c r="N214" s="417"/>
      <c r="O214" s="133"/>
      <c r="P214" s="135"/>
      <c r="Q214" s="136"/>
      <c r="R214" s="209"/>
      <c r="S214" s="418">
        <f t="shared" si="38"/>
        <v>3073.5</v>
      </c>
      <c r="T214" s="135">
        <v>5</v>
      </c>
      <c r="U214" s="419">
        <f t="shared" si="39"/>
        <v>0</v>
      </c>
      <c r="V214" s="420">
        <f t="shared" si="40"/>
        <v>0</v>
      </c>
    </row>
    <row r="215" spans="2:22" s="80" customFormat="1" x14ac:dyDescent="0.25">
      <c r="B215" s="232"/>
      <c r="C215" s="78">
        <v>199</v>
      </c>
      <c r="D215" s="258">
        <v>40714</v>
      </c>
      <c r="E215" s="403" t="s">
        <v>303</v>
      </c>
      <c r="F215" s="241">
        <v>1726</v>
      </c>
      <c r="G215" s="134">
        <f t="shared" ref="G215" si="42">H215-F215</f>
        <v>0</v>
      </c>
      <c r="H215" s="241">
        <v>1726</v>
      </c>
      <c r="I215" s="135">
        <v>50</v>
      </c>
      <c r="J215" s="177">
        <v>34.520000000000003</v>
      </c>
      <c r="K215" s="437">
        <v>224.38</v>
      </c>
      <c r="L215" s="277">
        <f t="shared" ref="L215" si="43">F215-K215</f>
        <v>1501.62</v>
      </c>
      <c r="M215" s="487">
        <f t="shared" ref="M215" si="44">S215-K215</f>
        <v>97.986810176125289</v>
      </c>
      <c r="N215" s="417"/>
      <c r="O215" s="133"/>
      <c r="P215" s="135"/>
      <c r="Q215" s="136"/>
      <c r="R215" s="209"/>
      <c r="S215" s="418">
        <f t="shared" ref="S215" si="45">IF((($F$7)-D215)&gt;T215*365,H215,(H215/(T215*365)*(($F$7)-D215)))</f>
        <v>322.36681017612528</v>
      </c>
      <c r="T215" s="135">
        <v>35</v>
      </c>
      <c r="U215" s="419">
        <f t="shared" ref="U215" si="46">IF((($F$7)-D215)&gt;=T215*365,0,(($F$7)-D215))/365</f>
        <v>6.536986301369863</v>
      </c>
      <c r="V215" s="420">
        <f t="shared" ref="V215" si="47">IF((T215-U215)&lt;1,(H215-S215),(IF(U215=0,(0),(H215/T215))))</f>
        <v>49.314285714285717</v>
      </c>
    </row>
    <row r="216" spans="2:22" s="80" customFormat="1" x14ac:dyDescent="0.25">
      <c r="B216" s="232"/>
      <c r="C216" s="581">
        <v>200</v>
      </c>
      <c r="D216" s="258">
        <v>41200</v>
      </c>
      <c r="E216" s="403" t="s">
        <v>309</v>
      </c>
      <c r="F216" s="241">
        <v>169.39</v>
      </c>
      <c r="G216" s="134">
        <f t="shared" si="35"/>
        <v>0</v>
      </c>
      <c r="H216" s="241">
        <v>169.39</v>
      </c>
      <c r="I216" s="135">
        <v>50</v>
      </c>
      <c r="J216" s="177">
        <v>3.39</v>
      </c>
      <c r="K216" s="437">
        <v>18.64</v>
      </c>
      <c r="L216" s="277">
        <f t="shared" si="36"/>
        <v>150.75</v>
      </c>
      <c r="M216" s="487">
        <f t="shared" si="41"/>
        <v>6.5530332681017605</v>
      </c>
      <c r="N216" s="417"/>
      <c r="O216" s="133"/>
      <c r="P216" s="135"/>
      <c r="Q216" s="136"/>
      <c r="R216" s="209"/>
      <c r="S216" s="418">
        <f t="shared" si="38"/>
        <v>25.193033268101761</v>
      </c>
      <c r="T216" s="135">
        <v>35</v>
      </c>
      <c r="U216" s="419">
        <f t="shared" si="39"/>
        <v>5.2054794520547949</v>
      </c>
      <c r="V216" s="420">
        <f t="shared" si="40"/>
        <v>4.839714285714285</v>
      </c>
    </row>
    <row r="217" spans="2:22" s="80" customFormat="1" x14ac:dyDescent="0.25">
      <c r="B217" s="232"/>
      <c r="C217" s="78">
        <v>201</v>
      </c>
      <c r="D217" s="258">
        <v>40713</v>
      </c>
      <c r="E217" s="403" t="s">
        <v>310</v>
      </c>
      <c r="F217" s="241">
        <v>2512.5</v>
      </c>
      <c r="G217" s="134">
        <f t="shared" ref="G217:G220" si="48">H217-F217</f>
        <v>0</v>
      </c>
      <c r="H217" s="241">
        <v>2512.5</v>
      </c>
      <c r="I217" s="135">
        <v>50</v>
      </c>
      <c r="J217" s="177">
        <v>50.27</v>
      </c>
      <c r="K217" s="437">
        <v>276.49</v>
      </c>
      <c r="L217" s="277">
        <f t="shared" ref="L217:L220" si="49">F217-K217</f>
        <v>2236.0100000000002</v>
      </c>
      <c r="M217" s="487">
        <f t="shared" ref="M217:M220" si="50">S217-K217</f>
        <v>52.131232876712318</v>
      </c>
      <c r="N217" s="417"/>
      <c r="O217" s="133"/>
      <c r="P217" s="135"/>
      <c r="Q217" s="136"/>
      <c r="R217" s="209"/>
      <c r="S217" s="418">
        <f t="shared" ref="S217:S220" si="51">IF((($F$7)-D217)&gt;T217*365,H217,(H217/(T217*365)*(($F$7)-D217)))</f>
        <v>328.62123287671233</v>
      </c>
      <c r="T217" s="135">
        <v>50</v>
      </c>
      <c r="U217" s="419">
        <f t="shared" ref="U217:U220" si="52">IF((($F$7)-D217)&gt;=T217*365,0,(($F$7)-D217))/365</f>
        <v>6.5397260273972604</v>
      </c>
      <c r="V217" s="420">
        <f t="shared" ref="V217:V220" si="53">IF((T217-U217)&lt;1,(H217-S217),(IF(U217=0,(0),(H217/T217))))</f>
        <v>50.25</v>
      </c>
    </row>
    <row r="218" spans="2:22" s="80" customFormat="1" x14ac:dyDescent="0.25">
      <c r="B218" s="232"/>
      <c r="C218" s="581">
        <v>202</v>
      </c>
      <c r="D218" s="258">
        <v>41305</v>
      </c>
      <c r="E218" s="403" t="s">
        <v>312</v>
      </c>
      <c r="F218" s="241">
        <v>1028.21</v>
      </c>
      <c r="G218" s="134">
        <f t="shared" si="48"/>
        <v>0</v>
      </c>
      <c r="H218" s="241">
        <v>1028.21</v>
      </c>
      <c r="I218" s="135">
        <v>50</v>
      </c>
      <c r="J218" s="177">
        <v>20.56</v>
      </c>
      <c r="K218" s="437">
        <v>92.52</v>
      </c>
      <c r="L218" s="277">
        <f t="shared" si="49"/>
        <v>935.69</v>
      </c>
      <c r="M218" s="487">
        <f t="shared" si="50"/>
        <v>8.610791780821927</v>
      </c>
      <c r="N218" s="417"/>
      <c r="O218" s="133"/>
      <c r="P218" s="135"/>
      <c r="Q218" s="136"/>
      <c r="R218" s="209"/>
      <c r="S218" s="418">
        <f t="shared" si="51"/>
        <v>101.13079178082192</v>
      </c>
      <c r="T218" s="135">
        <v>50</v>
      </c>
      <c r="U218" s="419">
        <f t="shared" si="52"/>
        <v>4.9178082191780819</v>
      </c>
      <c r="V218" s="420">
        <f t="shared" si="53"/>
        <v>20.5642</v>
      </c>
    </row>
    <row r="219" spans="2:22" s="80" customFormat="1" x14ac:dyDescent="0.25">
      <c r="B219" s="232"/>
      <c r="C219" s="78">
        <v>203</v>
      </c>
      <c r="D219" s="258">
        <v>41501</v>
      </c>
      <c r="E219" s="403" t="s">
        <v>313</v>
      </c>
      <c r="F219" s="241">
        <v>27360.45</v>
      </c>
      <c r="G219" s="134">
        <f t="shared" si="48"/>
        <v>0</v>
      </c>
      <c r="H219" s="241">
        <v>27360.45</v>
      </c>
      <c r="I219" s="135">
        <v>50</v>
      </c>
      <c r="J219" s="177">
        <v>547.21</v>
      </c>
      <c r="K219" s="437">
        <v>2462.44</v>
      </c>
      <c r="L219" s="277">
        <f t="shared" si="49"/>
        <v>24898.010000000002</v>
      </c>
      <c r="M219" s="487">
        <f t="shared" si="50"/>
        <v>-65.214819178082053</v>
      </c>
      <c r="N219" s="417"/>
      <c r="O219" s="133"/>
      <c r="P219" s="135"/>
      <c r="Q219" s="136"/>
      <c r="R219" s="209"/>
      <c r="S219" s="418">
        <f t="shared" si="51"/>
        <v>2397.225180821918</v>
      </c>
      <c r="T219" s="135">
        <v>50</v>
      </c>
      <c r="U219" s="419">
        <f t="shared" si="52"/>
        <v>4.3808219178082188</v>
      </c>
      <c r="V219" s="420">
        <f t="shared" si="53"/>
        <v>547.20900000000006</v>
      </c>
    </row>
    <row r="220" spans="2:22" s="80" customFormat="1" x14ac:dyDescent="0.25">
      <c r="B220" s="232"/>
      <c r="C220" s="581">
        <v>204</v>
      </c>
      <c r="D220" s="258">
        <v>42214</v>
      </c>
      <c r="E220" s="403" t="s">
        <v>314</v>
      </c>
      <c r="F220" s="241">
        <v>3416.52</v>
      </c>
      <c r="G220" s="134">
        <f t="shared" si="48"/>
        <v>0</v>
      </c>
      <c r="H220" s="241">
        <v>3416.52</v>
      </c>
      <c r="I220" s="135">
        <v>50</v>
      </c>
      <c r="J220" s="177">
        <v>68.33</v>
      </c>
      <c r="K220" s="437">
        <v>170.83</v>
      </c>
      <c r="L220" s="277">
        <f t="shared" si="49"/>
        <v>3245.69</v>
      </c>
      <c r="M220" s="487">
        <f t="shared" si="50"/>
        <v>-4.9649742465753377</v>
      </c>
      <c r="N220" s="417"/>
      <c r="O220" s="133"/>
      <c r="P220" s="135"/>
      <c r="Q220" s="136"/>
      <c r="R220" s="209"/>
      <c r="S220" s="418">
        <f t="shared" si="51"/>
        <v>165.86502575342467</v>
      </c>
      <c r="T220" s="135">
        <v>50</v>
      </c>
      <c r="U220" s="419">
        <f t="shared" si="52"/>
        <v>2.4273972602739726</v>
      </c>
      <c r="V220" s="420">
        <f t="shared" si="53"/>
        <v>68.330399999999997</v>
      </c>
    </row>
    <row r="221" spans="2:22" s="80" customFormat="1" x14ac:dyDescent="0.25">
      <c r="B221" s="232"/>
      <c r="C221" s="581">
        <v>205</v>
      </c>
      <c r="D221" s="258">
        <v>42200</v>
      </c>
      <c r="E221" s="403" t="s">
        <v>315</v>
      </c>
      <c r="F221" s="241">
        <v>7632.73</v>
      </c>
      <c r="G221" s="134">
        <f t="shared" ref="G221" si="54">H221-F221</f>
        <v>0</v>
      </c>
      <c r="H221" s="241">
        <v>7632.73</v>
      </c>
      <c r="I221" s="135">
        <v>50</v>
      </c>
      <c r="J221" s="177">
        <v>152.65</v>
      </c>
      <c r="K221" s="437">
        <v>381.63</v>
      </c>
      <c r="L221" s="277">
        <f t="shared" ref="L221" si="55">F221-K221</f>
        <v>7251.0999999999995</v>
      </c>
      <c r="M221" s="487">
        <f t="shared" ref="M221" si="56">S221-K221</f>
        <v>-5.2213972602739886</v>
      </c>
      <c r="N221" s="417"/>
      <c r="O221" s="133"/>
      <c r="P221" s="135"/>
      <c r="Q221" s="136"/>
      <c r="R221" s="209"/>
      <c r="S221" s="418">
        <f t="shared" ref="S221" si="57">IF((($F$7)-D221)&gt;T221*365,H221,(H221/(T221*365)*(($F$7)-D221)))</f>
        <v>376.40860273972601</v>
      </c>
      <c r="T221" s="135">
        <v>50</v>
      </c>
      <c r="U221" s="419">
        <f t="shared" ref="U221" si="58">IF((($F$7)-D221)&gt;=T221*365,0,(($F$7)-D221))/365</f>
        <v>2.4657534246575343</v>
      </c>
      <c r="V221" s="420">
        <f t="shared" ref="V221" si="59">IF((T221-U221)&lt;1,(H221-S221),(IF(U221=0,(0),(H221/T221))))</f>
        <v>152.65459999999999</v>
      </c>
    </row>
    <row r="222" spans="2:22" s="80" customFormat="1" ht="13.8" thickBot="1" x14ac:dyDescent="0.3">
      <c r="B222" s="232"/>
      <c r="C222" s="78">
        <v>206</v>
      </c>
      <c r="D222" s="258">
        <v>42433</v>
      </c>
      <c r="E222" s="403" t="s">
        <v>316</v>
      </c>
      <c r="F222" s="241">
        <v>509.6</v>
      </c>
      <c r="G222" s="134">
        <f t="shared" ref="G222" si="60">H222-F222</f>
        <v>0</v>
      </c>
      <c r="H222" s="241">
        <v>509.6</v>
      </c>
      <c r="I222" s="135">
        <v>50</v>
      </c>
      <c r="J222" s="177">
        <v>10.19</v>
      </c>
      <c r="K222" s="437">
        <v>15.29</v>
      </c>
      <c r="L222" s="277">
        <f t="shared" ref="L222" si="61">F222-K222</f>
        <v>494.31</v>
      </c>
      <c r="M222" s="487">
        <f t="shared" ref="M222" si="62">S222-K222</f>
        <v>3.3348328767123299</v>
      </c>
      <c r="N222" s="417"/>
      <c r="O222" s="133"/>
      <c r="P222" s="135"/>
      <c r="Q222" s="136"/>
      <c r="R222" s="209"/>
      <c r="S222" s="418">
        <f t="shared" ref="S222" si="63">IF((($F$7)-D222)&gt;T222*365,H222,(H222/(T222*365)*(($F$7)-D222)))</f>
        <v>18.624832876712329</v>
      </c>
      <c r="T222" s="135">
        <v>50</v>
      </c>
      <c r="U222" s="419">
        <f t="shared" ref="U222" si="64">IF((($F$7)-D222)&gt;=T222*365,0,(($F$7)-D222))/365</f>
        <v>1.8273972602739725</v>
      </c>
      <c r="V222" s="420">
        <f t="shared" ref="V222" si="65">IF((T222-U222)&lt;1,(H222-S222),(IF(U222=0,(0),(H222/T222))))</f>
        <v>10.192</v>
      </c>
    </row>
    <row r="223" spans="2:22" s="78" customFormat="1" ht="14.4" thickTop="1" thickBot="1" x14ac:dyDescent="0.3">
      <c r="B223" s="119" t="s">
        <v>24</v>
      </c>
      <c r="C223" s="235"/>
      <c r="D223" s="137"/>
      <c r="E223" s="140" t="s">
        <v>59</v>
      </c>
      <c r="F223" s="178">
        <f>SUM(F20:F222)</f>
        <v>474083.20999999985</v>
      </c>
      <c r="G223" s="139">
        <f>SUM(G20:G222)</f>
        <v>-5542.380000000001</v>
      </c>
      <c r="H223" s="178">
        <f>SUM(H20:H222)</f>
        <v>468540.82999999984</v>
      </c>
      <c r="I223" s="137"/>
      <c r="J223" s="178">
        <f>SUM(J20:J222)</f>
        <v>6824.8577687969937</v>
      </c>
      <c r="K223" s="439">
        <f>SUM(K20:K222)</f>
        <v>354953.8</v>
      </c>
      <c r="L223" s="439">
        <f>SUM(L20:L216)</f>
        <v>80015.450000000012</v>
      </c>
      <c r="M223" s="477">
        <f>SUM(M20:M222)</f>
        <v>-38406.461742707121</v>
      </c>
      <c r="N223" s="477">
        <f>SUM(N17:N20)</f>
        <v>388.55</v>
      </c>
      <c r="O223" s="477">
        <f>SUM(O20:O222)</f>
        <v>262907.72490506835</v>
      </c>
      <c r="P223" s="138" t="s">
        <v>24</v>
      </c>
      <c r="Q223" s="203" t="s">
        <v>24</v>
      </c>
      <c r="R223" s="210">
        <f>SUM(R20:R222)</f>
        <v>7019.0315925543809</v>
      </c>
      <c r="S223" s="178">
        <f>SUM(S20:S222)</f>
        <v>53639.613352224405</v>
      </c>
      <c r="T223" s="138" t="s">
        <v>24</v>
      </c>
      <c r="U223" s="299" t="s">
        <v>24</v>
      </c>
      <c r="V223" s="210">
        <f>SUM(V20:V222)</f>
        <v>1990.3987095238097</v>
      </c>
    </row>
    <row r="224" spans="2:22" s="78" customFormat="1" ht="10.8" thickBot="1" x14ac:dyDescent="0.25">
      <c r="B224" s="99"/>
      <c r="C224" s="99"/>
      <c r="D224" s="99"/>
      <c r="E224" s="219"/>
      <c r="F224" s="180"/>
      <c r="G224" s="220"/>
      <c r="H224" s="180"/>
      <c r="I224" s="99"/>
      <c r="J224" s="180"/>
      <c r="K224" s="435"/>
      <c r="L224" s="180"/>
      <c r="M224" s="493"/>
      <c r="N224" s="333"/>
      <c r="O224" s="221"/>
      <c r="P224" s="221"/>
      <c r="Q224" s="102"/>
      <c r="R224" s="180"/>
    </row>
    <row r="225" spans="2:18" x14ac:dyDescent="0.25">
      <c r="B225" s="98"/>
      <c r="C225" s="85" t="s">
        <v>62</v>
      </c>
      <c r="D225" s="85"/>
      <c r="E225" s="85"/>
      <c r="F225" s="181"/>
      <c r="G225" s="222"/>
      <c r="H225" s="181"/>
      <c r="I225" s="85"/>
      <c r="J225" s="181"/>
      <c r="K225" s="440"/>
      <c r="L225" s="181"/>
      <c r="M225" s="494"/>
      <c r="N225" s="332"/>
      <c r="O225" s="111"/>
      <c r="P225" s="85"/>
      <c r="Q225" s="112"/>
      <c r="R225" s="189"/>
    </row>
    <row r="226" spans="2:18" ht="13.8" thickBot="1" x14ac:dyDescent="0.3">
      <c r="B226" s="223" t="s">
        <v>24</v>
      </c>
      <c r="C226" s="224"/>
      <c r="D226" s="225">
        <v>0</v>
      </c>
      <c r="E226" s="225" t="s">
        <v>60</v>
      </c>
      <c r="F226" s="226">
        <v>0</v>
      </c>
      <c r="G226" s="227">
        <f>H226-F226</f>
        <v>0</v>
      </c>
      <c r="H226" s="226">
        <v>0</v>
      </c>
      <c r="I226" s="228">
        <v>0</v>
      </c>
      <c r="J226" s="226">
        <v>0</v>
      </c>
      <c r="K226" s="441">
        <v>0</v>
      </c>
      <c r="L226" s="226"/>
      <c r="M226" s="495">
        <f>O226-K226</f>
        <v>0</v>
      </c>
      <c r="N226" s="335"/>
      <c r="O226" s="229">
        <f>IF((($F$7+0.5)-D226)&gt;P226,H226,(H226/P226)*(($F$7+0.5)-D226))</f>
        <v>0</v>
      </c>
      <c r="P226" s="228">
        <v>0</v>
      </c>
      <c r="Q226" s="230">
        <f>IF((($F$7+0.5)-D226)&gt;=P226,0,P226-(($F$7+0.5)-D226))</f>
        <v>0</v>
      </c>
      <c r="R226" s="231">
        <f>IF(Q226&lt;1,(H226-O226),(H226-O226)/Q226)</f>
        <v>0</v>
      </c>
    </row>
    <row r="227" spans="2:18" ht="13.8" thickBot="1" x14ac:dyDescent="0.3">
      <c r="B227" s="109"/>
      <c r="C227" s="104"/>
      <c r="D227" s="99"/>
      <c r="E227" s="99"/>
      <c r="F227" s="180"/>
      <c r="G227" s="101"/>
      <c r="H227" s="180"/>
      <c r="I227" s="102"/>
      <c r="J227" s="180"/>
      <c r="K227" s="435"/>
      <c r="L227" s="180"/>
      <c r="M227" s="493"/>
      <c r="N227" s="334"/>
      <c r="O227" s="100"/>
      <c r="P227" s="102"/>
      <c r="Q227" s="103"/>
      <c r="R227" s="180"/>
    </row>
    <row r="228" spans="2:18" x14ac:dyDescent="0.25">
      <c r="B228" s="408"/>
      <c r="C228" s="409" t="s">
        <v>266</v>
      </c>
      <c r="D228" s="410"/>
      <c r="E228" s="410"/>
      <c r="F228" s="411"/>
      <c r="G228" s="412"/>
      <c r="H228" s="411"/>
      <c r="I228" s="413"/>
      <c r="J228" s="411"/>
      <c r="K228" s="442"/>
      <c r="L228" s="411"/>
      <c r="M228" s="496"/>
      <c r="N228" s="331"/>
      <c r="O228" s="414"/>
      <c r="P228" s="413"/>
      <c r="Q228" s="415"/>
      <c r="R228" s="416"/>
    </row>
    <row r="229" spans="2:18" ht="13.8" thickBot="1" x14ac:dyDescent="0.3">
      <c r="B229" s="223" t="s">
        <v>24</v>
      </c>
      <c r="C229" s="224"/>
      <c r="D229" s="225">
        <v>0</v>
      </c>
      <c r="E229" s="225" t="s">
        <v>60</v>
      </c>
      <c r="F229" s="226">
        <v>0</v>
      </c>
      <c r="G229" s="227">
        <f>H229-F229</f>
        <v>0</v>
      </c>
      <c r="H229" s="226">
        <v>0</v>
      </c>
      <c r="I229" s="228">
        <v>0</v>
      </c>
      <c r="J229" s="226">
        <v>0</v>
      </c>
      <c r="K229" s="441">
        <v>0</v>
      </c>
      <c r="L229" s="226"/>
      <c r="M229" s="495">
        <f>O229-K229</f>
        <v>0</v>
      </c>
      <c r="N229" s="335"/>
      <c r="O229" s="229">
        <f>IF((($F$7+0.5)-D229)&gt;P229,H229,(H229/P229)*(($F$7+0.5)-D229))</f>
        <v>0</v>
      </c>
      <c r="P229" s="228">
        <v>0</v>
      </c>
      <c r="Q229" s="230">
        <f>IF((($F$7+0.5)-D229)&gt;=P229,0,P229-(($F$7+0.5)-D229))</f>
        <v>0</v>
      </c>
      <c r="R229" s="231">
        <f>IF(Q229&lt;1,(H229-O229),(H229-O229)/Q229)</f>
        <v>0</v>
      </c>
    </row>
    <row r="230" spans="2:18" ht="13.8" thickBot="1" x14ac:dyDescent="0.3">
      <c r="B230" s="109"/>
      <c r="C230" s="110"/>
      <c r="D230" s="99"/>
      <c r="E230" s="99"/>
      <c r="F230" s="180"/>
      <c r="G230" s="101"/>
      <c r="H230" s="180"/>
      <c r="I230" s="102"/>
      <c r="J230" s="180"/>
      <c r="K230" s="435"/>
      <c r="L230" s="180"/>
      <c r="M230" s="493"/>
      <c r="N230" s="334"/>
      <c r="O230" s="100"/>
      <c r="P230" s="102"/>
      <c r="Q230" s="103"/>
      <c r="R230" s="180"/>
    </row>
    <row r="231" spans="2:18" x14ac:dyDescent="0.25">
      <c r="B231" s="98"/>
      <c r="C231" s="85" t="s">
        <v>25</v>
      </c>
      <c r="D231" s="85"/>
      <c r="E231" s="85"/>
      <c r="F231" s="181"/>
      <c r="G231" s="111"/>
      <c r="H231" s="181"/>
      <c r="I231" s="85"/>
      <c r="J231" s="181"/>
      <c r="K231" s="440"/>
      <c r="L231" s="181"/>
      <c r="M231" s="494"/>
      <c r="N231" s="331"/>
      <c r="O231" s="111"/>
      <c r="P231" s="85"/>
      <c r="Q231" s="112"/>
      <c r="R231" s="189"/>
    </row>
    <row r="232" spans="2:18" x14ac:dyDescent="0.25">
      <c r="B232" s="113"/>
      <c r="C232" s="105" t="s">
        <v>26</v>
      </c>
      <c r="D232" s="105"/>
      <c r="E232" s="105"/>
      <c r="F232" s="179">
        <f>F223</f>
        <v>474083.20999999985</v>
      </c>
      <c r="G232" s="107">
        <f>G223</f>
        <v>-5542.380000000001</v>
      </c>
      <c r="H232" s="179">
        <f>H223</f>
        <v>468540.82999999984</v>
      </c>
      <c r="I232" s="105"/>
      <c r="J232" s="179"/>
      <c r="K232" s="443"/>
      <c r="L232" s="179"/>
      <c r="M232" s="497"/>
      <c r="N232" s="334"/>
      <c r="O232" s="106"/>
      <c r="P232" s="105"/>
      <c r="Q232" s="108"/>
      <c r="R232" s="211"/>
    </row>
    <row r="233" spans="2:18" x14ac:dyDescent="0.25">
      <c r="B233" s="113"/>
      <c r="C233" s="105" t="s">
        <v>27</v>
      </c>
      <c r="D233" s="105"/>
      <c r="E233" s="105"/>
      <c r="F233" s="179">
        <f>F17</f>
        <v>5403.2</v>
      </c>
      <c r="G233" s="114">
        <f>H233-F233</f>
        <v>-0.5999999999994543</v>
      </c>
      <c r="H233" s="179">
        <f>H17</f>
        <v>5402.6</v>
      </c>
      <c r="I233" s="105"/>
      <c r="J233" s="265"/>
      <c r="K233" s="443"/>
      <c r="L233" s="179"/>
      <c r="M233" s="497"/>
      <c r="N233" s="336"/>
      <c r="O233" s="106"/>
      <c r="P233" s="105"/>
      <c r="Q233" s="108"/>
      <c r="R233" s="211"/>
    </row>
    <row r="234" spans="2:18" x14ac:dyDescent="0.25">
      <c r="B234" s="113"/>
      <c r="C234" s="105" t="s">
        <v>28</v>
      </c>
      <c r="D234" s="105"/>
      <c r="E234" s="105"/>
      <c r="F234" s="179">
        <v>0</v>
      </c>
      <c r="G234" s="101">
        <f>H234-F234</f>
        <v>0</v>
      </c>
      <c r="H234" s="179">
        <v>0</v>
      </c>
      <c r="I234" s="105"/>
      <c r="J234" s="179"/>
      <c r="K234" s="443"/>
      <c r="L234" s="179"/>
      <c r="M234" s="497"/>
      <c r="O234" s="106"/>
      <c r="P234" s="105"/>
      <c r="Q234" s="108"/>
      <c r="R234" s="211"/>
    </row>
    <row r="235" spans="2:18" x14ac:dyDescent="0.25">
      <c r="B235" s="113"/>
      <c r="C235" s="105" t="s">
        <v>29</v>
      </c>
      <c r="D235" s="105"/>
      <c r="E235" s="105"/>
      <c r="F235" s="182">
        <f>F226</f>
        <v>0</v>
      </c>
      <c r="G235" s="101">
        <f>H235-F235</f>
        <v>0</v>
      </c>
      <c r="H235" s="182">
        <f>H226</f>
        <v>0</v>
      </c>
      <c r="I235" s="105"/>
      <c r="J235" s="179"/>
      <c r="K235" s="443"/>
      <c r="L235" s="179"/>
      <c r="M235" s="497"/>
      <c r="O235" s="106"/>
      <c r="P235" s="105"/>
      <c r="Q235" s="108"/>
      <c r="R235" s="211"/>
    </row>
    <row r="236" spans="2:18" x14ac:dyDescent="0.25">
      <c r="B236" s="113"/>
      <c r="C236" s="105"/>
      <c r="D236" s="105"/>
      <c r="E236" s="105"/>
      <c r="F236" s="179"/>
      <c r="G236" s="114"/>
      <c r="H236" s="179"/>
      <c r="I236" s="105"/>
      <c r="J236" s="179"/>
      <c r="K236" s="443"/>
      <c r="L236" s="179"/>
      <c r="M236" s="497"/>
      <c r="O236" s="106"/>
      <c r="P236" s="105"/>
      <c r="Q236" s="108"/>
      <c r="R236" s="211"/>
    </row>
    <row r="237" spans="2:18" ht="13.8" thickBot="1" x14ac:dyDescent="0.3">
      <c r="B237" s="212"/>
      <c r="C237" s="213" t="s">
        <v>30</v>
      </c>
      <c r="D237" s="213"/>
      <c r="E237" s="213"/>
      <c r="F237" s="214">
        <f>F232+F233+F234+F235</f>
        <v>479486.40999999986</v>
      </c>
      <c r="G237" s="215">
        <f>G232+G233+G234+G235</f>
        <v>-5542.9800000000005</v>
      </c>
      <c r="H237" s="214">
        <f>H232+H233+H234+H235</f>
        <v>473943.42999999982</v>
      </c>
      <c r="I237" s="213"/>
      <c r="J237" s="214"/>
      <c r="K237" s="444"/>
      <c r="L237" s="214"/>
      <c r="M237" s="498"/>
      <c r="N237" s="337"/>
      <c r="O237" s="216"/>
      <c r="P237" s="213"/>
      <c r="Q237" s="217"/>
      <c r="R237" s="218"/>
    </row>
    <row r="238" spans="2:18" x14ac:dyDescent="0.25">
      <c r="B238" s="77"/>
      <c r="C238" s="115"/>
      <c r="D238" s="115"/>
      <c r="E238" s="115"/>
      <c r="F238" s="183"/>
      <c r="G238" s="116"/>
      <c r="H238" s="183"/>
      <c r="I238" s="115"/>
      <c r="J238" s="183"/>
      <c r="K238" s="445"/>
      <c r="L238" s="183"/>
      <c r="M238" s="499"/>
      <c r="O238" s="115"/>
      <c r="P238" s="115"/>
      <c r="Q238" s="204"/>
      <c r="R238" s="183"/>
    </row>
    <row r="239" spans="2:18" x14ac:dyDescent="0.25">
      <c r="B239" s="81"/>
      <c r="C239" s="81"/>
      <c r="D239" s="81"/>
      <c r="E239" s="81"/>
      <c r="F239" s="184"/>
      <c r="G239" s="81"/>
      <c r="H239" s="184"/>
      <c r="I239" s="81"/>
      <c r="J239" s="184"/>
      <c r="K239" s="422"/>
      <c r="L239" s="184"/>
      <c r="M239" s="479"/>
      <c r="O239" s="81"/>
      <c r="P239" s="81"/>
      <c r="Q239" s="200"/>
      <c r="R239" s="184"/>
    </row>
    <row r="240" spans="2:18" x14ac:dyDescent="0.25">
      <c r="B240" s="81"/>
      <c r="C240" s="81"/>
      <c r="D240" s="81"/>
      <c r="E240" s="81"/>
      <c r="F240" s="184"/>
      <c r="G240" s="81"/>
      <c r="H240" s="184"/>
      <c r="I240" s="81"/>
      <c r="J240" s="184"/>
      <c r="K240" s="422"/>
      <c r="L240" s="184"/>
      <c r="M240" s="479"/>
      <c r="O240" s="81"/>
      <c r="P240" s="81"/>
      <c r="Q240" s="200"/>
      <c r="R240" s="184"/>
    </row>
    <row r="241" spans="2:18" x14ac:dyDescent="0.25">
      <c r="B241" s="81"/>
      <c r="C241" s="81"/>
      <c r="D241" s="81"/>
      <c r="E241" s="81"/>
      <c r="F241" s="184"/>
      <c r="G241" s="81"/>
      <c r="H241" s="184"/>
      <c r="I241" s="81"/>
      <c r="J241" s="184"/>
      <c r="K241" s="422"/>
      <c r="L241" s="184"/>
      <c r="M241" s="479"/>
      <c r="O241" s="81"/>
      <c r="P241" s="81"/>
      <c r="Q241" s="200"/>
      <c r="R241" s="184"/>
    </row>
    <row r="242" spans="2:18" x14ac:dyDescent="0.25">
      <c r="B242" s="81"/>
      <c r="C242" s="81"/>
      <c r="D242" s="81"/>
      <c r="E242" s="81"/>
      <c r="F242" s="184"/>
      <c r="G242" s="81"/>
      <c r="H242" s="184"/>
      <c r="I242" s="81"/>
      <c r="J242" s="184"/>
      <c r="K242" s="422"/>
      <c r="L242" s="184"/>
      <c r="M242" s="479"/>
      <c r="O242" s="81"/>
      <c r="P242" s="81"/>
      <c r="Q242" s="200"/>
      <c r="R242" s="184"/>
    </row>
    <row r="243" spans="2:18" x14ac:dyDescent="0.25">
      <c r="B243" s="81"/>
      <c r="C243" s="81"/>
      <c r="D243" s="81"/>
      <c r="E243" s="81"/>
      <c r="F243" s="184"/>
      <c r="G243" s="81"/>
      <c r="H243" s="184"/>
      <c r="I243" s="81"/>
      <c r="J243" s="184"/>
      <c r="K243" s="422"/>
      <c r="L243" s="184"/>
      <c r="M243" s="479"/>
      <c r="O243" s="81"/>
      <c r="P243" s="81"/>
      <c r="Q243" s="200"/>
      <c r="R243" s="184"/>
    </row>
    <row r="245" spans="2:18" x14ac:dyDescent="0.25">
      <c r="G245" t="s">
        <v>24</v>
      </c>
    </row>
  </sheetData>
  <mergeCells count="5">
    <mergeCell ref="S8:V8"/>
    <mergeCell ref="P11:Q11"/>
    <mergeCell ref="O9:R9"/>
    <mergeCell ref="S9:V9"/>
    <mergeCell ref="N8:R8"/>
  </mergeCells>
  <phoneticPr fontId="8" type="noConversion"/>
  <printOptions horizontalCentered="1" headings="1"/>
  <pageMargins left="0.25" right="0.25" top="0.5" bottom="0.25" header="0.25" footer="0"/>
  <pageSetup scale="70" orientation="landscape" cellComments="atEnd" horizontalDpi="300" verticalDpi="300" r:id="rId1"/>
  <headerFooter alignWithMargins="0">
    <oddHeader>&amp;LR-2018-3001503&amp;CADJUSTED DEPRECIATION SCHEDULE&amp;RAttachment-2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1"/>
  <sheetViews>
    <sheetView showGridLines="0" workbookViewId="0">
      <selection activeCell="P36" sqref="P36"/>
    </sheetView>
  </sheetViews>
  <sheetFormatPr defaultRowHeight="13.2" x14ac:dyDescent="0.25"/>
  <cols>
    <col min="2" max="2" width="27.6640625" customWidth="1"/>
    <col min="3" max="3" width="3.6640625" customWidth="1"/>
    <col min="5" max="5" width="3.6640625" customWidth="1"/>
    <col min="6" max="6" width="10.5546875" customWidth="1"/>
    <col min="7" max="7" width="3.6640625" customWidth="1"/>
    <col min="9" max="9" width="3.6640625" customWidth="1"/>
  </cols>
  <sheetData>
    <row r="1" spans="2:9" ht="13.8" x14ac:dyDescent="0.25">
      <c r="B1" s="62"/>
      <c r="C1" s="63"/>
      <c r="D1" s="63"/>
      <c r="E1" s="64"/>
      <c r="F1" s="64"/>
      <c r="G1" s="64"/>
      <c r="H1" s="64"/>
      <c r="I1" s="63"/>
    </row>
    <row r="2" spans="2:9" ht="13.8" x14ac:dyDescent="0.25">
      <c r="B2" s="246"/>
      <c r="C2" s="242"/>
      <c r="D2" s="242"/>
      <c r="E2" s="243"/>
      <c r="F2" s="243"/>
      <c r="G2" s="243"/>
      <c r="H2" s="243"/>
      <c r="I2" s="244"/>
    </row>
    <row r="3" spans="2:9" ht="13.8" x14ac:dyDescent="0.25">
      <c r="B3" s="247" t="str">
        <f>' DEPSCH BY ACCO #'!D5</f>
        <v>VENANGO WATER COMPANY</v>
      </c>
      <c r="C3" s="63"/>
      <c r="D3" s="63"/>
      <c r="E3" s="64"/>
      <c r="F3" s="64"/>
      <c r="G3" s="64"/>
      <c r="H3" s="64"/>
      <c r="I3" s="245"/>
    </row>
    <row r="4" spans="2:9" ht="13.8" x14ac:dyDescent="0.25">
      <c r="B4" s="50" t="str">
        <f>' DEPSCH BY ACCO #'!B7</f>
        <v>FOR HISTORIC TEST YEAR END: DEC 31, 2017</v>
      </c>
      <c r="C4" s="19"/>
      <c r="D4" s="19"/>
      <c r="E4" s="19"/>
      <c r="F4" s="51"/>
      <c r="G4" s="19"/>
      <c r="H4" s="19"/>
      <c r="I4" s="35"/>
    </row>
    <row r="5" spans="2:9" ht="13.8" x14ac:dyDescent="0.25">
      <c r="B5" s="18"/>
      <c r="C5" s="19"/>
      <c r="D5" s="20" t="s">
        <v>2</v>
      </c>
      <c r="E5" s="19"/>
      <c r="F5" s="21" t="s">
        <v>31</v>
      </c>
      <c r="G5" s="19"/>
      <c r="H5" s="22" t="s">
        <v>3</v>
      </c>
      <c r="I5" s="23"/>
    </row>
    <row r="6" spans="2:9" ht="13.8" x14ac:dyDescent="0.25">
      <c r="B6" s="18"/>
      <c r="C6" s="19"/>
      <c r="D6" s="20" t="s">
        <v>32</v>
      </c>
      <c r="E6" s="19"/>
      <c r="F6" s="21" t="s">
        <v>32</v>
      </c>
      <c r="G6" s="19"/>
      <c r="H6" s="20" t="s">
        <v>32</v>
      </c>
      <c r="I6" s="23"/>
    </row>
    <row r="7" spans="2:9" ht="3" customHeight="1" thickBot="1" x14ac:dyDescent="0.3">
      <c r="B7" s="24"/>
      <c r="C7" s="25"/>
      <c r="D7" s="16"/>
      <c r="E7" s="19"/>
      <c r="F7" s="17"/>
      <c r="G7" s="19"/>
      <c r="H7" s="16"/>
      <c r="I7" s="23"/>
    </row>
    <row r="8" spans="2:9" ht="13.8" x14ac:dyDescent="0.25">
      <c r="B8" s="26" t="s">
        <v>33</v>
      </c>
      <c r="C8" s="27"/>
      <c r="D8" s="60">
        <f>' DEPSCH BY ACCO #'!F232</f>
        <v>474083.20999999985</v>
      </c>
      <c r="E8" s="54"/>
      <c r="F8" s="60">
        <f>ROUND(' DEPSCH BY ACCO #'!G223,0)</f>
        <v>-5542</v>
      </c>
      <c r="G8" s="54"/>
      <c r="H8" s="60">
        <f>ROUND(' DEPSCH BY ACCO #'!H223,0)</f>
        <v>468541</v>
      </c>
      <c r="I8" s="23"/>
    </row>
    <row r="9" spans="2:9" ht="13.8" x14ac:dyDescent="0.25">
      <c r="B9" s="28" t="s">
        <v>34</v>
      </c>
      <c r="C9" s="29"/>
      <c r="D9" s="60">
        <f>' DEPSCH BY ACCO #'!K223</f>
        <v>354953.8</v>
      </c>
      <c r="E9" s="54"/>
      <c r="F9" s="60">
        <f>ROUND(' DEPSCH BY ACCO #'!M223,0)</f>
        <v>-38406</v>
      </c>
      <c r="G9" s="54"/>
      <c r="H9" s="66">
        <f>ROUND(' DEPSCH BY ACCO #'!O223+' DEPSCH BY ACCO #'!O17+' DEPSCH BY ACCO #'!S223,0)</f>
        <v>316547</v>
      </c>
      <c r="I9" s="23"/>
    </row>
    <row r="10" spans="2:9" ht="3" customHeight="1" thickBot="1" x14ac:dyDescent="0.3">
      <c r="B10" s="28"/>
      <c r="C10" s="29"/>
      <c r="D10" s="59"/>
      <c r="E10" s="54"/>
      <c r="F10" s="59"/>
      <c r="G10" s="54"/>
      <c r="H10" s="59"/>
      <c r="I10" s="23"/>
    </row>
    <row r="11" spans="2:9" ht="14.4" thickTop="1" x14ac:dyDescent="0.25">
      <c r="B11" s="30" t="s">
        <v>35</v>
      </c>
      <c r="C11" s="31"/>
      <c r="D11" s="67">
        <f>D8-D9</f>
        <v>119129.40999999986</v>
      </c>
      <c r="E11" s="54"/>
      <c r="F11" s="67">
        <f>F8-F9</f>
        <v>32864</v>
      </c>
      <c r="G11" s="54"/>
      <c r="H11" s="67">
        <f>H8-H9</f>
        <v>151994</v>
      </c>
      <c r="I11" s="32"/>
    </row>
    <row r="12" spans="2:9" ht="14.4" thickBot="1" x14ac:dyDescent="0.3">
      <c r="B12" s="28" t="s">
        <v>36</v>
      </c>
      <c r="C12" s="29"/>
      <c r="D12" s="68">
        <v>5404</v>
      </c>
      <c r="E12" s="54"/>
      <c r="F12" s="68">
        <f>ROUND(' DEPSCH BY ACCO #'!G17,0)</f>
        <v>-1</v>
      </c>
      <c r="G12" s="54"/>
      <c r="H12" s="68">
        <f>ROUND(' DEPSCH BY ACCO #'!H17,0)</f>
        <v>5403</v>
      </c>
      <c r="I12" s="23"/>
    </row>
    <row r="13" spans="2:9" ht="3" customHeight="1" thickBot="1" x14ac:dyDescent="0.3">
      <c r="B13" s="28"/>
      <c r="C13" s="29"/>
      <c r="D13" s="59"/>
      <c r="E13" s="54"/>
      <c r="F13" s="59"/>
      <c r="G13" s="54"/>
      <c r="H13" s="59"/>
      <c r="I13" s="23"/>
    </row>
    <row r="14" spans="2:9" ht="14.4" thickTop="1" x14ac:dyDescent="0.25">
      <c r="B14" s="33" t="s">
        <v>30</v>
      </c>
      <c r="C14" s="34"/>
      <c r="D14" s="67">
        <f>D11+D12</f>
        <v>124533.40999999986</v>
      </c>
      <c r="E14" s="54"/>
      <c r="F14" s="67">
        <f>F11+F12</f>
        <v>32863</v>
      </c>
      <c r="G14" s="54"/>
      <c r="H14" s="67">
        <f>H11+H12</f>
        <v>157397</v>
      </c>
      <c r="I14" s="23"/>
    </row>
    <row r="15" spans="2:9" ht="13.8" x14ac:dyDescent="0.25">
      <c r="B15" s="65" t="s">
        <v>37</v>
      </c>
      <c r="C15" s="31"/>
      <c r="D15" s="53"/>
      <c r="E15" s="54"/>
      <c r="F15" s="53"/>
      <c r="G15" s="54"/>
      <c r="H15" s="53"/>
      <c r="I15" s="23"/>
    </row>
    <row r="16" spans="2:9" ht="13.8" x14ac:dyDescent="0.25">
      <c r="B16" s="26" t="s">
        <v>38</v>
      </c>
      <c r="C16" s="27"/>
      <c r="D16" s="60">
        <v>0</v>
      </c>
      <c r="E16" s="53"/>
      <c r="F16" s="60">
        <f>SUM(H16-D16)</f>
        <v>0</v>
      </c>
      <c r="G16" s="53"/>
      <c r="H16" s="60">
        <v>0</v>
      </c>
      <c r="I16" s="23"/>
    </row>
    <row r="17" spans="2:20" ht="13.8" x14ac:dyDescent="0.25">
      <c r="B17" s="28" t="s">
        <v>39</v>
      </c>
      <c r="C17" s="29"/>
      <c r="D17" s="67">
        <v>0</v>
      </c>
      <c r="E17" s="53"/>
      <c r="F17" s="60">
        <f>-(SUM(D17-H17))</f>
        <v>15804</v>
      </c>
      <c r="G17" s="53"/>
      <c r="H17" s="67">
        <v>15804</v>
      </c>
      <c r="I17" s="23"/>
    </row>
    <row r="18" spans="2:20" ht="13.8" x14ac:dyDescent="0.25">
      <c r="B18" s="28" t="s">
        <v>40</v>
      </c>
      <c r="C18" s="29"/>
      <c r="D18" s="67">
        <v>0</v>
      </c>
      <c r="E18" s="53"/>
      <c r="F18" s="60">
        <f>SUM(H18-D18)</f>
        <v>1519.94</v>
      </c>
      <c r="G18" s="53"/>
      <c r="H18" s="67">
        <f>H11*0.01</f>
        <v>1519.94</v>
      </c>
      <c r="I18" s="23"/>
    </row>
    <row r="19" spans="2:20" ht="3" customHeight="1" thickBot="1" x14ac:dyDescent="0.3">
      <c r="B19" s="28"/>
      <c r="C19" s="29"/>
      <c r="D19" s="59"/>
      <c r="E19" s="54"/>
      <c r="F19" s="59"/>
      <c r="G19" s="54"/>
      <c r="H19" s="59"/>
      <c r="I19" s="36"/>
    </row>
    <row r="20" spans="2:20" ht="14.4" thickTop="1" x14ac:dyDescent="0.25">
      <c r="B20" s="33" t="s">
        <v>41</v>
      </c>
      <c r="C20" s="34"/>
      <c r="D20" s="67">
        <f>D14+D16+D17+D18</f>
        <v>124533.40999999986</v>
      </c>
      <c r="E20" s="67"/>
      <c r="F20" s="67">
        <f>F14+F16+F17+F18</f>
        <v>50186.94</v>
      </c>
      <c r="G20" s="67"/>
      <c r="H20" s="67">
        <f>H14+H16+H17+H18</f>
        <v>174720.94</v>
      </c>
      <c r="I20" s="23"/>
    </row>
    <row r="21" spans="2:20" ht="13.8" x14ac:dyDescent="0.25">
      <c r="B21" s="37"/>
      <c r="C21" s="38"/>
      <c r="D21" s="69" t="s">
        <v>42</v>
      </c>
      <c r="E21" s="70"/>
      <c r="F21" s="69" t="s">
        <v>42</v>
      </c>
      <c r="G21" s="70"/>
      <c r="H21" s="69" t="s">
        <v>42</v>
      </c>
      <c r="I21" s="40"/>
    </row>
    <row r="22" spans="2:20" ht="13.8" x14ac:dyDescent="0.25">
      <c r="B22" s="41" t="s">
        <v>43</v>
      </c>
      <c r="C22" s="42"/>
      <c r="D22" s="71" t="s">
        <v>32</v>
      </c>
      <c r="E22" s="72"/>
      <c r="F22" s="73"/>
      <c r="G22" s="72"/>
      <c r="H22" s="73"/>
      <c r="I22" s="43"/>
      <c r="P22" s="6"/>
      <c r="Q22" s="3"/>
      <c r="R22" s="2"/>
      <c r="S22" s="3"/>
      <c r="T22" s="2"/>
    </row>
    <row r="23" spans="2:20" ht="13.8" x14ac:dyDescent="0.25">
      <c r="B23" s="26" t="s">
        <v>44</v>
      </c>
      <c r="C23" s="44"/>
      <c r="D23" s="60">
        <f>' DEPSCH BY ACCO #'!R223+' DEPSCH BY ACCO #'!V223</f>
        <v>9009.4303020781899</v>
      </c>
      <c r="E23" s="54"/>
      <c r="F23" s="53"/>
      <c r="G23" s="54"/>
      <c r="H23" s="53"/>
      <c r="I23" s="23"/>
      <c r="P23" s="6"/>
      <c r="Q23" s="3"/>
      <c r="R23" s="2"/>
      <c r="S23" s="3"/>
      <c r="T23" s="2"/>
    </row>
    <row r="24" spans="2:20" ht="13.8" x14ac:dyDescent="0.25">
      <c r="B24" s="28" t="s">
        <v>45</v>
      </c>
      <c r="C24" s="44"/>
      <c r="D24" s="60">
        <f>' DEPSCH BY ACCO #'!R229</f>
        <v>0</v>
      </c>
      <c r="E24" s="54"/>
      <c r="F24" s="53"/>
      <c r="G24" s="54"/>
      <c r="H24" s="53"/>
      <c r="I24" s="23"/>
      <c r="P24" s="3"/>
      <c r="Q24" s="3"/>
      <c r="R24" s="2"/>
      <c r="S24" s="3"/>
      <c r="T24" s="2"/>
    </row>
    <row r="25" spans="2:20" ht="13.8" x14ac:dyDescent="0.25">
      <c r="B25" s="28" t="s">
        <v>29</v>
      </c>
      <c r="C25" s="44"/>
      <c r="D25" s="60">
        <f>' DEPSCH BY ACCO #'!R226</f>
        <v>0</v>
      </c>
      <c r="E25" s="54"/>
      <c r="F25" s="53"/>
      <c r="G25" s="54"/>
      <c r="H25" s="53"/>
      <c r="I25" s="23"/>
      <c r="P25" s="6"/>
      <c r="Q25" s="3"/>
      <c r="R25" s="2"/>
      <c r="S25" s="3"/>
      <c r="T25" s="2"/>
    </row>
    <row r="26" spans="2:20" ht="3" customHeight="1" thickBot="1" x14ac:dyDescent="0.3">
      <c r="B26" s="28"/>
      <c r="C26" s="44"/>
      <c r="D26" s="59"/>
      <c r="E26" s="54"/>
      <c r="F26" s="53"/>
      <c r="G26" s="54"/>
      <c r="H26" s="53"/>
      <c r="I26" s="23"/>
      <c r="P26" s="6"/>
      <c r="Q26" s="3"/>
      <c r="R26" s="2"/>
      <c r="S26" s="3"/>
      <c r="T26" s="2"/>
    </row>
    <row r="27" spans="2:20" ht="14.4" thickTop="1" x14ac:dyDescent="0.25">
      <c r="B27" s="30" t="s">
        <v>46</v>
      </c>
      <c r="C27" s="44"/>
      <c r="D27" s="67">
        <f>SUM(D23:D25)</f>
        <v>9009.4303020781899</v>
      </c>
      <c r="E27" s="54"/>
      <c r="F27" s="53"/>
      <c r="G27" s="54"/>
      <c r="H27" s="53"/>
      <c r="I27" s="23"/>
      <c r="P27" s="6"/>
      <c r="Q27" s="3"/>
      <c r="R27" s="2"/>
      <c r="S27" s="3"/>
      <c r="T27" s="2"/>
    </row>
    <row r="28" spans="2:20" ht="13.8" x14ac:dyDescent="0.25">
      <c r="B28" s="45"/>
      <c r="C28" s="44"/>
      <c r="D28" s="53"/>
      <c r="E28" s="54"/>
      <c r="F28" s="53"/>
      <c r="G28" s="54"/>
      <c r="H28" s="53"/>
      <c r="I28" s="23"/>
      <c r="P28" s="2"/>
      <c r="Q28" s="2"/>
      <c r="R28" s="2"/>
      <c r="S28" s="2"/>
      <c r="T28" s="2"/>
    </row>
    <row r="29" spans="2:20" ht="13.8" x14ac:dyDescent="0.25">
      <c r="B29" s="46" t="s">
        <v>47</v>
      </c>
      <c r="C29" s="19"/>
      <c r="D29" s="60">
        <f>' DEPSCH BY ACCO #'!J223</f>
        <v>6824.8577687969937</v>
      </c>
      <c r="E29" s="54"/>
      <c r="F29" s="53"/>
      <c r="G29" s="54"/>
      <c r="H29" s="53"/>
      <c r="I29" s="23"/>
      <c r="P29" s="6"/>
      <c r="Q29" s="3"/>
      <c r="R29" s="2"/>
      <c r="S29" s="3"/>
      <c r="T29" s="2"/>
    </row>
    <row r="30" spans="2:20" ht="13.8" x14ac:dyDescent="0.25">
      <c r="B30" s="28" t="s">
        <v>45</v>
      </c>
      <c r="C30" s="19"/>
      <c r="D30" s="60">
        <f>' DEPSCH BY ACCO #'!J229</f>
        <v>0</v>
      </c>
      <c r="E30" s="54"/>
      <c r="F30" s="53"/>
      <c r="G30" s="54"/>
      <c r="H30" s="53"/>
      <c r="I30" s="23"/>
      <c r="P30" s="6"/>
      <c r="Q30" s="3"/>
      <c r="R30" s="2"/>
      <c r="S30" s="3"/>
      <c r="T30" s="2"/>
    </row>
    <row r="31" spans="2:20" ht="13.8" x14ac:dyDescent="0.25">
      <c r="B31" s="28" t="s">
        <v>29</v>
      </c>
      <c r="C31" s="19"/>
      <c r="D31" s="60">
        <f>' DEPSCH BY ACCO #'!J226</f>
        <v>0</v>
      </c>
      <c r="E31" s="54"/>
      <c r="F31" s="53"/>
      <c r="G31" s="54"/>
      <c r="H31" s="53"/>
      <c r="I31" s="23"/>
      <c r="P31" s="6"/>
      <c r="Q31" s="3"/>
      <c r="R31" s="2"/>
      <c r="S31" s="3"/>
      <c r="T31" s="2"/>
    </row>
    <row r="32" spans="2:20" ht="3" customHeight="1" thickBot="1" x14ac:dyDescent="0.3">
      <c r="B32" s="46"/>
      <c r="C32" s="19"/>
      <c r="D32" s="59"/>
      <c r="E32" s="54"/>
      <c r="F32" s="53"/>
      <c r="G32" s="54"/>
      <c r="H32" s="53"/>
      <c r="I32" s="23"/>
    </row>
    <row r="33" spans="2:9" ht="14.4" thickTop="1" x14ac:dyDescent="0.25">
      <c r="B33" s="47" t="s">
        <v>48</v>
      </c>
      <c r="C33" s="19"/>
      <c r="D33" s="67">
        <f>SUM(D29:D31)</f>
        <v>6824.8577687969937</v>
      </c>
      <c r="E33" s="54"/>
      <c r="F33" s="53"/>
      <c r="G33" s="54"/>
      <c r="H33" s="53"/>
      <c r="I33" s="23"/>
    </row>
    <row r="34" spans="2:9" ht="13.8" x14ac:dyDescent="0.25">
      <c r="B34" s="18"/>
      <c r="C34" s="19"/>
      <c r="D34" s="53"/>
      <c r="E34" s="54"/>
      <c r="F34" s="53"/>
      <c r="G34" s="54"/>
      <c r="H34" s="53"/>
      <c r="I34" s="23"/>
    </row>
    <row r="35" spans="2:9" ht="13.8" x14ac:dyDescent="0.25">
      <c r="B35" s="48" t="s">
        <v>49</v>
      </c>
      <c r="C35" s="39"/>
      <c r="D35" s="70">
        <f>D27-D33</f>
        <v>2184.5725332811962</v>
      </c>
      <c r="E35" s="70"/>
      <c r="F35" s="70"/>
      <c r="G35" s="70"/>
      <c r="H35" s="70"/>
      <c r="I35" s="49"/>
    </row>
    <row r="36" spans="2:9" ht="13.8" x14ac:dyDescent="0.25">
      <c r="B36" s="2"/>
      <c r="C36" s="2"/>
      <c r="D36" s="3"/>
      <c r="E36" s="2"/>
      <c r="F36" s="3"/>
      <c r="G36" s="2"/>
      <c r="H36" s="3"/>
      <c r="I36" s="1"/>
    </row>
    <row r="37" spans="2:9" ht="13.8" x14ac:dyDescent="0.25">
      <c r="B37" s="6"/>
      <c r="C37" s="6"/>
      <c r="D37" s="3"/>
      <c r="E37" s="2"/>
      <c r="F37" s="3"/>
      <c r="G37" s="2"/>
      <c r="H37" s="3"/>
      <c r="I37" s="1"/>
    </row>
    <row r="38" spans="2:9" ht="13.8" x14ac:dyDescent="0.25">
      <c r="B38" s="3"/>
      <c r="C38" s="3"/>
      <c r="D38" s="3"/>
      <c r="E38" s="2"/>
      <c r="F38" s="2"/>
      <c r="G38" s="2"/>
      <c r="H38" s="2"/>
      <c r="I38" s="1"/>
    </row>
    <row r="39" spans="2:9" ht="13.8" x14ac:dyDescent="0.25">
      <c r="B39" s="8"/>
      <c r="C39" s="8"/>
      <c r="D39" s="2"/>
      <c r="E39" s="2"/>
      <c r="F39" s="2"/>
      <c r="G39" s="2"/>
      <c r="H39" s="2"/>
      <c r="I39" s="1"/>
    </row>
    <row r="40" spans="2:9" ht="13.8" x14ac:dyDescent="0.25">
      <c r="B40" s="6"/>
      <c r="C40" s="6"/>
      <c r="D40" s="7"/>
      <c r="E40" s="2"/>
      <c r="F40" s="3"/>
      <c r="G40" s="2"/>
      <c r="H40" s="3"/>
      <c r="I40" s="1"/>
    </row>
    <row r="41" spans="2:9" ht="13.8" x14ac:dyDescent="0.25">
      <c r="B41" s="3"/>
      <c r="C41" s="3"/>
      <c r="D41" s="7"/>
      <c r="E41" s="2"/>
      <c r="F41" s="3"/>
      <c r="G41" s="2"/>
      <c r="H41" s="3"/>
      <c r="I41" s="1"/>
    </row>
    <row r="42" spans="2:9" ht="13.8" x14ac:dyDescent="0.25">
      <c r="B42" s="2"/>
      <c r="C42" s="2"/>
      <c r="D42" s="7"/>
      <c r="E42" s="2"/>
      <c r="F42" s="3"/>
      <c r="G42" s="2"/>
      <c r="H42" s="3"/>
      <c r="I42" s="1"/>
    </row>
    <row r="43" spans="2:9" ht="13.8" x14ac:dyDescent="0.25">
      <c r="B43" s="3"/>
      <c r="C43" s="3"/>
      <c r="D43" s="7"/>
      <c r="E43" s="2"/>
      <c r="F43" s="2"/>
      <c r="G43" s="2"/>
      <c r="H43" s="2"/>
      <c r="I43" s="1"/>
    </row>
    <row r="44" spans="2:9" ht="13.8" x14ac:dyDescent="0.25">
      <c r="B44" s="3"/>
      <c r="C44" s="3"/>
      <c r="D44" s="5"/>
      <c r="E44" s="2"/>
      <c r="F44" s="3"/>
      <c r="G44" s="2"/>
      <c r="H44" s="3"/>
      <c r="I44" s="1"/>
    </row>
    <row r="45" spans="2:9" ht="13.8" x14ac:dyDescent="0.25">
      <c r="B45" s="3"/>
      <c r="C45" s="3"/>
      <c r="D45" s="7"/>
      <c r="E45" s="2"/>
      <c r="F45" s="3"/>
      <c r="G45" s="2"/>
      <c r="H45" s="3"/>
      <c r="I45" s="1"/>
    </row>
    <row r="46" spans="2:9" ht="13.8" x14ac:dyDescent="0.25">
      <c r="B46" s="1"/>
      <c r="C46" s="1"/>
      <c r="D46" s="1"/>
      <c r="E46" s="1"/>
      <c r="F46" s="3"/>
      <c r="G46" s="2"/>
      <c r="H46" s="3"/>
      <c r="I46" s="1"/>
    </row>
    <row r="47" spans="2:9" ht="13.8" x14ac:dyDescent="0.25">
      <c r="B47" s="6"/>
      <c r="C47" s="6"/>
      <c r="D47" s="1"/>
      <c r="E47" s="1"/>
      <c r="F47" s="3"/>
      <c r="G47" s="2"/>
      <c r="H47" s="3"/>
      <c r="I47" s="1"/>
    </row>
    <row r="48" spans="2:9" ht="13.8" x14ac:dyDescent="0.25">
      <c r="B48" s="9"/>
      <c r="C48" s="9"/>
      <c r="D48" s="7"/>
      <c r="E48" s="1"/>
      <c r="F48" s="3"/>
      <c r="G48" s="2"/>
      <c r="H48" s="3"/>
      <c r="I48" s="1"/>
    </row>
    <row r="49" spans="2:9" ht="13.8" x14ac:dyDescent="0.25">
      <c r="B49" s="1"/>
      <c r="C49" s="1"/>
      <c r="D49" s="1"/>
      <c r="E49" s="1"/>
      <c r="F49" s="3"/>
      <c r="G49" s="2"/>
      <c r="H49" s="3"/>
      <c r="I49" s="1"/>
    </row>
    <row r="50" spans="2:9" ht="13.8" x14ac:dyDescent="0.25">
      <c r="B50" s="3"/>
      <c r="C50" s="3"/>
      <c r="D50" s="7"/>
      <c r="E50" s="1"/>
      <c r="F50" s="2"/>
      <c r="G50" s="2"/>
      <c r="H50" s="2"/>
      <c r="I50" s="1"/>
    </row>
    <row r="51" spans="2:9" ht="13.8" x14ac:dyDescent="0.25">
      <c r="B51" s="1"/>
      <c r="C51" s="1"/>
      <c r="D51" s="7"/>
      <c r="E51" s="1"/>
      <c r="F51" s="3"/>
      <c r="G51" s="2"/>
      <c r="H51" s="2"/>
      <c r="I51" s="1"/>
    </row>
    <row r="52" spans="2:9" ht="13.8" x14ac:dyDescent="0.25">
      <c r="B52" s="3"/>
      <c r="C52" s="3"/>
      <c r="D52" s="4"/>
      <c r="E52" s="1"/>
      <c r="F52" s="2"/>
      <c r="G52" s="2"/>
      <c r="H52" s="2"/>
      <c r="I52" s="1"/>
    </row>
    <row r="53" spans="2:9" ht="13.8" x14ac:dyDescent="0.25">
      <c r="B53" s="1"/>
      <c r="C53" s="1"/>
      <c r="D53" s="7"/>
      <c r="E53" s="1"/>
      <c r="F53" s="10"/>
      <c r="G53" s="2"/>
      <c r="H53" s="11"/>
      <c r="I53" s="3"/>
    </row>
    <row r="54" spans="2:9" ht="13.8" x14ac:dyDescent="0.25">
      <c r="B54" s="1"/>
      <c r="C54" s="1"/>
      <c r="D54" s="1"/>
      <c r="E54" s="1"/>
      <c r="F54" s="2"/>
      <c r="G54" s="2"/>
      <c r="H54" s="12"/>
      <c r="I54" s="1"/>
    </row>
    <row r="55" spans="2:9" ht="13.8" x14ac:dyDescent="0.25">
      <c r="B55" s="1"/>
      <c r="C55" s="1"/>
      <c r="D55" s="13"/>
      <c r="E55" s="1"/>
      <c r="F55" s="14"/>
      <c r="G55" s="2"/>
      <c r="H55" s="11"/>
      <c r="I55" s="3"/>
    </row>
    <row r="56" spans="2:9" ht="13.8" x14ac:dyDescent="0.25">
      <c r="B56" s="1"/>
      <c r="C56" s="1"/>
      <c r="D56" s="7"/>
      <c r="E56" s="1"/>
      <c r="F56" s="14"/>
      <c r="G56" s="2"/>
      <c r="H56" s="11"/>
      <c r="I56" s="3"/>
    </row>
    <row r="57" spans="2:9" ht="13.8" x14ac:dyDescent="0.25">
      <c r="B57" s="1"/>
      <c r="C57" s="1"/>
      <c r="D57" s="4"/>
      <c r="E57" s="1"/>
      <c r="F57" s="14"/>
      <c r="G57" s="2"/>
      <c r="H57" s="11"/>
      <c r="I57" s="3"/>
    </row>
    <row r="58" spans="2:9" ht="13.8" x14ac:dyDescent="0.25">
      <c r="B58" s="11"/>
      <c r="C58" s="11"/>
      <c r="D58" s="3"/>
      <c r="E58" s="1"/>
      <c r="F58" s="14"/>
      <c r="G58" s="2"/>
      <c r="H58" s="11"/>
      <c r="I58" s="3"/>
    </row>
    <row r="59" spans="2:9" ht="13.8" x14ac:dyDescent="0.25">
      <c r="B59" s="11"/>
      <c r="C59" s="11"/>
      <c r="D59" s="3"/>
      <c r="E59" s="1"/>
      <c r="F59" s="14"/>
      <c r="G59" s="2"/>
      <c r="H59" s="11"/>
      <c r="I59" s="3"/>
    </row>
    <row r="60" spans="2:9" ht="13.8" x14ac:dyDescent="0.25">
      <c r="B60" s="11"/>
      <c r="C60" s="11"/>
      <c r="D60" s="3"/>
      <c r="E60" s="1"/>
      <c r="F60" s="14"/>
      <c r="G60" s="2"/>
      <c r="H60" s="11"/>
      <c r="I60" s="3"/>
    </row>
    <row r="61" spans="2:9" ht="13.8" x14ac:dyDescent="0.25">
      <c r="B61" s="15"/>
      <c r="C61" s="15"/>
      <c r="D61" s="15"/>
      <c r="E61" s="15"/>
      <c r="F61" s="15"/>
      <c r="G61" s="15"/>
      <c r="H61" s="15"/>
      <c r="I61" s="1"/>
    </row>
  </sheetData>
  <phoneticPr fontId="8" type="noConversion"/>
  <printOptions horizontalCentered="1" verticalCentered="1" gridLinesSet="0"/>
  <pageMargins left="0.75" right="0.75" top="1" bottom="1" header="0.5" footer="0.5"/>
  <pageSetup orientation="portrait" horizontalDpi="300" verticalDpi="300" r:id="rId1"/>
  <headerFooter alignWithMargins="0">
    <oddHeader>&amp;LR-2018-3001503&amp;CADJUSTED DEPRECIATION SCHEDULE&amp;RATTACHMENT-2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>
      <selection activeCell="G16" sqref="G16"/>
    </sheetView>
  </sheetViews>
  <sheetFormatPr defaultRowHeight="13.2" x14ac:dyDescent="0.25"/>
  <cols>
    <col min="1" max="1" width="37.6640625" customWidth="1"/>
    <col min="2" max="2" width="3.6640625" customWidth="1"/>
    <col min="3" max="3" width="11.33203125" customWidth="1"/>
    <col min="4" max="4" width="3.6640625" customWidth="1"/>
    <col min="5" max="5" width="9.5546875" customWidth="1"/>
    <col min="6" max="6" width="3.6640625" customWidth="1"/>
    <col min="7" max="7" width="11.33203125" customWidth="1"/>
    <col min="8" max="8" width="6.5546875" customWidth="1"/>
    <col min="9" max="9" width="0" hidden="1" customWidth="1"/>
  </cols>
  <sheetData>
    <row r="1" spans="1:8" ht="13.8" x14ac:dyDescent="0.25">
      <c r="A1" s="141"/>
      <c r="B1" s="141"/>
      <c r="C1" s="141"/>
      <c r="D1" s="15"/>
      <c r="E1" s="142"/>
      <c r="F1" s="80"/>
      <c r="G1" s="511"/>
    </row>
    <row r="2" spans="1:8" ht="13.8" x14ac:dyDescent="0.25">
      <c r="A2" s="141"/>
      <c r="B2" s="141"/>
      <c r="C2" s="141"/>
      <c r="D2" s="15"/>
      <c r="E2" s="80"/>
      <c r="F2" s="80"/>
      <c r="G2" s="143"/>
    </row>
    <row r="3" spans="1:8" ht="13.8" x14ac:dyDescent="0.25">
      <c r="A3" s="141"/>
      <c r="B3" s="141"/>
      <c r="C3" s="141"/>
      <c r="D3" s="15"/>
      <c r="E3" s="80"/>
      <c r="F3" s="80"/>
      <c r="G3" s="143"/>
    </row>
    <row r="4" spans="1:8" ht="13.8" x14ac:dyDescent="0.25">
      <c r="A4" s="141"/>
      <c r="B4" s="305" t="s">
        <v>63</v>
      </c>
      <c r="C4" s="141"/>
      <c r="D4" s="15"/>
      <c r="E4" s="15"/>
      <c r="F4" s="15"/>
      <c r="G4" s="142"/>
      <c r="H4" s="55"/>
    </row>
    <row r="5" spans="1:8" ht="13.8" x14ac:dyDescent="0.25">
      <c r="A5" s="141"/>
      <c r="B5" s="144" t="s">
        <v>50</v>
      </c>
      <c r="D5" s="145"/>
      <c r="E5" s="15"/>
      <c r="F5" s="145"/>
      <c r="G5" s="145"/>
      <c r="H5" s="1"/>
    </row>
    <row r="6" spans="1:8" ht="13.8" x14ac:dyDescent="0.25">
      <c r="A6" s="141"/>
      <c r="B6" s="141"/>
      <c r="C6" s="146"/>
      <c r="D6" s="145"/>
      <c r="E6" s="15"/>
      <c r="F6" s="145"/>
      <c r="G6" s="145"/>
      <c r="H6" s="1"/>
    </row>
    <row r="7" spans="1:8" ht="13.8" x14ac:dyDescent="0.25">
      <c r="A7" s="141"/>
      <c r="B7" s="145"/>
      <c r="C7" s="147" t="s">
        <v>4</v>
      </c>
      <c r="D7" s="145"/>
      <c r="E7" s="148" t="s">
        <v>51</v>
      </c>
      <c r="F7" s="145"/>
      <c r="G7" s="147" t="s">
        <v>52</v>
      </c>
      <c r="H7" s="52"/>
    </row>
    <row r="8" spans="1:8" ht="15" customHeight="1" x14ac:dyDescent="0.25">
      <c r="A8" s="141"/>
      <c r="B8" s="145"/>
      <c r="C8" s="147" t="s">
        <v>32</v>
      </c>
      <c r="D8" s="145"/>
      <c r="E8" s="147" t="s">
        <v>32</v>
      </c>
      <c r="F8" s="145"/>
      <c r="G8" s="147" t="s">
        <v>32</v>
      </c>
      <c r="H8" s="52"/>
    </row>
    <row r="9" spans="1:8" ht="13.8" x14ac:dyDescent="0.25">
      <c r="A9" s="141" t="s">
        <v>26</v>
      </c>
      <c r="B9" s="149"/>
      <c r="C9" s="75">
        <f>SUMMARY!D8</f>
        <v>474083.20999999985</v>
      </c>
      <c r="D9" s="150"/>
      <c r="E9" s="58">
        <v>-24295</v>
      </c>
      <c r="F9" s="306" t="s">
        <v>53</v>
      </c>
      <c r="G9" s="56">
        <v>425137</v>
      </c>
      <c r="H9" s="52"/>
    </row>
    <row r="10" spans="1:8" ht="13.8" x14ac:dyDescent="0.25">
      <c r="A10" s="141" t="s">
        <v>311</v>
      </c>
      <c r="B10" s="149"/>
      <c r="C10" s="74"/>
      <c r="D10" s="151"/>
      <c r="E10" s="74"/>
      <c r="F10" s="151"/>
      <c r="G10" s="56"/>
      <c r="H10" s="52"/>
    </row>
    <row r="11" spans="1:8" ht="13.8" x14ac:dyDescent="0.25">
      <c r="A11" s="141" t="s">
        <v>54</v>
      </c>
      <c r="B11" s="152"/>
      <c r="C11" s="76">
        <f>SUMMARY!D9</f>
        <v>354953.8</v>
      </c>
      <c r="D11" s="151"/>
      <c r="E11" s="57">
        <f>G11-C11</f>
        <v>-38406.799999999988</v>
      </c>
      <c r="F11" s="306" t="s">
        <v>262</v>
      </c>
      <c r="G11" s="57">
        <f>SUMMARY!H9</f>
        <v>316547</v>
      </c>
      <c r="H11" s="52"/>
    </row>
    <row r="12" spans="1:8" ht="13.8" x14ac:dyDescent="0.25">
      <c r="A12" s="141" t="s">
        <v>35</v>
      </c>
      <c r="B12" s="152"/>
      <c r="C12" s="153">
        <f>C9-C11</f>
        <v>119129.40999999986</v>
      </c>
      <c r="D12" s="151"/>
      <c r="E12" s="58">
        <f>G12-C12</f>
        <v>-10539.409999999858</v>
      </c>
      <c r="F12" s="151"/>
      <c r="G12" s="154">
        <f>G9-G11</f>
        <v>108590</v>
      </c>
      <c r="H12" s="20"/>
    </row>
    <row r="13" spans="1:8" ht="13.8" x14ac:dyDescent="0.25">
      <c r="A13" s="141" t="s">
        <v>55</v>
      </c>
      <c r="B13" s="152"/>
      <c r="C13" s="155">
        <f>SUMMARY!D12</f>
        <v>5404</v>
      </c>
      <c r="D13" s="151"/>
      <c r="E13" s="57">
        <v>0</v>
      </c>
      <c r="F13" s="151"/>
      <c r="G13" s="156">
        <v>5404</v>
      </c>
      <c r="H13" s="20"/>
    </row>
    <row r="14" spans="1:8" ht="13.8" x14ac:dyDescent="0.25">
      <c r="A14" s="15" t="s">
        <v>30</v>
      </c>
      <c r="B14" s="152"/>
      <c r="C14" s="157">
        <f>SUMMARY!D14</f>
        <v>124533.40999999986</v>
      </c>
      <c r="D14" s="157"/>
      <c r="E14" s="157">
        <f>SUMMARY!F14</f>
        <v>32863</v>
      </c>
      <c r="F14" s="157"/>
      <c r="G14" s="157">
        <f>SUMMARY!H14</f>
        <v>157397</v>
      </c>
      <c r="H14" s="20"/>
    </row>
    <row r="15" spans="1:8" ht="13.8" x14ac:dyDescent="0.25">
      <c r="A15" s="158" t="s">
        <v>37</v>
      </c>
      <c r="B15" s="152"/>
      <c r="C15" s="159" t="s">
        <v>24</v>
      </c>
      <c r="D15" s="151"/>
      <c r="E15" s="157" t="s">
        <v>24</v>
      </c>
      <c r="F15" s="151"/>
      <c r="G15" s="159" t="s">
        <v>24</v>
      </c>
      <c r="H15" s="52"/>
    </row>
    <row r="16" spans="1:8" ht="13.8" x14ac:dyDescent="0.25">
      <c r="A16" s="158" t="s">
        <v>56</v>
      </c>
      <c r="B16" s="152"/>
      <c r="C16" s="157">
        <f>SUMMARY!D17</f>
        <v>0</v>
      </c>
      <c r="D16" s="151"/>
      <c r="E16" s="510">
        <f>-(C16-G16)</f>
        <v>15804</v>
      </c>
      <c r="F16" s="306" t="s">
        <v>261</v>
      </c>
      <c r="G16" s="157">
        <f>SUMMARY!H17</f>
        <v>15804</v>
      </c>
      <c r="H16" s="52"/>
    </row>
    <row r="17" spans="1:8" ht="14.4" thickBot="1" x14ac:dyDescent="0.3">
      <c r="A17" s="158" t="s">
        <v>253</v>
      </c>
      <c r="B17" s="152"/>
      <c r="C17" s="157">
        <v>0</v>
      </c>
      <c r="D17" s="151"/>
      <c r="E17" s="157">
        <f>-(C17-G17)</f>
        <v>1519.94</v>
      </c>
      <c r="F17" s="306" t="s">
        <v>254</v>
      </c>
      <c r="G17" s="157">
        <f>SUMMARY!H18</f>
        <v>1519.94</v>
      </c>
      <c r="H17" s="52"/>
    </row>
    <row r="18" spans="1:8" ht="14.4" thickTop="1" x14ac:dyDescent="0.25">
      <c r="A18" s="160" t="s">
        <v>57</v>
      </c>
      <c r="B18" s="161"/>
      <c r="C18" s="234">
        <f>SUMMARY!D20</f>
        <v>124533.40999999986</v>
      </c>
      <c r="D18" s="162"/>
      <c r="E18" s="234">
        <f>SUMMARY!F20</f>
        <v>50186.94</v>
      </c>
      <c r="F18" s="162"/>
      <c r="G18" s="234">
        <f>SUMMARY!H20</f>
        <v>174720.94</v>
      </c>
      <c r="H18" s="52"/>
    </row>
    <row r="19" spans="1:8" ht="13.8" x14ac:dyDescent="0.25">
      <c r="A19" s="158"/>
      <c r="B19" s="163"/>
      <c r="C19" s="164"/>
      <c r="D19" s="15"/>
      <c r="E19" s="163"/>
      <c r="F19" s="15"/>
      <c r="G19" s="163"/>
      <c r="H19" s="52"/>
    </row>
    <row r="20" spans="1:8" ht="13.8" x14ac:dyDescent="0.25">
      <c r="A20" s="158"/>
      <c r="B20" s="163"/>
      <c r="C20" s="164"/>
      <c r="D20" s="15"/>
      <c r="E20" s="163"/>
      <c r="F20" s="15"/>
      <c r="G20" s="163"/>
      <c r="H20" s="52"/>
    </row>
    <row r="21" spans="1:8" ht="13.8" x14ac:dyDescent="0.25">
      <c r="A21" s="151" t="s">
        <v>255</v>
      </c>
      <c r="B21" s="163"/>
      <c r="C21" s="165"/>
      <c r="D21" s="15"/>
      <c r="E21" s="163"/>
      <c r="F21" s="15"/>
      <c r="G21" s="163"/>
      <c r="H21" s="1"/>
    </row>
    <row r="22" spans="1:8" ht="8.1" customHeight="1" x14ac:dyDescent="0.25">
      <c r="A22" s="158"/>
      <c r="B22" s="163"/>
      <c r="C22" s="164"/>
      <c r="D22" s="15"/>
      <c r="E22" s="163"/>
      <c r="F22" s="15"/>
      <c r="G22" s="163"/>
      <c r="H22" s="52"/>
    </row>
    <row r="23" spans="1:8" ht="13.8" x14ac:dyDescent="0.25">
      <c r="A23" s="151" t="s">
        <v>265</v>
      </c>
      <c r="B23" s="163"/>
      <c r="C23" s="165"/>
      <c r="D23" s="15"/>
      <c r="E23" s="163"/>
      <c r="F23" s="15"/>
      <c r="G23" s="163"/>
      <c r="H23" s="1"/>
    </row>
    <row r="24" spans="1:8" ht="13.8" x14ac:dyDescent="0.25">
      <c r="A24" s="151" t="s">
        <v>294</v>
      </c>
      <c r="B24" s="163"/>
      <c r="C24" s="165"/>
      <c r="D24" s="15"/>
      <c r="E24" s="163"/>
      <c r="F24" s="15"/>
      <c r="G24" s="163"/>
      <c r="H24" s="1"/>
    </row>
    <row r="25" spans="1:8" ht="13.8" x14ac:dyDescent="0.25">
      <c r="A25" s="151" t="s">
        <v>264</v>
      </c>
      <c r="B25" s="163"/>
      <c r="C25" s="165"/>
      <c r="D25" s="15"/>
      <c r="E25" s="163"/>
      <c r="F25" s="15"/>
      <c r="G25" s="163"/>
      <c r="H25" s="1"/>
    </row>
    <row r="26" spans="1:8" ht="8.1" customHeight="1" x14ac:dyDescent="0.25">
      <c r="A26" s="158"/>
      <c r="B26" s="163"/>
      <c r="C26" s="164"/>
      <c r="D26" s="15"/>
      <c r="E26" s="163"/>
      <c r="F26" s="15"/>
      <c r="G26" s="163"/>
      <c r="H26" s="52"/>
    </row>
    <row r="27" spans="1:8" ht="13.8" x14ac:dyDescent="0.25">
      <c r="A27" s="151" t="s">
        <v>256</v>
      </c>
      <c r="B27" s="163"/>
      <c r="C27" s="165"/>
      <c r="D27" s="15"/>
      <c r="E27" s="163"/>
      <c r="F27" s="15"/>
      <c r="G27" s="163"/>
      <c r="H27" s="1"/>
    </row>
    <row r="28" spans="1:8" ht="13.8" x14ac:dyDescent="0.25">
      <c r="A28" s="166" t="s">
        <v>257</v>
      </c>
      <c r="B28" s="163"/>
      <c r="C28" s="164"/>
      <c r="D28" s="15"/>
      <c r="E28" s="163"/>
      <c r="F28" s="15"/>
      <c r="G28" s="163"/>
      <c r="H28" s="1"/>
    </row>
    <row r="29" spans="1:8" ht="8.1" customHeight="1" x14ac:dyDescent="0.25">
      <c r="A29" s="158"/>
      <c r="B29" s="163"/>
      <c r="C29" s="164"/>
      <c r="D29" s="15"/>
      <c r="E29" s="163"/>
      <c r="F29" s="15"/>
      <c r="G29" s="163"/>
      <c r="H29" s="52"/>
    </row>
    <row r="30" spans="1:8" ht="13.8" x14ac:dyDescent="0.25">
      <c r="A30" s="151" t="s">
        <v>258</v>
      </c>
      <c r="B30" s="163"/>
      <c r="C30" s="165"/>
      <c r="D30" s="15"/>
      <c r="E30" s="163"/>
      <c r="F30" s="15"/>
      <c r="G30" s="163"/>
      <c r="H30" s="1"/>
    </row>
    <row r="31" spans="1:8" ht="13.8" x14ac:dyDescent="0.25">
      <c r="A31" s="166" t="s">
        <v>259</v>
      </c>
      <c r="B31" s="163"/>
      <c r="C31" s="164"/>
      <c r="D31" s="15"/>
      <c r="E31" s="163"/>
      <c r="F31" s="15"/>
      <c r="G31" s="163"/>
      <c r="H31" s="1"/>
    </row>
    <row r="32" spans="1:8" ht="13.8" x14ac:dyDescent="0.25">
      <c r="A32" s="6" t="s">
        <v>260</v>
      </c>
      <c r="B32" s="3"/>
      <c r="C32" s="7"/>
      <c r="D32" s="1"/>
      <c r="E32" s="2"/>
      <c r="F32" s="2"/>
      <c r="G32" s="2"/>
      <c r="H32" s="1"/>
    </row>
    <row r="33" spans="1:8" ht="13.8" x14ac:dyDescent="0.25">
      <c r="A33" s="3"/>
      <c r="B33" s="1"/>
      <c r="C33" s="1"/>
      <c r="D33" s="1"/>
      <c r="E33" s="2"/>
      <c r="F33" s="2"/>
      <c r="G33" s="12"/>
      <c r="H33" s="1"/>
    </row>
    <row r="34" spans="1:8" ht="13.8" x14ac:dyDescent="0.25">
      <c r="A34" s="3"/>
      <c r="B34" s="1"/>
      <c r="C34" s="13"/>
      <c r="D34" s="1"/>
      <c r="E34" s="14"/>
      <c r="F34" s="2"/>
      <c r="G34" s="11"/>
      <c r="H34" s="1"/>
    </row>
    <row r="35" spans="1:8" ht="13.8" x14ac:dyDescent="0.25">
      <c r="A35" s="1"/>
      <c r="B35" s="1"/>
      <c r="C35" s="7"/>
      <c r="D35" s="1"/>
      <c r="E35" s="14"/>
      <c r="F35" s="2"/>
      <c r="G35" s="11"/>
      <c r="H35" s="1"/>
    </row>
    <row r="36" spans="1:8" ht="13.8" x14ac:dyDescent="0.25">
      <c r="A36" s="6"/>
      <c r="B36" s="1"/>
      <c r="C36" s="4"/>
      <c r="D36" s="1"/>
      <c r="E36" s="14"/>
      <c r="F36" s="2"/>
      <c r="G36" s="11"/>
      <c r="H36" s="3"/>
    </row>
    <row r="37" spans="1:8" ht="13.8" x14ac:dyDescent="0.25">
      <c r="A37" s="9"/>
      <c r="B37" s="11"/>
      <c r="C37" s="3"/>
      <c r="D37" s="1"/>
      <c r="E37" s="14"/>
      <c r="F37" s="2"/>
      <c r="G37" s="11"/>
      <c r="H37" s="1"/>
    </row>
    <row r="38" spans="1:8" ht="13.8" x14ac:dyDescent="0.25">
      <c r="A38" s="1"/>
      <c r="B38" s="11"/>
      <c r="C38" s="3"/>
      <c r="D38" s="1"/>
      <c r="E38" s="14"/>
      <c r="F38" s="2"/>
      <c r="G38" s="11"/>
      <c r="H38" s="3"/>
    </row>
    <row r="39" spans="1:8" ht="13.8" x14ac:dyDescent="0.25">
      <c r="A39" s="3"/>
      <c r="B39" s="11"/>
      <c r="C39" s="3"/>
      <c r="D39" s="1"/>
      <c r="E39" s="14"/>
      <c r="F39" s="2"/>
      <c r="G39" s="11"/>
      <c r="H39" s="3"/>
    </row>
    <row r="40" spans="1:8" ht="13.8" x14ac:dyDescent="0.25">
      <c r="A40" s="1"/>
      <c r="B40" s="15"/>
      <c r="C40" s="15"/>
      <c r="D40" s="15"/>
      <c r="E40" s="15"/>
      <c r="F40" s="15"/>
      <c r="G40" s="15"/>
      <c r="H40" s="3"/>
    </row>
    <row r="41" spans="1:8" ht="13.8" x14ac:dyDescent="0.25">
      <c r="A41" s="3"/>
      <c r="H41" s="3"/>
    </row>
    <row r="42" spans="1:8" ht="13.8" x14ac:dyDescent="0.25">
      <c r="A42" s="1"/>
      <c r="H42" s="3"/>
    </row>
    <row r="43" spans="1:8" ht="13.8" x14ac:dyDescent="0.25">
      <c r="A43" s="1"/>
      <c r="H43" s="3"/>
    </row>
    <row r="44" spans="1:8" ht="13.8" x14ac:dyDescent="0.25">
      <c r="A44" s="1"/>
      <c r="H44" s="1"/>
    </row>
    <row r="45" spans="1:8" ht="13.8" x14ac:dyDescent="0.25">
      <c r="A45" s="1"/>
    </row>
    <row r="46" spans="1:8" ht="13.8" x14ac:dyDescent="0.25">
      <c r="A46" s="1"/>
    </row>
    <row r="47" spans="1:8" ht="13.8" x14ac:dyDescent="0.25">
      <c r="A47" s="11"/>
    </row>
    <row r="48" spans="1:8" ht="13.8" x14ac:dyDescent="0.25">
      <c r="A48" s="11"/>
    </row>
    <row r="49" spans="1:1" ht="13.8" x14ac:dyDescent="0.25">
      <c r="A49" s="11"/>
    </row>
    <row r="50" spans="1:1" ht="13.8" x14ac:dyDescent="0.25">
      <c r="A50" s="15"/>
    </row>
  </sheetData>
  <phoneticPr fontId="8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>
    <oddHeader>&amp;CADJUSTED DEPRECIATION SCHEDULE&amp;RATTACHMENT-2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6"/>
  <sheetViews>
    <sheetView workbookViewId="0">
      <selection activeCell="B6" sqref="B6"/>
    </sheetView>
  </sheetViews>
  <sheetFormatPr defaultRowHeight="13.2" x14ac:dyDescent="0.25"/>
  <cols>
    <col min="1" max="1" width="1" customWidth="1"/>
    <col min="2" max="2" width="4.88671875" bestFit="1" customWidth="1"/>
    <col min="4" max="4" width="8.44140625" bestFit="1" customWidth="1"/>
    <col min="5" max="5" width="27.88671875" bestFit="1" customWidth="1"/>
    <col min="6" max="6" width="10.109375" style="341" bestFit="1" customWidth="1"/>
    <col min="7" max="7" width="7.109375" style="341" bestFit="1" customWidth="1"/>
    <col min="8" max="8" width="8.44140625" style="341" bestFit="1" customWidth="1"/>
    <col min="9" max="9" width="7" bestFit="1" customWidth="1"/>
    <col min="10" max="10" width="7.44140625" customWidth="1"/>
    <col min="11" max="11" width="8.44140625" style="341" bestFit="1" customWidth="1"/>
    <col min="12" max="12" width="7.88671875" style="341" bestFit="1" customWidth="1"/>
    <col min="13" max="13" width="7.109375" style="205" bestFit="1" customWidth="1"/>
    <col min="14" max="14" width="9.109375" style="185" customWidth="1"/>
  </cols>
  <sheetData>
    <row r="1" spans="2:20" x14ac:dyDescent="0.25">
      <c r="B1" s="233" t="s">
        <v>247</v>
      </c>
    </row>
    <row r="3" spans="2:20" s="61" customFormat="1" x14ac:dyDescent="0.25">
      <c r="B3" s="61" t="s">
        <v>0</v>
      </c>
      <c r="D3" s="61" t="s">
        <v>63</v>
      </c>
      <c r="F3" s="342"/>
      <c r="G3" s="342"/>
      <c r="H3" s="342"/>
      <c r="I3" s="78"/>
      <c r="J3" s="343"/>
      <c r="K3" s="342"/>
      <c r="L3" s="342"/>
      <c r="M3" s="205"/>
      <c r="N3" s="185"/>
      <c r="O3" s="198"/>
      <c r="P3" s="168"/>
      <c r="S3" s="343"/>
      <c r="T3" s="168"/>
    </row>
    <row r="4" spans="2:20" s="61" customFormat="1" x14ac:dyDescent="0.25">
      <c r="B4" s="80"/>
      <c r="F4" s="342"/>
      <c r="G4" s="342"/>
      <c r="H4" s="342"/>
      <c r="J4" s="343"/>
      <c r="K4" s="342"/>
      <c r="L4" s="342"/>
      <c r="M4" s="200"/>
      <c r="N4" s="184"/>
      <c r="O4" s="198"/>
      <c r="P4" s="168"/>
      <c r="S4" s="343"/>
    </row>
    <row r="5" spans="2:20" s="61" customFormat="1" ht="13.8" thickBot="1" x14ac:dyDescent="0.3">
      <c r="B5" s="81" t="s">
        <v>317</v>
      </c>
      <c r="F5" s="344">
        <v>43100</v>
      </c>
      <c r="G5" s="342"/>
      <c r="H5" s="169"/>
      <c r="J5" s="343"/>
      <c r="K5" s="342"/>
      <c r="L5" s="342"/>
      <c r="M5" s="205"/>
      <c r="N5" s="185"/>
      <c r="O5" s="198"/>
      <c r="P5" s="168"/>
      <c r="S5" s="343"/>
      <c r="T5" s="248"/>
    </row>
    <row r="6" spans="2:20" x14ac:dyDescent="0.25">
      <c r="B6" s="345"/>
      <c r="C6" s="346"/>
      <c r="D6" s="347"/>
      <c r="E6" s="348" t="s">
        <v>1</v>
      </c>
      <c r="F6" s="349" t="s">
        <v>2</v>
      </c>
      <c r="G6" s="350"/>
      <c r="H6" s="351" t="s">
        <v>3</v>
      </c>
      <c r="I6" s="345"/>
      <c r="J6" s="352" t="s">
        <v>4</v>
      </c>
      <c r="K6" s="353"/>
      <c r="L6" s="354" t="s">
        <v>5</v>
      </c>
      <c r="M6" s="594" t="s">
        <v>263</v>
      </c>
      <c r="N6" s="595"/>
    </row>
    <row r="7" spans="2:20" x14ac:dyDescent="0.25">
      <c r="B7" s="88" t="s">
        <v>6</v>
      </c>
      <c r="C7" s="355" t="s">
        <v>7</v>
      </c>
      <c r="D7" s="355" t="s">
        <v>8</v>
      </c>
      <c r="E7" s="86">
        <f>' DEPSCH BY ACCO #'!E9</f>
        <v>42069</v>
      </c>
      <c r="F7" s="356" t="s">
        <v>9</v>
      </c>
      <c r="G7" s="357" t="s">
        <v>10</v>
      </c>
      <c r="H7" s="358" t="s">
        <v>9</v>
      </c>
      <c r="I7" s="87" t="s">
        <v>11</v>
      </c>
      <c r="J7" s="359" t="s">
        <v>12</v>
      </c>
      <c r="K7" s="360" t="s">
        <v>5</v>
      </c>
      <c r="L7" s="361" t="s">
        <v>248</v>
      </c>
      <c r="M7" s="362" t="s">
        <v>249</v>
      </c>
      <c r="N7" s="187" t="s">
        <v>12</v>
      </c>
    </row>
    <row r="8" spans="2:20" ht="13.8" thickBot="1" x14ac:dyDescent="0.3">
      <c r="B8" s="90" t="s">
        <v>15</v>
      </c>
      <c r="C8" s="91" t="s">
        <v>16</v>
      </c>
      <c r="D8" s="91" t="s">
        <v>17</v>
      </c>
      <c r="E8" s="92" t="s">
        <v>18</v>
      </c>
      <c r="F8" s="363" t="s">
        <v>19</v>
      </c>
      <c r="G8" s="364" t="s">
        <v>20</v>
      </c>
      <c r="H8" s="365" t="s">
        <v>19</v>
      </c>
      <c r="I8" s="93" t="s">
        <v>21</v>
      </c>
      <c r="J8" s="366" t="s">
        <v>20</v>
      </c>
      <c r="K8" s="365" t="s">
        <v>20</v>
      </c>
      <c r="L8" s="367" t="s">
        <v>20</v>
      </c>
      <c r="M8" s="368"/>
      <c r="N8" s="188" t="s">
        <v>20</v>
      </c>
    </row>
    <row r="9" spans="2:20" ht="5.0999999999999996" customHeight="1" thickBot="1" x14ac:dyDescent="0.3">
      <c r="B9" s="95"/>
      <c r="C9" s="95"/>
      <c r="D9" s="95"/>
      <c r="E9" s="95"/>
      <c r="F9" s="369"/>
      <c r="G9" s="369"/>
      <c r="H9" s="369"/>
      <c r="I9" s="81"/>
      <c r="J9" s="370"/>
      <c r="K9" s="369"/>
      <c r="L9" s="369"/>
      <c r="M9" s="198"/>
      <c r="N9" s="168"/>
    </row>
    <row r="10" spans="2:20" x14ac:dyDescent="0.25">
      <c r="B10" s="371"/>
      <c r="C10" s="372" t="s">
        <v>250</v>
      </c>
      <c r="D10" s="373"/>
      <c r="E10" s="374"/>
      <c r="F10" s="375"/>
      <c r="G10" s="375"/>
      <c r="H10" s="375"/>
      <c r="I10" s="131"/>
      <c r="J10" s="194"/>
      <c r="K10" s="375"/>
      <c r="L10" s="376"/>
      <c r="M10" s="132"/>
      <c r="N10" s="208"/>
    </row>
    <row r="11" spans="2:20" s="248" customFormat="1" x14ac:dyDescent="0.25">
      <c r="B11" s="267"/>
      <c r="C11" s="308">
        <v>8</v>
      </c>
      <c r="D11" s="399">
        <v>16618</v>
      </c>
      <c r="E11" s="404" t="s">
        <v>236</v>
      </c>
      <c r="F11" s="309">
        <v>917.33</v>
      </c>
      <c r="G11" s="310">
        <f t="shared" ref="G11:G19" si="0">H11-F11</f>
        <v>0</v>
      </c>
      <c r="H11" s="309">
        <v>917.33</v>
      </c>
      <c r="I11" s="311">
        <v>50</v>
      </c>
      <c r="J11" s="312">
        <v>0</v>
      </c>
      <c r="K11" s="309">
        <v>908.12</v>
      </c>
      <c r="L11" s="384">
        <v>0</v>
      </c>
      <c r="M11" s="274">
        <v>3</v>
      </c>
      <c r="N11" s="385">
        <f t="shared" ref="N11:N20" si="1">L11/M11</f>
        <v>0</v>
      </c>
    </row>
    <row r="12" spans="2:20" s="248" customFormat="1" x14ac:dyDescent="0.25">
      <c r="B12" s="267"/>
      <c r="C12" s="308">
        <v>9</v>
      </c>
      <c r="D12" s="399">
        <v>18809</v>
      </c>
      <c r="E12" s="404" t="s">
        <v>236</v>
      </c>
      <c r="F12" s="309">
        <v>1815.16</v>
      </c>
      <c r="G12" s="310">
        <f t="shared" si="0"/>
        <v>0</v>
      </c>
      <c r="H12" s="309">
        <v>1815.16</v>
      </c>
      <c r="I12" s="311">
        <v>50</v>
      </c>
      <c r="J12" s="312">
        <v>0</v>
      </c>
      <c r="K12" s="309">
        <v>1796.88</v>
      </c>
      <c r="L12" s="384">
        <v>0</v>
      </c>
      <c r="M12" s="274">
        <v>3</v>
      </c>
      <c r="N12" s="385">
        <f t="shared" si="1"/>
        <v>0</v>
      </c>
    </row>
    <row r="13" spans="2:20" s="248" customFormat="1" x14ac:dyDescent="0.25">
      <c r="B13" s="267"/>
      <c r="C13" s="308">
        <v>42</v>
      </c>
      <c r="D13" s="399">
        <v>19905</v>
      </c>
      <c r="E13" s="404" t="s">
        <v>237</v>
      </c>
      <c r="F13" s="309">
        <v>75</v>
      </c>
      <c r="G13" s="310">
        <f t="shared" si="0"/>
        <v>0</v>
      </c>
      <c r="H13" s="309">
        <v>75</v>
      </c>
      <c r="I13" s="311">
        <v>30</v>
      </c>
      <c r="J13" s="312">
        <v>0</v>
      </c>
      <c r="K13" s="309">
        <v>68.75</v>
      </c>
      <c r="L13" s="384">
        <v>0</v>
      </c>
      <c r="M13" s="274">
        <v>3</v>
      </c>
      <c r="N13" s="385">
        <f t="shared" si="1"/>
        <v>0</v>
      </c>
    </row>
    <row r="14" spans="2:20" s="248" customFormat="1" x14ac:dyDescent="0.25">
      <c r="B14" s="267"/>
      <c r="C14" s="308">
        <v>65</v>
      </c>
      <c r="D14" s="399">
        <v>23923</v>
      </c>
      <c r="E14" s="404" t="s">
        <v>238</v>
      </c>
      <c r="F14" s="309">
        <v>412.8</v>
      </c>
      <c r="G14" s="310">
        <f t="shared" si="0"/>
        <v>0</v>
      </c>
      <c r="H14" s="309">
        <v>412.8</v>
      </c>
      <c r="I14" s="311">
        <v>30</v>
      </c>
      <c r="J14" s="312">
        <v>0</v>
      </c>
      <c r="K14" s="309">
        <v>344.47</v>
      </c>
      <c r="L14" s="384">
        <v>0</v>
      </c>
      <c r="M14" s="274">
        <v>3</v>
      </c>
      <c r="N14" s="385">
        <f t="shared" si="1"/>
        <v>0</v>
      </c>
    </row>
    <row r="15" spans="2:20" s="248" customFormat="1" x14ac:dyDescent="0.25">
      <c r="B15" s="267"/>
      <c r="C15" s="308">
        <v>103</v>
      </c>
      <c r="D15" s="399">
        <v>29036</v>
      </c>
      <c r="E15" s="404" t="s">
        <v>239</v>
      </c>
      <c r="F15" s="309">
        <v>1794</v>
      </c>
      <c r="G15" s="310">
        <f t="shared" si="0"/>
        <v>0</v>
      </c>
      <c r="H15" s="309">
        <v>1794</v>
      </c>
      <c r="I15" s="311">
        <v>7</v>
      </c>
      <c r="J15" s="312">
        <v>0</v>
      </c>
      <c r="K15" s="309">
        <v>1739.5</v>
      </c>
      <c r="L15" s="384">
        <v>0</v>
      </c>
      <c r="M15" s="274">
        <v>3</v>
      </c>
      <c r="N15" s="385">
        <f t="shared" si="1"/>
        <v>0</v>
      </c>
    </row>
    <row r="16" spans="2:20" s="248" customFormat="1" x14ac:dyDescent="0.25">
      <c r="B16" s="267"/>
      <c r="C16" s="308">
        <v>105</v>
      </c>
      <c r="D16" s="399">
        <v>29036</v>
      </c>
      <c r="E16" s="404" t="s">
        <v>240</v>
      </c>
      <c r="F16" s="309">
        <v>528.09</v>
      </c>
      <c r="G16" s="310">
        <f>H16-F16</f>
        <v>0</v>
      </c>
      <c r="H16" s="309">
        <v>528.09</v>
      </c>
      <c r="I16" s="311">
        <v>7</v>
      </c>
      <c r="J16" s="312">
        <v>0</v>
      </c>
      <c r="K16" s="309">
        <v>511.25</v>
      </c>
      <c r="L16" s="384">
        <v>0</v>
      </c>
      <c r="M16" s="274">
        <v>3</v>
      </c>
      <c r="N16" s="385">
        <f>L16/M16</f>
        <v>0</v>
      </c>
    </row>
    <row r="17" spans="2:15" s="248" customFormat="1" x14ac:dyDescent="0.25">
      <c r="B17" s="267"/>
      <c r="C17" s="308">
        <v>153</v>
      </c>
      <c r="D17" s="399">
        <v>35095</v>
      </c>
      <c r="E17" s="404" t="s">
        <v>308</v>
      </c>
      <c r="F17" s="309">
        <v>18752.79</v>
      </c>
      <c r="G17" s="310">
        <f>H17-F17</f>
        <v>0</v>
      </c>
      <c r="H17" s="309">
        <v>18752.79</v>
      </c>
      <c r="I17" s="311">
        <v>6</v>
      </c>
      <c r="J17" s="312">
        <v>0</v>
      </c>
      <c r="K17" s="309">
        <v>18752.79</v>
      </c>
      <c r="L17" s="384">
        <f>H17-K17</f>
        <v>0</v>
      </c>
      <c r="M17" s="274">
        <v>3</v>
      </c>
      <c r="N17" s="385">
        <f>L17/M17</f>
        <v>0</v>
      </c>
    </row>
    <row r="18" spans="2:15" s="248" customFormat="1" x14ac:dyDescent="0.25">
      <c r="B18" s="267"/>
      <c r="C18" s="308">
        <v>158</v>
      </c>
      <c r="D18" s="399">
        <v>35499</v>
      </c>
      <c r="E18" s="404" t="s">
        <v>73</v>
      </c>
      <c r="F18" s="309">
        <v>1584.7</v>
      </c>
      <c r="G18" s="310">
        <f>H18-F18</f>
        <v>0</v>
      </c>
      <c r="H18" s="309">
        <v>1584.7</v>
      </c>
      <c r="I18" s="311">
        <v>6</v>
      </c>
      <c r="J18" s="312">
        <v>0</v>
      </c>
      <c r="K18" s="309">
        <v>1584.7</v>
      </c>
      <c r="L18" s="384">
        <f>H18-K18</f>
        <v>0</v>
      </c>
      <c r="M18" s="274">
        <v>3</v>
      </c>
      <c r="N18" s="385">
        <f>L18/M18</f>
        <v>0</v>
      </c>
    </row>
    <row r="19" spans="2:15" s="248" customFormat="1" x14ac:dyDescent="0.25">
      <c r="B19" s="267"/>
      <c r="C19" s="308">
        <v>185</v>
      </c>
      <c r="D19" s="399">
        <v>37965</v>
      </c>
      <c r="E19" s="404" t="s">
        <v>304</v>
      </c>
      <c r="F19" s="309">
        <v>2440.92</v>
      </c>
      <c r="G19" s="310">
        <f t="shared" si="0"/>
        <v>0</v>
      </c>
      <c r="H19" s="309">
        <v>2440.92</v>
      </c>
      <c r="I19" s="311">
        <v>5</v>
      </c>
      <c r="J19" s="312">
        <v>0</v>
      </c>
      <c r="K19" s="309">
        <v>2440.92</v>
      </c>
      <c r="L19" s="384">
        <f t="shared" ref="L19:L20" si="2">H19-K19</f>
        <v>0</v>
      </c>
      <c r="M19" s="274">
        <v>3</v>
      </c>
      <c r="N19" s="385">
        <f t="shared" si="1"/>
        <v>0</v>
      </c>
    </row>
    <row r="20" spans="2:15" s="248" customFormat="1" ht="13.8" thickBot="1" x14ac:dyDescent="0.3">
      <c r="B20" s="267"/>
      <c r="C20" s="377"/>
      <c r="D20" s="378"/>
      <c r="E20" s="379"/>
      <c r="F20" s="380">
        <v>0</v>
      </c>
      <c r="G20" s="381">
        <f>H20-F20</f>
        <v>0</v>
      </c>
      <c r="H20" s="380">
        <v>0</v>
      </c>
      <c r="I20" s="272">
        <v>0</v>
      </c>
      <c r="J20" s="382">
        <v>0</v>
      </c>
      <c r="K20" s="383">
        <v>0</v>
      </c>
      <c r="L20" s="384">
        <f t="shared" si="2"/>
        <v>0</v>
      </c>
      <c r="M20" s="274">
        <v>3</v>
      </c>
      <c r="N20" s="385">
        <f t="shared" si="1"/>
        <v>0</v>
      </c>
    </row>
    <row r="21" spans="2:15" ht="14.4" thickTop="1" thickBot="1" x14ac:dyDescent="0.3">
      <c r="B21" s="386"/>
      <c r="C21" s="387"/>
      <c r="D21" s="388"/>
      <c r="E21" s="389" t="s">
        <v>59</v>
      </c>
      <c r="F21" s="390">
        <f>SUM(F11:F20)</f>
        <v>28320.79</v>
      </c>
      <c r="G21" s="391">
        <f>SUM(G20:G20)</f>
        <v>0</v>
      </c>
      <c r="H21" s="390">
        <f>SUM(H11:H20)</f>
        <v>28320.79</v>
      </c>
      <c r="I21" s="392"/>
      <c r="J21" s="393"/>
      <c r="K21" s="394">
        <f>SUM(K11:K20)</f>
        <v>28147.380000000005</v>
      </c>
      <c r="L21" s="394">
        <f>SUM(L11:L20)</f>
        <v>0</v>
      </c>
      <c r="M21" s="125"/>
      <c r="N21" s="395">
        <f>SUM(N11:N20)</f>
        <v>0</v>
      </c>
      <c r="O21" s="396"/>
    </row>
    <row r="22" spans="2:15" x14ac:dyDescent="0.25">
      <c r="B22" s="251"/>
      <c r="C22" s="251"/>
      <c r="D22" s="251"/>
      <c r="E22" s="251"/>
      <c r="F22" s="397"/>
      <c r="G22" s="397"/>
      <c r="H22" s="397"/>
      <c r="I22" s="251"/>
      <c r="J22" s="251"/>
      <c r="K22" s="397"/>
      <c r="L22" s="397"/>
      <c r="M22" s="251"/>
      <c r="N22" s="251"/>
    </row>
    <row r="23" spans="2:15" x14ac:dyDescent="0.25">
      <c r="M23"/>
      <c r="N23"/>
    </row>
    <row r="24" spans="2:15" x14ac:dyDescent="0.25">
      <c r="M24"/>
      <c r="N24"/>
    </row>
    <row r="25" spans="2:15" x14ac:dyDescent="0.25">
      <c r="M25"/>
      <c r="N25"/>
    </row>
    <row r="26" spans="2:15" x14ac:dyDescent="0.25">
      <c r="M26"/>
      <c r="N26"/>
    </row>
    <row r="27" spans="2:15" x14ac:dyDescent="0.25">
      <c r="M27"/>
      <c r="N27"/>
    </row>
    <row r="28" spans="2:15" x14ac:dyDescent="0.25">
      <c r="M28"/>
      <c r="N28"/>
    </row>
    <row r="29" spans="2:15" x14ac:dyDescent="0.25">
      <c r="M29"/>
      <c r="N29"/>
    </row>
    <row r="30" spans="2:15" x14ac:dyDescent="0.25">
      <c r="M30"/>
      <c r="N30"/>
    </row>
    <row r="31" spans="2:15" x14ac:dyDescent="0.25">
      <c r="M31"/>
      <c r="N31"/>
    </row>
    <row r="32" spans="2:15" x14ac:dyDescent="0.25">
      <c r="M32"/>
      <c r="N32"/>
    </row>
    <row r="33" spans="13:14" x14ac:dyDescent="0.25">
      <c r="M33"/>
      <c r="N33"/>
    </row>
    <row r="34" spans="13:14" x14ac:dyDescent="0.25">
      <c r="M34"/>
      <c r="N34"/>
    </row>
    <row r="35" spans="13:14" x14ac:dyDescent="0.25">
      <c r="M35"/>
      <c r="N35"/>
    </row>
    <row r="36" spans="13:14" x14ac:dyDescent="0.25">
      <c r="M36"/>
      <c r="N36"/>
    </row>
    <row r="37" spans="13:14" x14ac:dyDescent="0.25">
      <c r="M37"/>
      <c r="N37"/>
    </row>
    <row r="38" spans="13:14" x14ac:dyDescent="0.25">
      <c r="M38"/>
      <c r="N38"/>
    </row>
    <row r="39" spans="13:14" x14ac:dyDescent="0.25">
      <c r="M39"/>
      <c r="N39"/>
    </row>
    <row r="40" spans="13:14" x14ac:dyDescent="0.25">
      <c r="M40"/>
      <c r="N40"/>
    </row>
    <row r="41" spans="13:14" x14ac:dyDescent="0.25">
      <c r="M41"/>
      <c r="N41"/>
    </row>
    <row r="42" spans="13:14" x14ac:dyDescent="0.25">
      <c r="M42"/>
      <c r="N42"/>
    </row>
    <row r="43" spans="13:14" x14ac:dyDescent="0.25">
      <c r="M43"/>
      <c r="N43"/>
    </row>
    <row r="44" spans="13:14" x14ac:dyDescent="0.25">
      <c r="M44"/>
      <c r="N44"/>
    </row>
    <row r="45" spans="13:14" x14ac:dyDescent="0.25">
      <c r="M45"/>
      <c r="N45"/>
    </row>
    <row r="46" spans="13:14" x14ac:dyDescent="0.25">
      <c r="M46"/>
      <c r="N46"/>
    </row>
    <row r="47" spans="13:14" x14ac:dyDescent="0.25">
      <c r="M47"/>
      <c r="N47"/>
    </row>
    <row r="48" spans="13:14" x14ac:dyDescent="0.25">
      <c r="M48"/>
      <c r="N48"/>
    </row>
    <row r="49" spans="13:14" x14ac:dyDescent="0.25">
      <c r="M49"/>
      <c r="N49"/>
    </row>
    <row r="50" spans="13:14" x14ac:dyDescent="0.25">
      <c r="M50"/>
      <c r="N50"/>
    </row>
    <row r="51" spans="13:14" x14ac:dyDescent="0.25">
      <c r="M51"/>
      <c r="N51"/>
    </row>
    <row r="52" spans="13:14" x14ac:dyDescent="0.25">
      <c r="M52"/>
      <c r="N52"/>
    </row>
    <row r="53" spans="13:14" x14ac:dyDescent="0.25">
      <c r="M53"/>
      <c r="N53"/>
    </row>
    <row r="54" spans="13:14" x14ac:dyDescent="0.25">
      <c r="M54"/>
      <c r="N54"/>
    </row>
    <row r="55" spans="13:14" x14ac:dyDescent="0.25">
      <c r="M55"/>
      <c r="N55"/>
    </row>
    <row r="56" spans="13:14" x14ac:dyDescent="0.25">
      <c r="M56"/>
      <c r="N56"/>
    </row>
    <row r="57" spans="13:14" x14ac:dyDescent="0.25">
      <c r="M57"/>
      <c r="N57"/>
    </row>
    <row r="58" spans="13:14" x14ac:dyDescent="0.25">
      <c r="M58"/>
      <c r="N58"/>
    </row>
    <row r="59" spans="13:14" x14ac:dyDescent="0.25">
      <c r="M59"/>
      <c r="N59"/>
    </row>
    <row r="60" spans="13:14" x14ac:dyDescent="0.25">
      <c r="M60"/>
      <c r="N60"/>
    </row>
    <row r="61" spans="13:14" x14ac:dyDescent="0.25">
      <c r="M61"/>
      <c r="N61"/>
    </row>
    <row r="62" spans="13:14" x14ac:dyDescent="0.25">
      <c r="M62"/>
      <c r="N62"/>
    </row>
    <row r="63" spans="13:14" x14ac:dyDescent="0.25">
      <c r="M63"/>
      <c r="N63"/>
    </row>
    <row r="64" spans="13:14" x14ac:dyDescent="0.25">
      <c r="M64"/>
      <c r="N64"/>
    </row>
    <row r="65" spans="13:14" x14ac:dyDescent="0.25">
      <c r="M65"/>
      <c r="N65"/>
    </row>
    <row r="66" spans="13:14" x14ac:dyDescent="0.25">
      <c r="M66"/>
      <c r="N66"/>
    </row>
    <row r="67" spans="13:14" x14ac:dyDescent="0.25">
      <c r="M67"/>
      <c r="N67"/>
    </row>
    <row r="68" spans="13:14" x14ac:dyDescent="0.25">
      <c r="M68"/>
      <c r="N68"/>
    </row>
    <row r="69" spans="13:14" x14ac:dyDescent="0.25">
      <c r="M69"/>
      <c r="N69"/>
    </row>
    <row r="70" spans="13:14" x14ac:dyDescent="0.25">
      <c r="M70"/>
      <c r="N70"/>
    </row>
    <row r="71" spans="13:14" x14ac:dyDescent="0.25">
      <c r="M71"/>
      <c r="N71"/>
    </row>
    <row r="72" spans="13:14" x14ac:dyDescent="0.25">
      <c r="M72"/>
      <c r="N72"/>
    </row>
    <row r="73" spans="13:14" x14ac:dyDescent="0.25">
      <c r="M73"/>
      <c r="N73"/>
    </row>
    <row r="74" spans="13:14" x14ac:dyDescent="0.25">
      <c r="M74"/>
      <c r="N74"/>
    </row>
    <row r="75" spans="13:14" x14ac:dyDescent="0.25">
      <c r="M75"/>
      <c r="N75"/>
    </row>
    <row r="76" spans="13:14" x14ac:dyDescent="0.25">
      <c r="M76"/>
      <c r="N76"/>
    </row>
    <row r="77" spans="13:14" x14ac:dyDescent="0.25">
      <c r="M77"/>
      <c r="N77"/>
    </row>
    <row r="78" spans="13:14" x14ac:dyDescent="0.25">
      <c r="M78"/>
      <c r="N78"/>
    </row>
    <row r="79" spans="13:14" x14ac:dyDescent="0.25">
      <c r="M79"/>
      <c r="N79"/>
    </row>
    <row r="80" spans="13:14" x14ac:dyDescent="0.25">
      <c r="M80"/>
      <c r="N80"/>
    </row>
    <row r="81" spans="13:14" x14ac:dyDescent="0.25">
      <c r="M81"/>
      <c r="N81"/>
    </row>
    <row r="82" spans="13:14" x14ac:dyDescent="0.25">
      <c r="M82"/>
      <c r="N82"/>
    </row>
    <row r="83" spans="13:14" x14ac:dyDescent="0.25">
      <c r="M83"/>
      <c r="N83"/>
    </row>
    <row r="84" spans="13:14" x14ac:dyDescent="0.25">
      <c r="M84"/>
      <c r="N84"/>
    </row>
    <row r="85" spans="13:14" x14ac:dyDescent="0.25">
      <c r="M85"/>
      <c r="N85"/>
    </row>
    <row r="86" spans="13:14" x14ac:dyDescent="0.25">
      <c r="M86"/>
      <c r="N86"/>
    </row>
  </sheetData>
  <mergeCells count="1">
    <mergeCell ref="M6:N6"/>
  </mergeCells>
  <phoneticPr fontId="8" type="noConversion"/>
  <pageMargins left="0.75" right="0.75" top="1" bottom="1" header="0.5" footer="0.5"/>
  <pageSetup orientation="landscape" r:id="rId1"/>
  <headerFooter alignWithMargins="0">
    <oddHeader>&amp;CADJUSTED DEPRECIATION SCHEDULE&amp;RATTACHMENT-2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>
      <pane xSplit="9" ySplit="15" topLeftCell="J16" activePane="bottomRight" state="frozen"/>
      <selection pane="topRight" activeCell="J1" sqref="J1"/>
      <selection pane="bottomLeft" activeCell="A15" sqref="A15"/>
      <selection pane="bottomRight" activeCell="C193" sqref="C193"/>
    </sheetView>
  </sheetViews>
  <sheetFormatPr defaultRowHeight="13.2" x14ac:dyDescent="0.25"/>
  <cols>
    <col min="1" max="1" width="8.6640625" bestFit="1" customWidth="1"/>
    <col min="2" max="2" width="12.6640625" bestFit="1" customWidth="1"/>
    <col min="3" max="3" width="25.6640625" customWidth="1"/>
    <col min="4" max="4" width="10" hidden="1" customWidth="1"/>
    <col min="5" max="5" width="9.109375" style="185" bestFit="1" customWidth="1"/>
    <col min="6" max="6" width="10.33203125" style="185" bestFit="1" customWidth="1"/>
    <col min="7" max="7" width="10.5546875" hidden="1" customWidth="1"/>
    <col min="8" max="8" width="22.6640625" hidden="1" customWidth="1"/>
    <col min="9" max="9" width="16.5546875" style="185" bestFit="1" customWidth="1"/>
    <col min="10" max="10" width="10.109375" style="185" bestFit="1" customWidth="1"/>
  </cols>
  <sheetData>
    <row r="1" spans="1:11" x14ac:dyDescent="0.25">
      <c r="A1" t="s">
        <v>142</v>
      </c>
      <c r="B1" t="s">
        <v>143</v>
      </c>
      <c r="C1" t="s">
        <v>144</v>
      </c>
      <c r="D1" t="s">
        <v>145</v>
      </c>
      <c r="E1" s="185" t="s">
        <v>146</v>
      </c>
      <c r="F1" s="185" t="s">
        <v>147</v>
      </c>
      <c r="G1" t="s">
        <v>148</v>
      </c>
      <c r="H1" t="s">
        <v>149</v>
      </c>
      <c r="I1" s="185" t="s">
        <v>150</v>
      </c>
      <c r="J1" s="451" t="s">
        <v>5</v>
      </c>
    </row>
    <row r="2" spans="1:11" ht="13.8" thickBot="1" x14ac:dyDescent="0.3">
      <c r="D2" t="s">
        <v>145</v>
      </c>
      <c r="G2" t="s">
        <v>148</v>
      </c>
      <c r="H2" t="s">
        <v>149</v>
      </c>
      <c r="J2" s="509">
        <v>38717</v>
      </c>
    </row>
    <row r="3" spans="1:11" s="251" customFormat="1" x14ac:dyDescent="0.25">
      <c r="A3" s="251">
        <v>1</v>
      </c>
      <c r="B3" s="252">
        <v>3104</v>
      </c>
      <c r="C3" s="251" t="s">
        <v>151</v>
      </c>
      <c r="D3" s="251" t="s">
        <v>152</v>
      </c>
      <c r="E3" s="249">
        <v>388.55</v>
      </c>
      <c r="F3" s="249">
        <v>388.55</v>
      </c>
      <c r="G3" s="251">
        <v>0</v>
      </c>
      <c r="H3" s="251" t="s">
        <v>153</v>
      </c>
      <c r="I3" s="249">
        <f>F3-J3</f>
        <v>0</v>
      </c>
      <c r="J3" s="249">
        <v>388.55</v>
      </c>
    </row>
    <row r="4" spans="1:11" x14ac:dyDescent="0.25">
      <c r="A4">
        <v>2</v>
      </c>
      <c r="B4" s="236">
        <v>7852</v>
      </c>
      <c r="C4" t="s">
        <v>154</v>
      </c>
      <c r="D4" t="s">
        <v>152</v>
      </c>
      <c r="E4" s="185">
        <v>228.56</v>
      </c>
      <c r="F4" s="185">
        <v>228.56</v>
      </c>
      <c r="G4">
        <v>0</v>
      </c>
      <c r="H4" t="s">
        <v>153</v>
      </c>
      <c r="I4" s="185">
        <f>F4-J4</f>
        <v>0</v>
      </c>
      <c r="J4" s="185">
        <v>228.56</v>
      </c>
    </row>
    <row r="5" spans="1:11" x14ac:dyDescent="0.25">
      <c r="A5">
        <v>3</v>
      </c>
      <c r="B5" s="236">
        <v>9313</v>
      </c>
      <c r="C5" t="s">
        <v>154</v>
      </c>
      <c r="D5" t="s">
        <v>152</v>
      </c>
      <c r="E5" s="185">
        <v>1000</v>
      </c>
      <c r="F5" s="185">
        <v>1000</v>
      </c>
      <c r="G5">
        <v>0</v>
      </c>
      <c r="H5" t="s">
        <v>153</v>
      </c>
      <c r="I5" s="185">
        <f t="shared" ref="I5:I68" si="0">F5-J5</f>
        <v>0</v>
      </c>
      <c r="J5" s="185">
        <v>1000</v>
      </c>
    </row>
    <row r="6" spans="1:11" x14ac:dyDescent="0.25">
      <c r="A6">
        <v>4</v>
      </c>
      <c r="B6" s="236">
        <v>10043</v>
      </c>
      <c r="C6" t="s">
        <v>154</v>
      </c>
      <c r="D6" t="s">
        <v>152</v>
      </c>
      <c r="E6" s="185">
        <v>5385.86</v>
      </c>
      <c r="F6" s="185">
        <v>5385.86</v>
      </c>
      <c r="G6">
        <v>0</v>
      </c>
      <c r="H6" t="s">
        <v>153</v>
      </c>
      <c r="I6" s="185">
        <f t="shared" si="0"/>
        <v>0</v>
      </c>
      <c r="J6" s="185">
        <v>5385.86</v>
      </c>
    </row>
    <row r="7" spans="1:11" x14ac:dyDescent="0.25">
      <c r="A7">
        <v>5</v>
      </c>
      <c r="B7" s="236">
        <v>12600</v>
      </c>
      <c r="C7" t="s">
        <v>154</v>
      </c>
      <c r="D7" t="s">
        <v>152</v>
      </c>
      <c r="E7" s="185">
        <v>77.09</v>
      </c>
      <c r="F7" s="185">
        <v>77.09</v>
      </c>
      <c r="G7">
        <v>0</v>
      </c>
      <c r="H7" t="s">
        <v>153</v>
      </c>
      <c r="I7" s="185">
        <f t="shared" si="0"/>
        <v>0</v>
      </c>
      <c r="J7" s="185">
        <v>77.09</v>
      </c>
    </row>
    <row r="8" spans="1:11" x14ac:dyDescent="0.25">
      <c r="A8">
        <v>6</v>
      </c>
      <c r="B8" s="236">
        <v>12965</v>
      </c>
      <c r="C8" t="s">
        <v>154</v>
      </c>
      <c r="D8" t="s">
        <v>152</v>
      </c>
      <c r="E8" s="185">
        <v>258.33</v>
      </c>
      <c r="F8" s="185">
        <v>258.33</v>
      </c>
      <c r="G8">
        <v>0</v>
      </c>
      <c r="H8" t="s">
        <v>153</v>
      </c>
      <c r="I8" s="185">
        <f t="shared" si="0"/>
        <v>0</v>
      </c>
      <c r="J8" s="185">
        <v>258.33</v>
      </c>
    </row>
    <row r="9" spans="1:11" x14ac:dyDescent="0.25">
      <c r="A9">
        <v>7</v>
      </c>
      <c r="B9" s="236">
        <v>16253</v>
      </c>
      <c r="C9" t="s">
        <v>154</v>
      </c>
      <c r="D9" t="s">
        <v>152</v>
      </c>
      <c r="E9" s="185">
        <v>3564.4</v>
      </c>
      <c r="F9" s="185">
        <v>3564.4</v>
      </c>
      <c r="G9">
        <v>0</v>
      </c>
      <c r="H9" t="s">
        <v>153</v>
      </c>
      <c r="I9" s="185">
        <f t="shared" si="0"/>
        <v>0</v>
      </c>
      <c r="J9" s="184">
        <v>3564.4</v>
      </c>
      <c r="K9" s="250"/>
    </row>
    <row r="10" spans="1:11" x14ac:dyDescent="0.25">
      <c r="A10">
        <v>8</v>
      </c>
      <c r="B10" s="236">
        <v>16618</v>
      </c>
      <c r="C10" t="s">
        <v>154</v>
      </c>
      <c r="D10" t="s">
        <v>152</v>
      </c>
      <c r="E10" s="185">
        <v>917.33</v>
      </c>
      <c r="F10" s="185">
        <v>917.33</v>
      </c>
      <c r="G10">
        <v>0</v>
      </c>
      <c r="H10" t="s">
        <v>153</v>
      </c>
      <c r="I10" s="185">
        <f t="shared" si="0"/>
        <v>9.2000000000000455</v>
      </c>
      <c r="J10" s="185">
        <v>908.13</v>
      </c>
    </row>
    <row r="11" spans="1:11" x14ac:dyDescent="0.25">
      <c r="A11">
        <v>9</v>
      </c>
      <c r="B11" s="236">
        <v>18809</v>
      </c>
      <c r="C11" t="s">
        <v>154</v>
      </c>
      <c r="D11" t="s">
        <v>152</v>
      </c>
      <c r="E11" s="185">
        <v>1815.16</v>
      </c>
      <c r="F11" s="185">
        <v>1815.16</v>
      </c>
      <c r="G11">
        <v>0</v>
      </c>
      <c r="H11" t="s">
        <v>153</v>
      </c>
      <c r="I11" s="185">
        <f t="shared" si="0"/>
        <v>18.279999999999973</v>
      </c>
      <c r="J11" s="185">
        <v>1796.88</v>
      </c>
    </row>
    <row r="12" spans="1:11" x14ac:dyDescent="0.25">
      <c r="A12">
        <v>10</v>
      </c>
      <c r="B12" s="236">
        <v>19175</v>
      </c>
      <c r="C12" t="s">
        <v>154</v>
      </c>
      <c r="D12" t="s">
        <v>152</v>
      </c>
      <c r="E12" s="185">
        <v>542.66999999999996</v>
      </c>
      <c r="F12" s="185">
        <v>542.66999999999996</v>
      </c>
      <c r="G12">
        <v>0</v>
      </c>
      <c r="H12" t="s">
        <v>153</v>
      </c>
      <c r="I12" s="185">
        <f t="shared" si="0"/>
        <v>5.5699999999999363</v>
      </c>
      <c r="J12" s="185">
        <v>537.1</v>
      </c>
    </row>
    <row r="13" spans="1:11" x14ac:dyDescent="0.25">
      <c r="A13">
        <v>11</v>
      </c>
      <c r="B13" s="236">
        <v>19540</v>
      </c>
      <c r="C13" t="s">
        <v>154</v>
      </c>
      <c r="D13" t="s">
        <v>152</v>
      </c>
      <c r="E13" s="185">
        <v>713.11</v>
      </c>
      <c r="F13" s="185">
        <v>713.11</v>
      </c>
      <c r="G13">
        <v>0</v>
      </c>
      <c r="H13" t="s">
        <v>153</v>
      </c>
      <c r="I13" s="185">
        <f t="shared" si="0"/>
        <v>14.230000000000018</v>
      </c>
      <c r="J13" s="185">
        <v>698.88</v>
      </c>
    </row>
    <row r="14" spans="1:11" x14ac:dyDescent="0.25">
      <c r="A14">
        <v>12</v>
      </c>
      <c r="B14" s="236">
        <v>21001</v>
      </c>
      <c r="C14" t="s">
        <v>154</v>
      </c>
      <c r="D14" t="s">
        <v>152</v>
      </c>
      <c r="E14" s="185">
        <v>369.66</v>
      </c>
      <c r="F14" s="185">
        <v>369.66</v>
      </c>
      <c r="G14">
        <v>0</v>
      </c>
      <c r="H14" t="s">
        <v>153</v>
      </c>
      <c r="I14" s="185">
        <f t="shared" si="0"/>
        <v>18.630000000000052</v>
      </c>
      <c r="J14" s="185">
        <v>351.03</v>
      </c>
    </row>
    <row r="15" spans="1:11" x14ac:dyDescent="0.25">
      <c r="A15">
        <v>13</v>
      </c>
      <c r="B15" s="236">
        <v>22462</v>
      </c>
      <c r="C15" t="s">
        <v>154</v>
      </c>
      <c r="D15" t="s">
        <v>152</v>
      </c>
      <c r="E15" s="185">
        <v>75</v>
      </c>
      <c r="F15" s="185">
        <v>75</v>
      </c>
      <c r="G15">
        <v>0</v>
      </c>
      <c r="H15" t="s">
        <v>153</v>
      </c>
      <c r="I15" s="185">
        <f t="shared" si="0"/>
        <v>8.25</v>
      </c>
      <c r="J15" s="185">
        <v>66.75</v>
      </c>
    </row>
    <row r="16" spans="1:11" x14ac:dyDescent="0.25">
      <c r="A16">
        <v>14</v>
      </c>
      <c r="B16" s="236">
        <v>22462</v>
      </c>
      <c r="C16" t="s">
        <v>154</v>
      </c>
      <c r="D16" t="s">
        <v>152</v>
      </c>
      <c r="E16" s="185">
        <v>1754.72</v>
      </c>
      <c r="F16" s="185">
        <v>1754.72</v>
      </c>
      <c r="G16">
        <v>0</v>
      </c>
      <c r="H16" t="s">
        <v>153</v>
      </c>
      <c r="I16" s="185">
        <f t="shared" si="0"/>
        <v>193.94000000000005</v>
      </c>
      <c r="J16" s="185">
        <v>1560.78</v>
      </c>
    </row>
    <row r="17" spans="1:10" x14ac:dyDescent="0.25">
      <c r="A17">
        <v>15</v>
      </c>
      <c r="B17" s="236">
        <v>23192</v>
      </c>
      <c r="C17" t="s">
        <v>154</v>
      </c>
      <c r="D17" t="s">
        <v>152</v>
      </c>
      <c r="E17" s="185">
        <v>1807.68</v>
      </c>
      <c r="F17" s="185">
        <v>1807.68</v>
      </c>
      <c r="G17">
        <v>0</v>
      </c>
      <c r="H17" t="s">
        <v>153</v>
      </c>
      <c r="I17" s="185">
        <f t="shared" si="0"/>
        <v>298.85000000000014</v>
      </c>
      <c r="J17" s="185">
        <v>1508.83</v>
      </c>
    </row>
    <row r="18" spans="1:10" x14ac:dyDescent="0.25">
      <c r="A18">
        <v>16</v>
      </c>
      <c r="B18" s="236">
        <v>23558</v>
      </c>
      <c r="C18" t="s">
        <v>154</v>
      </c>
      <c r="D18" t="s">
        <v>152</v>
      </c>
      <c r="E18" s="185">
        <v>2757.87</v>
      </c>
      <c r="F18" s="185">
        <v>2757.87</v>
      </c>
      <c r="G18">
        <v>0</v>
      </c>
      <c r="H18" t="s">
        <v>153</v>
      </c>
      <c r="I18" s="185">
        <f t="shared" si="0"/>
        <v>488.73</v>
      </c>
      <c r="J18" s="185">
        <v>2269.14</v>
      </c>
    </row>
    <row r="19" spans="1:10" x14ac:dyDescent="0.25">
      <c r="A19">
        <v>17</v>
      </c>
      <c r="B19" s="236">
        <v>23923</v>
      </c>
      <c r="C19" t="s">
        <v>154</v>
      </c>
      <c r="D19" t="s">
        <v>152</v>
      </c>
      <c r="E19" s="185">
        <v>150</v>
      </c>
      <c r="F19" s="185">
        <v>150</v>
      </c>
      <c r="G19">
        <v>0</v>
      </c>
      <c r="H19" t="s">
        <v>153</v>
      </c>
      <c r="I19" s="185">
        <f t="shared" si="0"/>
        <v>27</v>
      </c>
      <c r="J19" s="185">
        <v>123</v>
      </c>
    </row>
    <row r="20" spans="1:10" x14ac:dyDescent="0.25">
      <c r="A20">
        <v>18</v>
      </c>
      <c r="B20" s="236">
        <v>24288</v>
      </c>
      <c r="C20" t="s">
        <v>154</v>
      </c>
      <c r="D20" t="s">
        <v>152</v>
      </c>
      <c r="E20" s="185">
        <v>3497.81</v>
      </c>
      <c r="F20" s="185">
        <v>3497.81</v>
      </c>
      <c r="G20">
        <v>0</v>
      </c>
      <c r="H20" t="s">
        <v>153</v>
      </c>
      <c r="I20" s="185">
        <f t="shared" si="0"/>
        <v>734.38999999999987</v>
      </c>
      <c r="J20" s="185">
        <v>2763.42</v>
      </c>
    </row>
    <row r="21" spans="1:10" x14ac:dyDescent="0.25">
      <c r="A21">
        <v>19</v>
      </c>
      <c r="B21" s="236">
        <v>24653</v>
      </c>
      <c r="C21" t="s">
        <v>154</v>
      </c>
      <c r="D21" t="s">
        <v>152</v>
      </c>
      <c r="E21" s="185">
        <v>5679.45</v>
      </c>
      <c r="F21" s="185">
        <v>5679.45</v>
      </c>
      <c r="G21">
        <v>0</v>
      </c>
      <c r="H21" t="s">
        <v>153</v>
      </c>
      <c r="I21" s="185">
        <f t="shared" si="0"/>
        <v>1353.04</v>
      </c>
      <c r="J21" s="185">
        <v>4326.41</v>
      </c>
    </row>
    <row r="22" spans="1:10" x14ac:dyDescent="0.25">
      <c r="A22">
        <v>20</v>
      </c>
      <c r="B22" s="236">
        <v>25749</v>
      </c>
      <c r="C22" t="s">
        <v>154</v>
      </c>
      <c r="D22" t="s">
        <v>152</v>
      </c>
      <c r="E22" s="185">
        <v>556.25</v>
      </c>
      <c r="F22" s="185">
        <v>556.25</v>
      </c>
      <c r="G22">
        <v>0</v>
      </c>
      <c r="H22" t="s">
        <v>153</v>
      </c>
      <c r="I22" s="185">
        <f t="shared" si="0"/>
        <v>153.31</v>
      </c>
      <c r="J22" s="185">
        <v>402.94</v>
      </c>
    </row>
    <row r="23" spans="1:10" x14ac:dyDescent="0.25">
      <c r="A23">
        <v>21</v>
      </c>
      <c r="B23" s="236">
        <v>26480</v>
      </c>
      <c r="C23" t="s">
        <v>154</v>
      </c>
      <c r="D23" t="s">
        <v>152</v>
      </c>
      <c r="E23" s="185">
        <v>987.36</v>
      </c>
      <c r="F23" s="185">
        <v>987.36</v>
      </c>
      <c r="G23">
        <v>0</v>
      </c>
      <c r="H23" t="s">
        <v>153</v>
      </c>
      <c r="I23" s="185">
        <f t="shared" si="0"/>
        <v>325.74</v>
      </c>
      <c r="J23" s="185">
        <v>661.62</v>
      </c>
    </row>
    <row r="24" spans="1:10" x14ac:dyDescent="0.25">
      <c r="A24">
        <v>22</v>
      </c>
      <c r="B24" s="236">
        <v>26845</v>
      </c>
      <c r="C24" t="s">
        <v>154</v>
      </c>
      <c r="D24" t="s">
        <v>152</v>
      </c>
      <c r="E24" s="185">
        <v>3591.03</v>
      </c>
      <c r="F24" s="185">
        <v>3591.03</v>
      </c>
      <c r="G24">
        <v>0</v>
      </c>
      <c r="H24" t="s">
        <v>153</v>
      </c>
      <c r="I24" s="185">
        <f t="shared" si="0"/>
        <v>1292.7900000000004</v>
      </c>
      <c r="J24" s="185">
        <v>2298.2399999999998</v>
      </c>
    </row>
    <row r="25" spans="1:10" x14ac:dyDescent="0.25">
      <c r="A25">
        <v>23</v>
      </c>
      <c r="B25" s="236">
        <v>8948</v>
      </c>
      <c r="C25" t="s">
        <v>155</v>
      </c>
      <c r="D25" t="s">
        <v>152</v>
      </c>
      <c r="E25" s="185">
        <v>317.56</v>
      </c>
      <c r="F25" s="185">
        <v>317.56</v>
      </c>
      <c r="G25">
        <v>0</v>
      </c>
      <c r="H25" t="s">
        <v>153</v>
      </c>
      <c r="I25" s="185">
        <f t="shared" si="0"/>
        <v>0</v>
      </c>
      <c r="J25" s="185">
        <v>317.56</v>
      </c>
    </row>
    <row r="26" spans="1:10" x14ac:dyDescent="0.25">
      <c r="A26">
        <v>24</v>
      </c>
      <c r="B26" s="236">
        <v>9313</v>
      </c>
      <c r="C26" t="s">
        <v>155</v>
      </c>
      <c r="D26" t="s">
        <v>152</v>
      </c>
      <c r="E26" s="185">
        <v>171</v>
      </c>
      <c r="F26" s="185">
        <v>171</v>
      </c>
      <c r="G26">
        <v>0</v>
      </c>
      <c r="H26" t="s">
        <v>153</v>
      </c>
      <c r="I26" s="185">
        <f t="shared" si="0"/>
        <v>0</v>
      </c>
      <c r="J26" s="185">
        <v>171</v>
      </c>
    </row>
    <row r="27" spans="1:10" x14ac:dyDescent="0.25">
      <c r="A27">
        <v>25</v>
      </c>
      <c r="B27" s="236">
        <v>9678</v>
      </c>
      <c r="C27" t="s">
        <v>155</v>
      </c>
      <c r="D27" t="s">
        <v>152</v>
      </c>
      <c r="E27" s="185">
        <v>114</v>
      </c>
      <c r="F27" s="185">
        <v>114</v>
      </c>
      <c r="G27">
        <v>0</v>
      </c>
      <c r="H27" t="s">
        <v>153</v>
      </c>
      <c r="I27" s="185">
        <f t="shared" si="0"/>
        <v>0</v>
      </c>
      <c r="J27" s="185">
        <v>114</v>
      </c>
    </row>
    <row r="28" spans="1:10" x14ac:dyDescent="0.25">
      <c r="A28">
        <v>26</v>
      </c>
      <c r="B28" s="236">
        <v>10043</v>
      </c>
      <c r="C28" t="s">
        <v>155</v>
      </c>
      <c r="D28" t="s">
        <v>152</v>
      </c>
      <c r="E28" s="185">
        <v>57</v>
      </c>
      <c r="F28" s="185">
        <v>57</v>
      </c>
      <c r="G28">
        <v>0</v>
      </c>
      <c r="H28" t="s">
        <v>153</v>
      </c>
      <c r="I28" s="185">
        <f t="shared" si="0"/>
        <v>0</v>
      </c>
      <c r="J28" s="185">
        <v>57</v>
      </c>
    </row>
    <row r="29" spans="1:10" x14ac:dyDescent="0.25">
      <c r="A29">
        <v>27</v>
      </c>
      <c r="B29" s="236">
        <v>10409</v>
      </c>
      <c r="C29" t="s">
        <v>155</v>
      </c>
      <c r="D29" t="s">
        <v>152</v>
      </c>
      <c r="E29" s="185">
        <v>229.56</v>
      </c>
      <c r="F29" s="185">
        <v>229.56</v>
      </c>
      <c r="G29">
        <v>0</v>
      </c>
      <c r="H29" t="s">
        <v>153</v>
      </c>
      <c r="I29" s="185">
        <f t="shared" si="0"/>
        <v>0</v>
      </c>
      <c r="J29" s="185">
        <v>229.56</v>
      </c>
    </row>
    <row r="30" spans="1:10" x14ac:dyDescent="0.25">
      <c r="A30">
        <v>28</v>
      </c>
      <c r="B30" s="236">
        <v>10774</v>
      </c>
      <c r="C30" t="s">
        <v>155</v>
      </c>
      <c r="D30" t="s">
        <v>152</v>
      </c>
      <c r="E30" s="185">
        <v>114</v>
      </c>
      <c r="F30" s="185">
        <v>114</v>
      </c>
      <c r="G30">
        <v>0</v>
      </c>
      <c r="H30" t="s">
        <v>153</v>
      </c>
      <c r="I30" s="185">
        <f t="shared" si="0"/>
        <v>0</v>
      </c>
      <c r="J30" s="185">
        <v>114</v>
      </c>
    </row>
    <row r="31" spans="1:10" x14ac:dyDescent="0.25">
      <c r="A31">
        <v>29</v>
      </c>
      <c r="B31" s="236">
        <v>11139</v>
      </c>
      <c r="C31" t="s">
        <v>155</v>
      </c>
      <c r="D31" t="s">
        <v>152</v>
      </c>
      <c r="E31" s="185">
        <v>75.599999999999994</v>
      </c>
      <c r="F31" s="185">
        <v>75.599999999999994</v>
      </c>
      <c r="G31">
        <v>0</v>
      </c>
      <c r="H31" t="s">
        <v>153</v>
      </c>
      <c r="I31" s="185">
        <f t="shared" si="0"/>
        <v>0</v>
      </c>
      <c r="J31" s="185">
        <v>75.599999999999994</v>
      </c>
    </row>
    <row r="32" spans="1:10" x14ac:dyDescent="0.25">
      <c r="A32">
        <v>30</v>
      </c>
      <c r="B32" s="236">
        <v>11504</v>
      </c>
      <c r="C32" t="s">
        <v>155</v>
      </c>
      <c r="D32" t="s">
        <v>152</v>
      </c>
      <c r="E32" s="185">
        <v>366.71</v>
      </c>
      <c r="F32" s="185">
        <v>366.71</v>
      </c>
      <c r="G32">
        <v>0</v>
      </c>
      <c r="H32" t="s">
        <v>153</v>
      </c>
      <c r="I32" s="185">
        <f t="shared" si="0"/>
        <v>0</v>
      </c>
      <c r="J32" s="185">
        <v>366.71</v>
      </c>
    </row>
    <row r="33" spans="1:10" x14ac:dyDescent="0.25">
      <c r="A33">
        <v>31</v>
      </c>
      <c r="B33" s="236">
        <v>12600</v>
      </c>
      <c r="C33" t="s">
        <v>155</v>
      </c>
      <c r="D33" t="s">
        <v>152</v>
      </c>
      <c r="E33" s="185">
        <v>33.06</v>
      </c>
      <c r="F33" s="185">
        <v>33.06</v>
      </c>
      <c r="G33">
        <v>0</v>
      </c>
      <c r="H33" t="s">
        <v>153</v>
      </c>
      <c r="I33" s="185">
        <f t="shared" si="0"/>
        <v>0</v>
      </c>
      <c r="J33" s="185">
        <v>33.06</v>
      </c>
    </row>
    <row r="34" spans="1:10" x14ac:dyDescent="0.25">
      <c r="A34">
        <v>32</v>
      </c>
      <c r="B34" s="236">
        <v>13331</v>
      </c>
      <c r="C34" t="s">
        <v>155</v>
      </c>
      <c r="D34" t="s">
        <v>152</v>
      </c>
      <c r="E34" s="185">
        <v>834.95</v>
      </c>
      <c r="F34" s="185">
        <v>834.95</v>
      </c>
      <c r="G34">
        <v>0</v>
      </c>
      <c r="H34" t="s">
        <v>153</v>
      </c>
      <c r="I34" s="185">
        <f t="shared" si="0"/>
        <v>0</v>
      </c>
      <c r="J34" s="185">
        <v>834.95</v>
      </c>
    </row>
    <row r="35" spans="1:10" x14ac:dyDescent="0.25">
      <c r="A35">
        <v>33</v>
      </c>
      <c r="B35" s="236">
        <v>13696</v>
      </c>
      <c r="C35" t="s">
        <v>155</v>
      </c>
      <c r="D35" t="s">
        <v>152</v>
      </c>
      <c r="E35" s="185">
        <v>21.53</v>
      </c>
      <c r="F35" s="185">
        <v>21.53</v>
      </c>
      <c r="G35">
        <v>0</v>
      </c>
      <c r="H35" t="s">
        <v>153</v>
      </c>
      <c r="I35" s="185">
        <f t="shared" si="0"/>
        <v>0</v>
      </c>
      <c r="J35" s="185">
        <v>21.53</v>
      </c>
    </row>
    <row r="36" spans="1:10" x14ac:dyDescent="0.25">
      <c r="A36">
        <v>34</v>
      </c>
      <c r="B36" s="236">
        <v>14061</v>
      </c>
      <c r="C36" t="s">
        <v>155</v>
      </c>
      <c r="D36" t="s">
        <v>152</v>
      </c>
      <c r="E36" s="185">
        <v>71.48</v>
      </c>
      <c r="F36" s="185">
        <v>71.48</v>
      </c>
      <c r="G36">
        <v>0</v>
      </c>
      <c r="H36" t="s">
        <v>153</v>
      </c>
      <c r="I36" s="185">
        <f t="shared" si="0"/>
        <v>0</v>
      </c>
      <c r="J36" s="185">
        <v>71.48</v>
      </c>
    </row>
    <row r="37" spans="1:10" x14ac:dyDescent="0.25">
      <c r="A37">
        <v>35</v>
      </c>
      <c r="B37" s="236">
        <v>14792</v>
      </c>
      <c r="C37" t="s">
        <v>155</v>
      </c>
      <c r="D37" t="s">
        <v>152</v>
      </c>
      <c r="E37" s="185">
        <v>152.83000000000001</v>
      </c>
      <c r="F37" s="185">
        <v>152.83000000000001</v>
      </c>
      <c r="G37">
        <v>0</v>
      </c>
      <c r="H37" t="s">
        <v>153</v>
      </c>
      <c r="I37" s="185">
        <f t="shared" si="0"/>
        <v>0</v>
      </c>
      <c r="J37" s="185">
        <v>152.83000000000001</v>
      </c>
    </row>
    <row r="38" spans="1:10" x14ac:dyDescent="0.25">
      <c r="A38">
        <v>36</v>
      </c>
      <c r="B38" s="236">
        <v>15157</v>
      </c>
      <c r="C38" t="s">
        <v>155</v>
      </c>
      <c r="D38" t="s">
        <v>152</v>
      </c>
      <c r="E38" s="185">
        <v>356.8</v>
      </c>
      <c r="F38" s="185">
        <v>356.8</v>
      </c>
      <c r="G38">
        <v>0</v>
      </c>
      <c r="H38" t="s">
        <v>153</v>
      </c>
      <c r="I38" s="185">
        <f t="shared" si="0"/>
        <v>0</v>
      </c>
      <c r="J38" s="185">
        <v>356.8</v>
      </c>
    </row>
    <row r="39" spans="1:10" x14ac:dyDescent="0.25">
      <c r="A39">
        <v>37</v>
      </c>
      <c r="B39" s="236">
        <v>16983</v>
      </c>
      <c r="C39" t="s">
        <v>155</v>
      </c>
      <c r="D39" t="s">
        <v>152</v>
      </c>
      <c r="E39" s="185">
        <v>7</v>
      </c>
      <c r="F39" s="185">
        <v>7</v>
      </c>
      <c r="G39">
        <v>0</v>
      </c>
      <c r="H39" t="s">
        <v>153</v>
      </c>
      <c r="I39" s="185">
        <f t="shared" si="0"/>
        <v>0</v>
      </c>
      <c r="J39" s="185">
        <v>7</v>
      </c>
    </row>
    <row r="40" spans="1:10" x14ac:dyDescent="0.25">
      <c r="A40">
        <v>38</v>
      </c>
      <c r="B40" s="236">
        <v>17348</v>
      </c>
      <c r="C40" t="s">
        <v>155</v>
      </c>
      <c r="D40" t="s">
        <v>152</v>
      </c>
      <c r="E40" s="185">
        <v>49.8</v>
      </c>
      <c r="F40" s="185">
        <v>49.8</v>
      </c>
      <c r="G40">
        <v>0</v>
      </c>
      <c r="H40" t="s">
        <v>153</v>
      </c>
      <c r="I40" s="185">
        <f t="shared" si="0"/>
        <v>0</v>
      </c>
      <c r="J40" s="185">
        <v>49.8</v>
      </c>
    </row>
    <row r="41" spans="1:10" x14ac:dyDescent="0.25">
      <c r="A41">
        <v>39</v>
      </c>
      <c r="B41" s="236">
        <v>18079</v>
      </c>
      <c r="C41" t="s">
        <v>155</v>
      </c>
      <c r="D41" t="s">
        <v>152</v>
      </c>
      <c r="E41" s="185">
        <v>162.54</v>
      </c>
      <c r="F41" s="185">
        <v>162.54</v>
      </c>
      <c r="G41">
        <v>0</v>
      </c>
      <c r="H41" t="s">
        <v>153</v>
      </c>
      <c r="I41" s="185">
        <f t="shared" si="0"/>
        <v>0</v>
      </c>
      <c r="J41" s="185">
        <v>162.54</v>
      </c>
    </row>
    <row r="42" spans="1:10" x14ac:dyDescent="0.25">
      <c r="A42">
        <v>40</v>
      </c>
      <c r="B42" s="236">
        <v>18809</v>
      </c>
      <c r="C42" t="s">
        <v>155</v>
      </c>
      <c r="D42" t="s">
        <v>152</v>
      </c>
      <c r="E42" s="185">
        <v>443.21</v>
      </c>
      <c r="F42" s="185">
        <v>443.21</v>
      </c>
      <c r="G42">
        <v>0</v>
      </c>
      <c r="H42" t="s">
        <v>153</v>
      </c>
      <c r="I42" s="185">
        <f t="shared" si="0"/>
        <v>0</v>
      </c>
      <c r="J42" s="185">
        <v>443.21</v>
      </c>
    </row>
    <row r="43" spans="1:10" x14ac:dyDescent="0.25">
      <c r="A43">
        <v>41</v>
      </c>
      <c r="B43" s="236">
        <v>22827</v>
      </c>
      <c r="C43" t="s">
        <v>155</v>
      </c>
      <c r="D43" t="s">
        <v>152</v>
      </c>
      <c r="E43" s="185">
        <v>102.95</v>
      </c>
      <c r="F43" s="185">
        <v>102.95</v>
      </c>
      <c r="G43">
        <v>0</v>
      </c>
      <c r="H43" t="s">
        <v>153</v>
      </c>
      <c r="I43" s="185">
        <f t="shared" si="0"/>
        <v>0</v>
      </c>
      <c r="J43" s="185">
        <v>102.95</v>
      </c>
    </row>
    <row r="44" spans="1:10" x14ac:dyDescent="0.25">
      <c r="A44">
        <v>42</v>
      </c>
      <c r="B44" s="236">
        <v>19905</v>
      </c>
      <c r="C44" t="s">
        <v>155</v>
      </c>
      <c r="D44" t="s">
        <v>152</v>
      </c>
      <c r="E44" s="185">
        <v>75</v>
      </c>
      <c r="F44" s="185">
        <v>75</v>
      </c>
      <c r="G44">
        <v>0</v>
      </c>
      <c r="H44" t="s">
        <v>153</v>
      </c>
      <c r="I44" s="185">
        <f t="shared" si="0"/>
        <v>6.25</v>
      </c>
      <c r="J44" s="185">
        <v>68.75</v>
      </c>
    </row>
    <row r="45" spans="1:10" x14ac:dyDescent="0.25">
      <c r="A45">
        <v>43</v>
      </c>
      <c r="B45" s="236">
        <v>20270</v>
      </c>
      <c r="C45" t="s">
        <v>155</v>
      </c>
      <c r="D45" t="s">
        <v>152</v>
      </c>
      <c r="E45" s="185">
        <v>159.18</v>
      </c>
      <c r="F45" s="185">
        <v>159.18</v>
      </c>
      <c r="G45">
        <v>0</v>
      </c>
      <c r="H45" t="s">
        <v>153</v>
      </c>
      <c r="I45" s="185">
        <f t="shared" si="0"/>
        <v>0</v>
      </c>
      <c r="J45" s="185">
        <v>159.18</v>
      </c>
    </row>
    <row r="46" spans="1:10" x14ac:dyDescent="0.25">
      <c r="A46">
        <v>44</v>
      </c>
      <c r="B46" s="236">
        <v>20636</v>
      </c>
      <c r="C46" t="s">
        <v>155</v>
      </c>
      <c r="D46" t="s">
        <v>152</v>
      </c>
      <c r="E46" s="185">
        <v>224.62</v>
      </c>
      <c r="F46" s="185">
        <v>224.62</v>
      </c>
      <c r="G46">
        <v>0</v>
      </c>
      <c r="H46" t="s">
        <v>153</v>
      </c>
      <c r="I46" s="185">
        <f t="shared" si="0"/>
        <v>0</v>
      </c>
      <c r="J46" s="185">
        <v>224.62</v>
      </c>
    </row>
    <row r="47" spans="1:10" x14ac:dyDescent="0.25">
      <c r="A47">
        <v>45</v>
      </c>
      <c r="B47" s="236">
        <v>22462</v>
      </c>
      <c r="C47" t="s">
        <v>156</v>
      </c>
      <c r="D47" t="s">
        <v>152</v>
      </c>
      <c r="E47" s="185">
        <v>825.3</v>
      </c>
      <c r="F47" s="185">
        <v>825.3</v>
      </c>
      <c r="G47">
        <v>0</v>
      </c>
      <c r="H47" t="s">
        <v>153</v>
      </c>
      <c r="I47" s="185">
        <f t="shared" si="0"/>
        <v>0</v>
      </c>
      <c r="J47" s="185">
        <v>825.3</v>
      </c>
    </row>
    <row r="48" spans="1:10" x14ac:dyDescent="0.25">
      <c r="A48">
        <v>46</v>
      </c>
      <c r="B48" s="236">
        <v>22827</v>
      </c>
      <c r="C48" t="s">
        <v>156</v>
      </c>
      <c r="D48" t="s">
        <v>152</v>
      </c>
      <c r="E48" s="185">
        <v>87.06</v>
      </c>
      <c r="F48" s="185">
        <v>87.06</v>
      </c>
      <c r="G48">
        <v>0</v>
      </c>
      <c r="H48" t="s">
        <v>153</v>
      </c>
      <c r="I48" s="185">
        <f t="shared" si="0"/>
        <v>0.25</v>
      </c>
      <c r="J48" s="185">
        <v>86.81</v>
      </c>
    </row>
    <row r="49" spans="1:11" x14ac:dyDescent="0.25">
      <c r="A49">
        <v>47</v>
      </c>
      <c r="B49" s="236">
        <v>19175</v>
      </c>
      <c r="C49" t="s">
        <v>157</v>
      </c>
      <c r="D49" t="s">
        <v>152</v>
      </c>
      <c r="E49" s="185">
        <v>642.32000000000005</v>
      </c>
      <c r="F49" s="185">
        <v>642.32000000000005</v>
      </c>
      <c r="G49">
        <v>0</v>
      </c>
      <c r="H49" t="s">
        <v>153</v>
      </c>
      <c r="I49" s="185">
        <f t="shared" si="0"/>
        <v>0</v>
      </c>
      <c r="J49" s="185">
        <v>642.32000000000005</v>
      </c>
    </row>
    <row r="50" spans="1:11" x14ac:dyDescent="0.25">
      <c r="A50">
        <v>48</v>
      </c>
      <c r="B50" s="236">
        <v>21001</v>
      </c>
      <c r="C50" t="s">
        <v>157</v>
      </c>
      <c r="D50" t="s">
        <v>152</v>
      </c>
      <c r="E50" s="185">
        <v>79.09</v>
      </c>
      <c r="F50" s="185">
        <v>79.09</v>
      </c>
      <c r="G50">
        <v>0</v>
      </c>
      <c r="H50" t="s">
        <v>153</v>
      </c>
      <c r="I50" s="185">
        <f t="shared" si="0"/>
        <v>0</v>
      </c>
      <c r="J50" s="185">
        <v>79.09</v>
      </c>
    </row>
    <row r="51" spans="1:11" x14ac:dyDescent="0.25">
      <c r="A51">
        <v>49</v>
      </c>
      <c r="B51" s="236">
        <v>22462</v>
      </c>
      <c r="C51" t="s">
        <v>154</v>
      </c>
      <c r="D51" t="s">
        <v>152</v>
      </c>
      <c r="E51" s="185">
        <v>1212.17</v>
      </c>
      <c r="F51" s="185">
        <v>1212.17</v>
      </c>
      <c r="G51">
        <v>0</v>
      </c>
      <c r="H51" t="s">
        <v>153</v>
      </c>
      <c r="I51" s="185">
        <f t="shared" si="0"/>
        <v>0</v>
      </c>
      <c r="J51" s="185">
        <v>1212.17</v>
      </c>
    </row>
    <row r="52" spans="1:11" x14ac:dyDescent="0.25">
      <c r="A52">
        <v>50</v>
      </c>
      <c r="B52" s="236">
        <v>3104</v>
      </c>
      <c r="C52" t="s">
        <v>158</v>
      </c>
      <c r="D52" t="s">
        <v>152</v>
      </c>
      <c r="E52" s="185">
        <v>3123.58</v>
      </c>
      <c r="F52" s="185">
        <v>3123.58</v>
      </c>
      <c r="G52">
        <v>0</v>
      </c>
      <c r="H52" t="s">
        <v>153</v>
      </c>
      <c r="I52" s="185">
        <f t="shared" si="0"/>
        <v>0</v>
      </c>
      <c r="J52" s="185">
        <v>3123.58</v>
      </c>
    </row>
    <row r="53" spans="1:11" x14ac:dyDescent="0.25">
      <c r="A53">
        <v>51</v>
      </c>
      <c r="B53" s="236">
        <v>17348</v>
      </c>
      <c r="C53" t="s">
        <v>154</v>
      </c>
      <c r="D53" t="s">
        <v>152</v>
      </c>
      <c r="E53" s="185">
        <v>725</v>
      </c>
      <c r="F53" s="185">
        <v>725</v>
      </c>
      <c r="G53">
        <v>0</v>
      </c>
      <c r="H53" t="s">
        <v>153</v>
      </c>
      <c r="I53" s="185">
        <f t="shared" si="0"/>
        <v>0</v>
      </c>
      <c r="J53" s="185">
        <v>725</v>
      </c>
    </row>
    <row r="54" spans="1:11" x14ac:dyDescent="0.25">
      <c r="A54">
        <v>52</v>
      </c>
      <c r="B54" s="236">
        <v>22462</v>
      </c>
      <c r="C54" t="s">
        <v>154</v>
      </c>
      <c r="D54" t="s">
        <v>152</v>
      </c>
      <c r="E54" s="185">
        <v>679.2</v>
      </c>
      <c r="F54" s="185">
        <v>679.2</v>
      </c>
      <c r="G54">
        <v>0</v>
      </c>
      <c r="H54" t="s">
        <v>153</v>
      </c>
      <c r="I54" s="185">
        <f t="shared" si="0"/>
        <v>0</v>
      </c>
      <c r="J54" s="185">
        <v>679.2</v>
      </c>
    </row>
    <row r="55" spans="1:11" x14ac:dyDescent="0.25">
      <c r="A55">
        <v>53</v>
      </c>
      <c r="B55" s="236">
        <v>25749</v>
      </c>
      <c r="C55" t="s">
        <v>154</v>
      </c>
      <c r="D55" t="s">
        <v>152</v>
      </c>
      <c r="E55" s="185">
        <v>664.2</v>
      </c>
      <c r="F55" s="185">
        <v>664.2</v>
      </c>
      <c r="G55">
        <v>0</v>
      </c>
      <c r="H55" t="s">
        <v>153</v>
      </c>
      <c r="I55" s="185">
        <f t="shared" si="0"/>
        <v>0</v>
      </c>
      <c r="J55" s="185">
        <v>664.2</v>
      </c>
    </row>
    <row r="56" spans="1:11" x14ac:dyDescent="0.25">
      <c r="A56">
        <v>54</v>
      </c>
      <c r="B56" s="236">
        <v>26480</v>
      </c>
      <c r="C56" t="s">
        <v>154</v>
      </c>
      <c r="D56" t="s">
        <v>152</v>
      </c>
      <c r="E56" s="185">
        <v>2185.3200000000002</v>
      </c>
      <c r="F56" s="185">
        <v>2185.3200000000002</v>
      </c>
      <c r="G56">
        <v>0</v>
      </c>
      <c r="H56" t="s">
        <v>153</v>
      </c>
      <c r="I56" s="185">
        <f t="shared" si="0"/>
        <v>0</v>
      </c>
      <c r="J56" s="185">
        <v>2185.3200000000002</v>
      </c>
    </row>
    <row r="57" spans="1:11" x14ac:dyDescent="0.25">
      <c r="A57">
        <v>55</v>
      </c>
      <c r="B57" s="236">
        <v>3104</v>
      </c>
      <c r="C57" t="s">
        <v>159</v>
      </c>
      <c r="D57" t="s">
        <v>152</v>
      </c>
      <c r="E57" s="185">
        <v>2331.2600000000002</v>
      </c>
      <c r="F57" s="185">
        <v>2331.2600000000002</v>
      </c>
      <c r="G57">
        <v>0</v>
      </c>
      <c r="H57" t="s">
        <v>153</v>
      </c>
      <c r="I57" s="185">
        <f t="shared" si="0"/>
        <v>0</v>
      </c>
      <c r="J57" s="185">
        <v>2331.2600000000002</v>
      </c>
    </row>
    <row r="58" spans="1:11" x14ac:dyDescent="0.25">
      <c r="A58">
        <v>56</v>
      </c>
      <c r="B58" s="236">
        <v>7852</v>
      </c>
      <c r="C58" t="s">
        <v>159</v>
      </c>
      <c r="D58" t="s">
        <v>152</v>
      </c>
      <c r="E58" s="185">
        <v>1523.7</v>
      </c>
      <c r="F58" s="185">
        <v>1523.7</v>
      </c>
      <c r="G58">
        <v>0</v>
      </c>
      <c r="H58" t="s">
        <v>153</v>
      </c>
      <c r="I58" s="185">
        <f t="shared" si="0"/>
        <v>0</v>
      </c>
      <c r="J58" s="185">
        <v>1523.7</v>
      </c>
    </row>
    <row r="59" spans="1:11" x14ac:dyDescent="0.25">
      <c r="A59">
        <v>57</v>
      </c>
      <c r="B59" s="236">
        <v>3104</v>
      </c>
      <c r="C59" s="237" t="s">
        <v>64</v>
      </c>
      <c r="D59" t="s">
        <v>152</v>
      </c>
      <c r="E59" s="185">
        <v>3237.87</v>
      </c>
      <c r="F59" s="185">
        <v>3237.87</v>
      </c>
      <c r="G59">
        <v>0</v>
      </c>
      <c r="H59" t="s">
        <v>153</v>
      </c>
      <c r="I59" s="185">
        <f t="shared" si="0"/>
        <v>0</v>
      </c>
      <c r="J59" s="185">
        <v>3237.87</v>
      </c>
      <c r="K59" s="250"/>
    </row>
    <row r="60" spans="1:11" x14ac:dyDescent="0.25">
      <c r="A60">
        <v>58</v>
      </c>
      <c r="B60" s="236">
        <v>7852</v>
      </c>
      <c r="C60" s="237" t="s">
        <v>64</v>
      </c>
      <c r="D60" t="s">
        <v>152</v>
      </c>
      <c r="E60" s="185">
        <v>2666.48</v>
      </c>
      <c r="F60" s="185">
        <v>2666.48</v>
      </c>
      <c r="G60">
        <v>0</v>
      </c>
      <c r="H60" t="s">
        <v>153</v>
      </c>
      <c r="I60" s="185">
        <f t="shared" si="0"/>
        <v>18</v>
      </c>
      <c r="J60" s="185">
        <v>2648.48</v>
      </c>
      <c r="K60" s="250"/>
    </row>
    <row r="61" spans="1:11" x14ac:dyDescent="0.25">
      <c r="A61">
        <v>59</v>
      </c>
      <c r="B61" s="236">
        <v>12600</v>
      </c>
      <c r="C61" s="237" t="s">
        <v>65</v>
      </c>
      <c r="D61" t="s">
        <v>152</v>
      </c>
      <c r="E61" s="185">
        <v>201.67</v>
      </c>
      <c r="F61" s="185">
        <v>201.67</v>
      </c>
      <c r="G61">
        <v>0</v>
      </c>
      <c r="H61" t="s">
        <v>153</v>
      </c>
      <c r="I61" s="185">
        <f t="shared" si="0"/>
        <v>59.16</v>
      </c>
      <c r="J61" s="185">
        <v>142.51</v>
      </c>
      <c r="K61" s="250"/>
    </row>
    <row r="62" spans="1:11" x14ac:dyDescent="0.25">
      <c r="A62">
        <v>60</v>
      </c>
      <c r="B62" s="236">
        <v>12600</v>
      </c>
      <c r="C62" t="s">
        <v>160</v>
      </c>
      <c r="D62" t="s">
        <v>152</v>
      </c>
      <c r="E62" s="185">
        <v>80.55</v>
      </c>
      <c r="F62" s="185">
        <v>80.55</v>
      </c>
      <c r="G62">
        <v>0</v>
      </c>
      <c r="H62" t="s">
        <v>153</v>
      </c>
      <c r="I62" s="185">
        <f t="shared" si="0"/>
        <v>0</v>
      </c>
      <c r="J62" s="185">
        <v>80.55</v>
      </c>
    </row>
    <row r="63" spans="1:11" x14ac:dyDescent="0.25">
      <c r="A63">
        <v>61</v>
      </c>
      <c r="B63" s="236">
        <v>20636</v>
      </c>
      <c r="C63" t="s">
        <v>161</v>
      </c>
      <c r="D63" t="s">
        <v>152</v>
      </c>
      <c r="E63" s="185">
        <v>234.81</v>
      </c>
      <c r="F63" s="185">
        <v>234.81</v>
      </c>
      <c r="G63">
        <v>0</v>
      </c>
      <c r="H63" t="s">
        <v>153</v>
      </c>
      <c r="I63" s="185">
        <f t="shared" si="0"/>
        <v>0</v>
      </c>
      <c r="J63" s="185">
        <v>234.81</v>
      </c>
    </row>
    <row r="64" spans="1:11" x14ac:dyDescent="0.25">
      <c r="A64">
        <v>62</v>
      </c>
      <c r="B64" s="236">
        <v>22462</v>
      </c>
      <c r="C64" t="s">
        <v>162</v>
      </c>
      <c r="D64" t="s">
        <v>152</v>
      </c>
      <c r="E64" s="185">
        <v>75.95</v>
      </c>
      <c r="F64" s="185">
        <v>75.95</v>
      </c>
      <c r="G64">
        <v>0</v>
      </c>
      <c r="H64" t="s">
        <v>153</v>
      </c>
      <c r="I64" s="185">
        <f t="shared" si="0"/>
        <v>0</v>
      </c>
      <c r="J64" s="185">
        <v>75.95</v>
      </c>
    </row>
    <row r="65" spans="1:11" x14ac:dyDescent="0.25">
      <c r="A65">
        <v>63</v>
      </c>
      <c r="B65" s="236">
        <v>22462</v>
      </c>
      <c r="C65" t="s">
        <v>163</v>
      </c>
      <c r="D65" t="s">
        <v>152</v>
      </c>
      <c r="E65" s="185">
        <v>214.4</v>
      </c>
      <c r="F65" s="185">
        <v>214.4</v>
      </c>
      <c r="G65">
        <v>0</v>
      </c>
      <c r="H65" t="s">
        <v>153</v>
      </c>
      <c r="I65" s="185">
        <f t="shared" si="0"/>
        <v>0</v>
      </c>
      <c r="J65" s="185">
        <v>214.4</v>
      </c>
    </row>
    <row r="66" spans="1:11" x14ac:dyDescent="0.25">
      <c r="A66">
        <v>64</v>
      </c>
      <c r="B66" s="236">
        <v>22827</v>
      </c>
      <c r="C66" t="s">
        <v>164</v>
      </c>
      <c r="D66" t="s">
        <v>152</v>
      </c>
      <c r="E66" s="185">
        <v>130</v>
      </c>
      <c r="F66" s="185">
        <v>130</v>
      </c>
      <c r="G66">
        <v>0</v>
      </c>
      <c r="H66" t="s">
        <v>153</v>
      </c>
      <c r="I66" s="185">
        <f t="shared" si="0"/>
        <v>0</v>
      </c>
      <c r="J66" s="185">
        <v>130</v>
      </c>
    </row>
    <row r="67" spans="1:11" x14ac:dyDescent="0.25">
      <c r="A67">
        <v>65</v>
      </c>
      <c r="B67" s="236">
        <v>23923</v>
      </c>
      <c r="C67" t="s">
        <v>156</v>
      </c>
      <c r="D67" t="s">
        <v>152</v>
      </c>
      <c r="E67" s="185">
        <v>412.8</v>
      </c>
      <c r="F67" s="185">
        <v>412.8</v>
      </c>
      <c r="G67">
        <v>0</v>
      </c>
      <c r="H67" t="s">
        <v>153</v>
      </c>
      <c r="I67" s="185">
        <f t="shared" si="0"/>
        <v>68.329999999999984</v>
      </c>
      <c r="J67" s="185">
        <v>344.47</v>
      </c>
    </row>
    <row r="68" spans="1:11" x14ac:dyDescent="0.25">
      <c r="A68">
        <v>66</v>
      </c>
      <c r="B68" s="236">
        <v>24653</v>
      </c>
      <c r="C68" t="s">
        <v>156</v>
      </c>
      <c r="D68" t="s">
        <v>152</v>
      </c>
      <c r="E68" s="185">
        <v>455.11</v>
      </c>
      <c r="F68" s="185">
        <v>455.11</v>
      </c>
      <c r="G68">
        <v>0</v>
      </c>
      <c r="H68" t="s">
        <v>153</v>
      </c>
      <c r="I68" s="185">
        <f t="shared" si="0"/>
        <v>0</v>
      </c>
      <c r="J68" s="185">
        <v>455.11</v>
      </c>
    </row>
    <row r="69" spans="1:11" x14ac:dyDescent="0.25">
      <c r="A69">
        <v>67</v>
      </c>
      <c r="B69" s="236">
        <v>25019</v>
      </c>
      <c r="C69" t="s">
        <v>156</v>
      </c>
      <c r="D69" t="s">
        <v>152</v>
      </c>
      <c r="E69" s="185">
        <v>406.45</v>
      </c>
      <c r="F69" s="185">
        <v>406.45</v>
      </c>
      <c r="G69">
        <v>0</v>
      </c>
      <c r="H69" t="s">
        <v>153</v>
      </c>
      <c r="I69" s="185">
        <f t="shared" ref="I69:I132" si="1">F69-J69</f>
        <v>0</v>
      </c>
      <c r="J69" s="185">
        <v>406.45</v>
      </c>
    </row>
    <row r="70" spans="1:11" x14ac:dyDescent="0.25">
      <c r="A70">
        <v>68</v>
      </c>
      <c r="B70" s="236">
        <v>25019</v>
      </c>
      <c r="C70" s="237" t="s">
        <v>65</v>
      </c>
      <c r="D70" t="s">
        <v>152</v>
      </c>
      <c r="E70" s="185">
        <v>100</v>
      </c>
      <c r="F70" s="185">
        <v>100</v>
      </c>
      <c r="G70">
        <v>0</v>
      </c>
      <c r="H70" t="s">
        <v>153</v>
      </c>
      <c r="I70" s="185">
        <f t="shared" si="1"/>
        <v>24</v>
      </c>
      <c r="J70" s="185">
        <v>76</v>
      </c>
      <c r="K70" s="250"/>
    </row>
    <row r="71" spans="1:11" x14ac:dyDescent="0.25">
      <c r="A71">
        <v>69</v>
      </c>
      <c r="B71" s="236">
        <v>25019</v>
      </c>
      <c r="C71" s="237" t="s">
        <v>66</v>
      </c>
      <c r="D71" t="s">
        <v>152</v>
      </c>
      <c r="E71" s="185">
        <v>702.73</v>
      </c>
      <c r="F71" s="185">
        <v>702.73</v>
      </c>
      <c r="G71">
        <v>0</v>
      </c>
      <c r="H71" t="s">
        <v>153</v>
      </c>
      <c r="I71" s="185">
        <f t="shared" si="1"/>
        <v>168.83000000000004</v>
      </c>
      <c r="J71" s="185">
        <v>533.9</v>
      </c>
      <c r="K71" s="250"/>
    </row>
    <row r="72" spans="1:11" x14ac:dyDescent="0.25">
      <c r="A72">
        <v>70</v>
      </c>
      <c r="B72" s="236">
        <v>25019</v>
      </c>
      <c r="C72" t="s">
        <v>165</v>
      </c>
      <c r="D72" t="s">
        <v>152</v>
      </c>
      <c r="E72" s="185">
        <v>632.45000000000005</v>
      </c>
      <c r="F72" s="185">
        <v>632.45000000000005</v>
      </c>
      <c r="G72">
        <v>0</v>
      </c>
      <c r="H72" t="s">
        <v>153</v>
      </c>
      <c r="I72" s="185">
        <f t="shared" si="1"/>
        <v>151.75000000000006</v>
      </c>
      <c r="J72" s="185">
        <v>480.7</v>
      </c>
    </row>
    <row r="73" spans="1:11" x14ac:dyDescent="0.25">
      <c r="A73">
        <v>71</v>
      </c>
      <c r="B73" s="236">
        <v>25019</v>
      </c>
      <c r="C73" s="237" t="s">
        <v>166</v>
      </c>
      <c r="D73" t="s">
        <v>152</v>
      </c>
      <c r="E73" s="185">
        <v>13351.8</v>
      </c>
      <c r="F73" s="185">
        <v>13351.8</v>
      </c>
      <c r="G73">
        <v>0</v>
      </c>
      <c r="H73" t="s">
        <v>153</v>
      </c>
      <c r="I73" s="185">
        <f t="shared" si="1"/>
        <v>3204.2799999999988</v>
      </c>
      <c r="J73" s="185">
        <v>10147.52</v>
      </c>
      <c r="K73" s="250"/>
    </row>
    <row r="74" spans="1:11" x14ac:dyDescent="0.25">
      <c r="A74">
        <v>72</v>
      </c>
      <c r="B74" s="236">
        <v>25019</v>
      </c>
      <c r="C74" t="s">
        <v>167</v>
      </c>
      <c r="D74" t="s">
        <v>152</v>
      </c>
      <c r="E74" s="185">
        <v>15213.02</v>
      </c>
      <c r="F74" s="185">
        <v>15213.02</v>
      </c>
      <c r="G74">
        <v>0</v>
      </c>
      <c r="H74" t="s">
        <v>153</v>
      </c>
      <c r="I74" s="185">
        <f t="shared" si="1"/>
        <v>4070.83</v>
      </c>
      <c r="J74" s="185">
        <v>11142.19</v>
      </c>
    </row>
    <row r="75" spans="1:11" x14ac:dyDescent="0.25">
      <c r="A75">
        <v>73</v>
      </c>
      <c r="B75" s="236">
        <v>25384</v>
      </c>
      <c r="C75" t="s">
        <v>167</v>
      </c>
      <c r="D75" t="s">
        <v>152</v>
      </c>
      <c r="E75" s="185">
        <v>1314.2</v>
      </c>
      <c r="F75" s="185">
        <v>1314.2</v>
      </c>
      <c r="G75">
        <v>0</v>
      </c>
      <c r="H75" t="s">
        <v>153</v>
      </c>
      <c r="I75" s="185">
        <f t="shared" si="1"/>
        <v>328.70000000000005</v>
      </c>
      <c r="J75" s="185">
        <v>985.5</v>
      </c>
    </row>
    <row r="76" spans="1:11" x14ac:dyDescent="0.25">
      <c r="A76">
        <v>74</v>
      </c>
      <c r="B76" s="236">
        <v>25384</v>
      </c>
      <c r="C76" t="s">
        <v>156</v>
      </c>
      <c r="D76" t="s">
        <v>152</v>
      </c>
      <c r="E76" s="185">
        <v>547.20000000000005</v>
      </c>
      <c r="F76" s="185">
        <v>547.20000000000005</v>
      </c>
      <c r="G76">
        <v>0</v>
      </c>
      <c r="H76" t="s">
        <v>153</v>
      </c>
      <c r="I76" s="185">
        <f t="shared" si="1"/>
        <v>0</v>
      </c>
      <c r="J76" s="185">
        <v>547.20000000000005</v>
      </c>
    </row>
    <row r="77" spans="1:11" x14ac:dyDescent="0.25">
      <c r="A77">
        <v>75</v>
      </c>
      <c r="B77" s="236">
        <v>26114</v>
      </c>
      <c r="C77" t="s">
        <v>156</v>
      </c>
      <c r="D77" t="s">
        <v>152</v>
      </c>
      <c r="E77" s="185">
        <v>2124.36</v>
      </c>
      <c r="F77" s="185">
        <v>2124.36</v>
      </c>
      <c r="G77">
        <v>0</v>
      </c>
      <c r="H77" t="s">
        <v>153</v>
      </c>
      <c r="I77" s="185">
        <f t="shared" si="1"/>
        <v>0</v>
      </c>
      <c r="J77" s="185">
        <v>2124.36</v>
      </c>
    </row>
    <row r="78" spans="1:11" x14ac:dyDescent="0.25">
      <c r="A78">
        <v>76</v>
      </c>
      <c r="B78" s="236">
        <v>26114</v>
      </c>
      <c r="C78" t="s">
        <v>168</v>
      </c>
      <c r="D78" t="s">
        <v>152</v>
      </c>
      <c r="E78" s="185">
        <v>570.34</v>
      </c>
      <c r="F78" s="185">
        <v>570.34</v>
      </c>
      <c r="G78">
        <v>0</v>
      </c>
      <c r="H78" t="s">
        <v>153</v>
      </c>
      <c r="I78" s="185">
        <f t="shared" si="1"/>
        <v>176.74</v>
      </c>
      <c r="J78" s="185">
        <v>393.6</v>
      </c>
    </row>
    <row r="79" spans="1:11" x14ac:dyDescent="0.25">
      <c r="A79">
        <v>77</v>
      </c>
      <c r="B79" s="236">
        <v>26114</v>
      </c>
      <c r="C79" t="s">
        <v>169</v>
      </c>
      <c r="D79" t="s">
        <v>152</v>
      </c>
      <c r="E79" s="185">
        <v>594.35</v>
      </c>
      <c r="F79" s="185">
        <v>594.35</v>
      </c>
      <c r="G79">
        <v>0</v>
      </c>
      <c r="H79" t="s">
        <v>153</v>
      </c>
      <c r="I79" s="185">
        <f t="shared" si="1"/>
        <v>184.19</v>
      </c>
      <c r="J79" s="185">
        <v>410.16</v>
      </c>
    </row>
    <row r="80" spans="1:11" x14ac:dyDescent="0.25">
      <c r="A80">
        <v>78</v>
      </c>
      <c r="B80" s="236">
        <v>26480</v>
      </c>
      <c r="C80" t="s">
        <v>170</v>
      </c>
      <c r="D80" t="s">
        <v>152</v>
      </c>
      <c r="E80" s="185">
        <v>183.4</v>
      </c>
      <c r="F80" s="185">
        <v>183.4</v>
      </c>
      <c r="G80">
        <v>0</v>
      </c>
      <c r="H80" t="s">
        <v>153</v>
      </c>
      <c r="I80" s="185">
        <f t="shared" si="1"/>
        <v>60.460000000000008</v>
      </c>
      <c r="J80" s="185">
        <v>122.94</v>
      </c>
    </row>
    <row r="81" spans="1:11" x14ac:dyDescent="0.25">
      <c r="A81">
        <v>79</v>
      </c>
      <c r="B81" s="236">
        <v>26480</v>
      </c>
      <c r="C81" t="s">
        <v>156</v>
      </c>
      <c r="D81" t="s">
        <v>152</v>
      </c>
      <c r="E81" s="185">
        <v>333</v>
      </c>
      <c r="F81" s="185">
        <v>333</v>
      </c>
      <c r="G81">
        <v>0</v>
      </c>
      <c r="H81" t="s">
        <v>153</v>
      </c>
      <c r="I81" s="185">
        <f t="shared" si="1"/>
        <v>0</v>
      </c>
      <c r="J81" s="185">
        <v>333</v>
      </c>
    </row>
    <row r="82" spans="1:11" x14ac:dyDescent="0.25">
      <c r="A82">
        <v>80</v>
      </c>
      <c r="B82" s="236">
        <v>27210</v>
      </c>
      <c r="C82" t="s">
        <v>156</v>
      </c>
      <c r="D82" t="s">
        <v>152</v>
      </c>
      <c r="E82" s="185">
        <v>1219.52</v>
      </c>
      <c r="F82" s="185">
        <v>1219.52</v>
      </c>
      <c r="G82">
        <v>0</v>
      </c>
      <c r="H82" t="s">
        <v>153</v>
      </c>
      <c r="I82" s="185">
        <f t="shared" si="1"/>
        <v>0</v>
      </c>
      <c r="J82" s="185">
        <v>1219.52</v>
      </c>
    </row>
    <row r="83" spans="1:11" x14ac:dyDescent="0.25">
      <c r="A83">
        <v>81</v>
      </c>
      <c r="B83" s="236">
        <v>27210</v>
      </c>
      <c r="C83" t="s">
        <v>171</v>
      </c>
      <c r="D83" t="s">
        <v>152</v>
      </c>
      <c r="E83" s="185">
        <v>114.89</v>
      </c>
      <c r="F83" s="185">
        <v>114.89</v>
      </c>
      <c r="G83">
        <v>0</v>
      </c>
      <c r="H83" t="s">
        <v>153</v>
      </c>
      <c r="I83" s="185">
        <f t="shared" si="1"/>
        <v>0</v>
      </c>
      <c r="J83" s="185">
        <v>114.89</v>
      </c>
    </row>
    <row r="84" spans="1:11" x14ac:dyDescent="0.25">
      <c r="A84">
        <v>82</v>
      </c>
      <c r="B84" s="236">
        <v>27210</v>
      </c>
      <c r="C84" t="s">
        <v>172</v>
      </c>
      <c r="D84" t="s">
        <v>152</v>
      </c>
      <c r="E84" s="185">
        <v>4156.5200000000004</v>
      </c>
      <c r="F84" s="185">
        <v>4156.5200000000004</v>
      </c>
      <c r="G84">
        <v>0</v>
      </c>
      <c r="H84" t="s">
        <v>153</v>
      </c>
      <c r="I84" s="185">
        <f t="shared" si="1"/>
        <v>1537.9300000000003</v>
      </c>
      <c r="J84" s="185">
        <v>2618.59</v>
      </c>
    </row>
    <row r="85" spans="1:11" x14ac:dyDescent="0.25">
      <c r="A85">
        <v>83</v>
      </c>
      <c r="B85" s="236">
        <v>27210</v>
      </c>
      <c r="C85" t="s">
        <v>173</v>
      </c>
      <c r="D85" t="s">
        <v>152</v>
      </c>
      <c r="E85" s="185">
        <v>2263.23</v>
      </c>
      <c r="F85" s="185">
        <v>2263.23</v>
      </c>
      <c r="G85">
        <v>0</v>
      </c>
      <c r="H85" t="s">
        <v>153</v>
      </c>
      <c r="I85" s="185">
        <f t="shared" si="1"/>
        <v>837.54</v>
      </c>
      <c r="J85" s="185">
        <v>1425.69</v>
      </c>
    </row>
    <row r="86" spans="1:11" x14ac:dyDescent="0.25">
      <c r="A86">
        <v>84</v>
      </c>
      <c r="B86" s="236">
        <v>27575</v>
      </c>
      <c r="C86" t="s">
        <v>173</v>
      </c>
      <c r="D86" t="s">
        <v>152</v>
      </c>
      <c r="E86" s="185">
        <v>2822.57</v>
      </c>
      <c r="F86" s="185">
        <v>2822.57</v>
      </c>
      <c r="G86">
        <v>0</v>
      </c>
      <c r="H86" t="s">
        <v>153</v>
      </c>
      <c r="I86" s="185">
        <f t="shared" si="1"/>
        <v>1100.8800000000001</v>
      </c>
      <c r="J86" s="185">
        <v>1721.69</v>
      </c>
    </row>
    <row r="87" spans="1:11" x14ac:dyDescent="0.25">
      <c r="A87">
        <v>85</v>
      </c>
      <c r="B87" s="236">
        <v>27575</v>
      </c>
      <c r="C87" t="s">
        <v>174</v>
      </c>
      <c r="D87" t="s">
        <v>152</v>
      </c>
      <c r="E87" s="185">
        <v>290.61</v>
      </c>
      <c r="F87" s="185">
        <v>290.61</v>
      </c>
      <c r="G87">
        <v>0</v>
      </c>
      <c r="H87" t="s">
        <v>153</v>
      </c>
      <c r="I87" s="185">
        <f t="shared" si="1"/>
        <v>0</v>
      </c>
      <c r="J87" s="185">
        <v>290.61</v>
      </c>
    </row>
    <row r="88" spans="1:11" x14ac:dyDescent="0.25">
      <c r="A88">
        <v>86</v>
      </c>
      <c r="B88" s="236">
        <v>27575</v>
      </c>
      <c r="C88" t="s">
        <v>175</v>
      </c>
      <c r="D88" t="s">
        <v>152</v>
      </c>
      <c r="E88" s="185">
        <v>5636.45</v>
      </c>
      <c r="F88" s="185">
        <v>5636.45</v>
      </c>
      <c r="G88">
        <v>0</v>
      </c>
      <c r="H88" t="s">
        <v>153</v>
      </c>
      <c r="I88" s="185">
        <f t="shared" si="1"/>
        <v>2198.1899999999996</v>
      </c>
      <c r="J88" s="185">
        <v>3438.26</v>
      </c>
    </row>
    <row r="89" spans="1:11" x14ac:dyDescent="0.25">
      <c r="A89">
        <v>87</v>
      </c>
      <c r="B89" s="236">
        <v>27575</v>
      </c>
      <c r="C89" t="s">
        <v>176</v>
      </c>
      <c r="D89" t="s">
        <v>152</v>
      </c>
      <c r="E89" s="185">
        <v>573.29999999999995</v>
      </c>
      <c r="F89" s="185">
        <v>573.29999999999995</v>
      </c>
      <c r="G89">
        <v>0</v>
      </c>
      <c r="H89" t="s">
        <v>153</v>
      </c>
      <c r="I89" s="185">
        <f t="shared" si="1"/>
        <v>223.46999999999997</v>
      </c>
      <c r="J89" s="185">
        <v>349.83</v>
      </c>
    </row>
    <row r="90" spans="1:11" x14ac:dyDescent="0.25">
      <c r="A90">
        <v>88</v>
      </c>
      <c r="B90" s="236">
        <v>27941</v>
      </c>
      <c r="C90" t="s">
        <v>167</v>
      </c>
      <c r="D90" t="s">
        <v>152</v>
      </c>
      <c r="E90" s="185">
        <v>24558.79</v>
      </c>
      <c r="F90" s="185">
        <v>24558.79</v>
      </c>
      <c r="G90">
        <v>0</v>
      </c>
      <c r="H90" t="s">
        <v>153</v>
      </c>
      <c r="I90" s="185">
        <f t="shared" si="1"/>
        <v>10068.980000000001</v>
      </c>
      <c r="J90" s="185">
        <v>14489.81</v>
      </c>
    </row>
    <row r="91" spans="1:11" x14ac:dyDescent="0.25">
      <c r="A91">
        <v>89</v>
      </c>
      <c r="B91" s="236">
        <v>27941</v>
      </c>
      <c r="C91" t="s">
        <v>165</v>
      </c>
      <c r="D91" t="s">
        <v>152</v>
      </c>
      <c r="E91" s="185">
        <v>820.84</v>
      </c>
      <c r="F91" s="185">
        <v>820.84</v>
      </c>
      <c r="G91">
        <v>0</v>
      </c>
      <c r="H91" t="s">
        <v>153</v>
      </c>
      <c r="I91" s="185">
        <f t="shared" si="1"/>
        <v>336.45000000000005</v>
      </c>
      <c r="J91" s="185">
        <v>484.39</v>
      </c>
    </row>
    <row r="92" spans="1:11" x14ac:dyDescent="0.25">
      <c r="A92">
        <v>90</v>
      </c>
      <c r="B92" s="236">
        <v>27941</v>
      </c>
      <c r="C92" t="s">
        <v>156</v>
      </c>
      <c r="D92" t="s">
        <v>152</v>
      </c>
      <c r="E92" s="185">
        <v>328.2</v>
      </c>
      <c r="F92" s="185">
        <v>328.2</v>
      </c>
      <c r="G92">
        <v>0</v>
      </c>
      <c r="H92" t="s">
        <v>153</v>
      </c>
      <c r="I92" s="185">
        <f t="shared" si="1"/>
        <v>5.4699999999999704</v>
      </c>
      <c r="J92" s="185">
        <v>322.73</v>
      </c>
    </row>
    <row r="93" spans="1:11" x14ac:dyDescent="0.25">
      <c r="A93">
        <v>91</v>
      </c>
      <c r="B93" s="236">
        <v>28306</v>
      </c>
      <c r="C93" t="s">
        <v>177</v>
      </c>
      <c r="D93" t="s">
        <v>152</v>
      </c>
      <c r="E93" s="185">
        <v>994.89</v>
      </c>
      <c r="F93" s="185">
        <v>994.89</v>
      </c>
      <c r="G93">
        <v>0</v>
      </c>
      <c r="H93" t="s">
        <v>153</v>
      </c>
      <c r="I93" s="185">
        <f t="shared" si="1"/>
        <v>427.74</v>
      </c>
      <c r="J93" s="185">
        <v>567.15</v>
      </c>
    </row>
    <row r="94" spans="1:11" x14ac:dyDescent="0.25">
      <c r="A94">
        <v>92</v>
      </c>
      <c r="B94" s="236">
        <v>28306</v>
      </c>
      <c r="C94" t="s">
        <v>178</v>
      </c>
      <c r="D94" t="s">
        <v>152</v>
      </c>
      <c r="E94" s="185">
        <v>504.8</v>
      </c>
      <c r="F94" s="185">
        <v>504.8</v>
      </c>
      <c r="G94">
        <v>0</v>
      </c>
      <c r="H94" t="s">
        <v>153</v>
      </c>
      <c r="I94" s="185">
        <f t="shared" si="1"/>
        <v>25.139999999999986</v>
      </c>
      <c r="J94" s="185">
        <v>479.66</v>
      </c>
    </row>
    <row r="95" spans="1:11" x14ac:dyDescent="0.25">
      <c r="A95">
        <v>93</v>
      </c>
      <c r="B95" s="236">
        <v>28306</v>
      </c>
      <c r="C95" t="s">
        <v>179</v>
      </c>
      <c r="D95" t="s">
        <v>152</v>
      </c>
      <c r="E95" s="185">
        <v>2356.0100000000002</v>
      </c>
      <c r="F95" s="185">
        <v>2356.0100000000002</v>
      </c>
      <c r="G95">
        <v>0</v>
      </c>
      <c r="H95" t="s">
        <v>153</v>
      </c>
      <c r="I95" s="185">
        <f t="shared" si="1"/>
        <v>1013.0900000000001</v>
      </c>
      <c r="J95" s="185">
        <v>1342.92</v>
      </c>
    </row>
    <row r="96" spans="1:11" x14ac:dyDescent="0.25">
      <c r="A96">
        <v>94</v>
      </c>
      <c r="B96" s="236">
        <v>28306</v>
      </c>
      <c r="C96" s="237" t="s">
        <v>67</v>
      </c>
      <c r="D96" t="s">
        <v>152</v>
      </c>
      <c r="E96" s="185">
        <v>385.42</v>
      </c>
      <c r="F96" s="185">
        <v>385.42</v>
      </c>
      <c r="G96">
        <v>0</v>
      </c>
      <c r="H96" t="s">
        <v>153</v>
      </c>
      <c r="I96" s="185">
        <f t="shared" si="1"/>
        <v>165.68</v>
      </c>
      <c r="J96" s="185">
        <v>219.74</v>
      </c>
      <c r="K96" s="250"/>
    </row>
    <row r="97" spans="1:10" x14ac:dyDescent="0.25">
      <c r="A97">
        <v>95</v>
      </c>
      <c r="B97" s="236">
        <v>28306</v>
      </c>
      <c r="C97" t="s">
        <v>180</v>
      </c>
      <c r="D97" t="s">
        <v>152</v>
      </c>
      <c r="E97" s="185">
        <v>595.38</v>
      </c>
      <c r="F97" s="185">
        <v>595.38</v>
      </c>
      <c r="G97">
        <v>0</v>
      </c>
      <c r="H97" t="s">
        <v>153</v>
      </c>
      <c r="I97" s="185">
        <f t="shared" si="1"/>
        <v>255.94</v>
      </c>
      <c r="J97" s="185">
        <v>339.44</v>
      </c>
    </row>
    <row r="98" spans="1:10" x14ac:dyDescent="0.25">
      <c r="A98">
        <v>96</v>
      </c>
      <c r="B98" s="236">
        <v>28671</v>
      </c>
      <c r="C98" t="s">
        <v>181</v>
      </c>
      <c r="D98" t="s">
        <v>152</v>
      </c>
      <c r="E98" s="185">
        <v>1709.83</v>
      </c>
      <c r="F98" s="185">
        <v>1709.83</v>
      </c>
      <c r="G98">
        <v>0</v>
      </c>
      <c r="H98" t="s">
        <v>153</v>
      </c>
      <c r="I98" s="185">
        <f t="shared" si="1"/>
        <v>769.32999999999993</v>
      </c>
      <c r="J98" s="185">
        <v>940.5</v>
      </c>
    </row>
    <row r="99" spans="1:10" x14ac:dyDescent="0.25">
      <c r="A99">
        <v>97</v>
      </c>
      <c r="B99" s="236">
        <v>28671</v>
      </c>
      <c r="C99" t="s">
        <v>182</v>
      </c>
      <c r="D99" t="s">
        <v>152</v>
      </c>
      <c r="E99" s="185">
        <v>846.28</v>
      </c>
      <c r="F99" s="185">
        <v>846.28</v>
      </c>
      <c r="G99">
        <v>0</v>
      </c>
      <c r="H99" t="s">
        <v>153</v>
      </c>
      <c r="I99" s="185">
        <f t="shared" si="1"/>
        <v>70.5</v>
      </c>
      <c r="J99" s="185">
        <v>775.78</v>
      </c>
    </row>
    <row r="100" spans="1:10" x14ac:dyDescent="0.25">
      <c r="A100">
        <v>98</v>
      </c>
      <c r="B100" s="236">
        <v>28671</v>
      </c>
      <c r="C100" t="s">
        <v>179</v>
      </c>
      <c r="D100" t="s">
        <v>152</v>
      </c>
      <c r="E100" s="185">
        <v>10271.870000000001</v>
      </c>
      <c r="F100" s="185">
        <v>10271.870000000001</v>
      </c>
      <c r="G100">
        <v>0</v>
      </c>
      <c r="H100" t="s">
        <v>153</v>
      </c>
      <c r="I100" s="185">
        <f t="shared" si="1"/>
        <v>4622.2700000000004</v>
      </c>
      <c r="J100" s="185">
        <v>5649.6</v>
      </c>
    </row>
    <row r="101" spans="1:10" x14ac:dyDescent="0.25">
      <c r="A101">
        <v>99</v>
      </c>
      <c r="B101" s="236">
        <v>28671</v>
      </c>
      <c r="C101" t="s">
        <v>183</v>
      </c>
      <c r="D101" t="s">
        <v>152</v>
      </c>
      <c r="E101" s="185">
        <v>1070.1600000000001</v>
      </c>
      <c r="F101" s="185">
        <v>1070.1600000000001</v>
      </c>
      <c r="G101">
        <v>0</v>
      </c>
      <c r="H101" t="s">
        <v>153</v>
      </c>
      <c r="I101" s="185">
        <f t="shared" si="1"/>
        <v>481.96000000000004</v>
      </c>
      <c r="J101" s="185">
        <v>588.20000000000005</v>
      </c>
    </row>
    <row r="102" spans="1:10" x14ac:dyDescent="0.25">
      <c r="A102">
        <v>100</v>
      </c>
      <c r="B102" s="236">
        <v>28671</v>
      </c>
      <c r="C102" t="s">
        <v>184</v>
      </c>
      <c r="D102" t="s">
        <v>152</v>
      </c>
      <c r="E102" s="185">
        <v>703.63</v>
      </c>
      <c r="F102" s="185">
        <v>703.63</v>
      </c>
      <c r="G102">
        <v>0</v>
      </c>
      <c r="H102" t="s">
        <v>153</v>
      </c>
      <c r="I102" s="185">
        <f t="shared" si="1"/>
        <v>0</v>
      </c>
      <c r="J102" s="185">
        <v>703.63</v>
      </c>
    </row>
    <row r="103" spans="1:10" x14ac:dyDescent="0.25">
      <c r="A103">
        <v>101</v>
      </c>
      <c r="B103" s="236">
        <v>29036</v>
      </c>
      <c r="C103" t="s">
        <v>181</v>
      </c>
      <c r="D103" t="s">
        <v>152</v>
      </c>
      <c r="E103" s="185">
        <v>1403.93</v>
      </c>
      <c r="F103" s="185">
        <v>1403.93</v>
      </c>
      <c r="G103">
        <v>0</v>
      </c>
      <c r="H103" t="s">
        <v>153</v>
      </c>
      <c r="I103" s="185">
        <f t="shared" si="1"/>
        <v>268.52</v>
      </c>
      <c r="J103" s="185">
        <v>1135.4100000000001</v>
      </c>
    </row>
    <row r="104" spans="1:10" x14ac:dyDescent="0.25">
      <c r="A104">
        <v>102</v>
      </c>
      <c r="B104" s="236">
        <v>29036</v>
      </c>
      <c r="C104" t="s">
        <v>179</v>
      </c>
      <c r="D104" t="s">
        <v>152</v>
      </c>
      <c r="E104" s="185">
        <v>6770.3</v>
      </c>
      <c r="F104" s="185">
        <v>6770.3</v>
      </c>
      <c r="G104">
        <v>0</v>
      </c>
      <c r="H104" t="s">
        <v>153</v>
      </c>
      <c r="I104" s="185">
        <f t="shared" si="1"/>
        <v>1294.8400000000001</v>
      </c>
      <c r="J104" s="185">
        <v>5475.46</v>
      </c>
    </row>
    <row r="105" spans="1:10" x14ac:dyDescent="0.25">
      <c r="A105">
        <v>103</v>
      </c>
      <c r="B105" s="236">
        <v>29036</v>
      </c>
      <c r="C105" t="s">
        <v>185</v>
      </c>
      <c r="D105" t="s">
        <v>152</v>
      </c>
      <c r="E105" s="185">
        <v>1794</v>
      </c>
      <c r="F105" s="185">
        <v>1794</v>
      </c>
      <c r="G105">
        <v>0</v>
      </c>
      <c r="H105" t="s">
        <v>153</v>
      </c>
      <c r="I105" s="185">
        <f t="shared" si="1"/>
        <v>54.5</v>
      </c>
      <c r="J105" s="185">
        <v>1739.5</v>
      </c>
    </row>
    <row r="106" spans="1:10" x14ac:dyDescent="0.25">
      <c r="A106">
        <v>104</v>
      </c>
      <c r="B106" s="236">
        <v>29036</v>
      </c>
      <c r="C106" t="s">
        <v>183</v>
      </c>
      <c r="D106" t="s">
        <v>152</v>
      </c>
      <c r="E106" s="185">
        <v>861.9</v>
      </c>
      <c r="F106" s="185">
        <v>861.9</v>
      </c>
      <c r="G106">
        <v>0</v>
      </c>
      <c r="H106" t="s">
        <v>153</v>
      </c>
      <c r="I106" s="185">
        <f t="shared" si="1"/>
        <v>164.84000000000003</v>
      </c>
      <c r="J106" s="185">
        <v>697.06</v>
      </c>
    </row>
    <row r="107" spans="1:10" x14ac:dyDescent="0.25">
      <c r="A107">
        <v>105</v>
      </c>
      <c r="B107" s="236">
        <v>29036</v>
      </c>
      <c r="C107" t="s">
        <v>186</v>
      </c>
      <c r="D107" t="s">
        <v>152</v>
      </c>
      <c r="E107" s="185">
        <v>528.09</v>
      </c>
      <c r="F107" s="185">
        <v>528.09</v>
      </c>
      <c r="G107">
        <v>0</v>
      </c>
      <c r="H107" t="s">
        <v>153</v>
      </c>
      <c r="I107" s="185">
        <f t="shared" si="1"/>
        <v>16.840000000000032</v>
      </c>
      <c r="J107" s="185">
        <v>511.25</v>
      </c>
    </row>
    <row r="108" spans="1:10" x14ac:dyDescent="0.25">
      <c r="A108">
        <v>106</v>
      </c>
      <c r="B108" s="236">
        <v>29036</v>
      </c>
      <c r="C108" t="s">
        <v>156</v>
      </c>
      <c r="D108" t="s">
        <v>152</v>
      </c>
      <c r="E108" s="185">
        <v>227.36</v>
      </c>
      <c r="F108" s="185">
        <v>227.36</v>
      </c>
      <c r="G108">
        <v>0</v>
      </c>
      <c r="H108" t="s">
        <v>153</v>
      </c>
      <c r="I108" s="185">
        <f t="shared" si="1"/>
        <v>35.950000000000017</v>
      </c>
      <c r="J108" s="185">
        <v>191.41</v>
      </c>
    </row>
    <row r="109" spans="1:10" x14ac:dyDescent="0.25">
      <c r="A109">
        <v>107</v>
      </c>
      <c r="B109" s="236">
        <v>29402</v>
      </c>
      <c r="C109" t="s">
        <v>187</v>
      </c>
      <c r="D109" t="s">
        <v>152</v>
      </c>
      <c r="E109" s="185">
        <v>436.3</v>
      </c>
      <c r="F109" s="185">
        <v>436.3</v>
      </c>
      <c r="G109">
        <v>0</v>
      </c>
      <c r="H109" t="s">
        <v>153</v>
      </c>
      <c r="I109" s="185">
        <f t="shared" si="1"/>
        <v>88.770000000000039</v>
      </c>
      <c r="J109" s="185">
        <v>347.53</v>
      </c>
    </row>
    <row r="110" spans="1:10" x14ac:dyDescent="0.25">
      <c r="A110">
        <v>108</v>
      </c>
      <c r="B110" s="236">
        <v>29402</v>
      </c>
      <c r="C110" t="s">
        <v>183</v>
      </c>
      <c r="D110" t="s">
        <v>152</v>
      </c>
      <c r="E110" s="185">
        <v>2184.5</v>
      </c>
      <c r="F110" s="185">
        <v>2184.5</v>
      </c>
      <c r="G110">
        <v>0</v>
      </c>
      <c r="H110" t="s">
        <v>153</v>
      </c>
      <c r="I110" s="185">
        <f t="shared" si="1"/>
        <v>444.80999999999995</v>
      </c>
      <c r="J110" s="185">
        <v>1739.69</v>
      </c>
    </row>
    <row r="111" spans="1:10" x14ac:dyDescent="0.25">
      <c r="A111">
        <v>109</v>
      </c>
      <c r="B111" s="236">
        <v>29402</v>
      </c>
      <c r="C111" t="s">
        <v>167</v>
      </c>
      <c r="D111" t="s">
        <v>152</v>
      </c>
      <c r="E111" s="185">
        <v>707.99</v>
      </c>
      <c r="F111" s="185">
        <v>707.99</v>
      </c>
      <c r="G111">
        <v>0</v>
      </c>
      <c r="H111" t="s">
        <v>153</v>
      </c>
      <c r="I111" s="185">
        <f t="shared" si="1"/>
        <v>144.04999999999995</v>
      </c>
      <c r="J111" s="185">
        <v>563.94000000000005</v>
      </c>
    </row>
    <row r="112" spans="1:10" x14ac:dyDescent="0.25">
      <c r="A112">
        <v>110</v>
      </c>
      <c r="B112" s="236">
        <v>29767</v>
      </c>
      <c r="C112" t="s">
        <v>188</v>
      </c>
      <c r="D112" t="s">
        <v>152</v>
      </c>
      <c r="E112" s="185">
        <v>1789.78</v>
      </c>
      <c r="F112" s="185">
        <v>1789.78</v>
      </c>
      <c r="G112">
        <v>0</v>
      </c>
      <c r="H112" t="s">
        <v>153</v>
      </c>
      <c r="I112" s="185">
        <f t="shared" si="1"/>
        <v>473.25</v>
      </c>
      <c r="J112" s="185">
        <v>1316.53</v>
      </c>
    </row>
    <row r="113" spans="1:10" x14ac:dyDescent="0.25">
      <c r="A113">
        <v>111</v>
      </c>
      <c r="B113" s="236">
        <v>29767</v>
      </c>
      <c r="C113" t="s">
        <v>189</v>
      </c>
      <c r="D113" t="s">
        <v>152</v>
      </c>
      <c r="E113" s="185">
        <v>354.38</v>
      </c>
      <c r="F113" s="185">
        <v>354.38</v>
      </c>
      <c r="G113">
        <v>0</v>
      </c>
      <c r="H113" t="s">
        <v>153</v>
      </c>
      <c r="I113" s="185">
        <f t="shared" si="1"/>
        <v>93.63</v>
      </c>
      <c r="J113" s="185">
        <v>260.75</v>
      </c>
    </row>
    <row r="114" spans="1:10" x14ac:dyDescent="0.25">
      <c r="A114">
        <v>112</v>
      </c>
      <c r="B114" s="236">
        <v>29767</v>
      </c>
      <c r="C114" t="s">
        <v>190</v>
      </c>
      <c r="D114" t="s">
        <v>152</v>
      </c>
      <c r="E114" s="185">
        <v>2088.75</v>
      </c>
      <c r="F114" s="185">
        <v>2088.75</v>
      </c>
      <c r="G114">
        <v>0</v>
      </c>
      <c r="H114" t="s">
        <v>153</v>
      </c>
      <c r="I114" s="185">
        <f t="shared" si="1"/>
        <v>552.29999999999995</v>
      </c>
      <c r="J114" s="185">
        <v>1536.45</v>
      </c>
    </row>
    <row r="115" spans="1:10" x14ac:dyDescent="0.25">
      <c r="A115">
        <v>113</v>
      </c>
      <c r="B115" s="236">
        <v>29767</v>
      </c>
      <c r="C115" t="s">
        <v>183</v>
      </c>
      <c r="D115" t="s">
        <v>152</v>
      </c>
      <c r="E115" s="185">
        <v>689</v>
      </c>
      <c r="F115" s="185">
        <v>689</v>
      </c>
      <c r="G115">
        <v>0</v>
      </c>
      <c r="H115" t="s">
        <v>153</v>
      </c>
      <c r="I115" s="185">
        <f t="shared" si="1"/>
        <v>182.11</v>
      </c>
      <c r="J115" s="185">
        <v>506.89</v>
      </c>
    </row>
    <row r="116" spans="1:10" x14ac:dyDescent="0.25">
      <c r="A116">
        <v>114</v>
      </c>
      <c r="B116" s="236">
        <v>30132</v>
      </c>
      <c r="C116" t="s">
        <v>188</v>
      </c>
      <c r="D116" t="s">
        <v>152</v>
      </c>
      <c r="E116" s="185">
        <v>822.43</v>
      </c>
      <c r="F116" s="185">
        <v>822.43</v>
      </c>
      <c r="G116">
        <v>0</v>
      </c>
      <c r="H116" t="s">
        <v>153</v>
      </c>
      <c r="I116" s="185">
        <f t="shared" si="1"/>
        <v>242.19999999999993</v>
      </c>
      <c r="J116" s="185">
        <v>580.23</v>
      </c>
    </row>
    <row r="117" spans="1:10" x14ac:dyDescent="0.25">
      <c r="A117">
        <v>115</v>
      </c>
      <c r="B117" s="236">
        <v>30132</v>
      </c>
      <c r="C117" t="s">
        <v>191</v>
      </c>
      <c r="D117" t="s">
        <v>152</v>
      </c>
      <c r="E117" s="185">
        <v>425.95</v>
      </c>
      <c r="F117" s="185">
        <v>425.95</v>
      </c>
      <c r="G117">
        <v>0</v>
      </c>
      <c r="H117" t="s">
        <v>153</v>
      </c>
      <c r="I117" s="185">
        <f t="shared" si="1"/>
        <v>125.38</v>
      </c>
      <c r="J117" s="185">
        <v>300.57</v>
      </c>
    </row>
    <row r="118" spans="1:10" x14ac:dyDescent="0.25">
      <c r="A118">
        <v>116</v>
      </c>
      <c r="B118" s="236">
        <v>30132</v>
      </c>
      <c r="C118" t="s">
        <v>192</v>
      </c>
      <c r="D118" t="s">
        <v>152</v>
      </c>
      <c r="E118" s="185">
        <v>7864.31</v>
      </c>
      <c r="F118" s="185">
        <v>7864.31</v>
      </c>
      <c r="G118">
        <v>0</v>
      </c>
      <c r="H118" t="s">
        <v>153</v>
      </c>
      <c r="I118" s="185">
        <f t="shared" si="1"/>
        <v>2315.2400000000007</v>
      </c>
      <c r="J118" s="185">
        <v>5549.07</v>
      </c>
    </row>
    <row r="119" spans="1:10" x14ac:dyDescent="0.25">
      <c r="A119">
        <v>117</v>
      </c>
      <c r="B119" s="236">
        <v>30132</v>
      </c>
      <c r="C119" t="s">
        <v>192</v>
      </c>
      <c r="D119" t="s">
        <v>152</v>
      </c>
      <c r="E119" s="185">
        <v>4831.28</v>
      </c>
      <c r="F119" s="185">
        <v>4831.28</v>
      </c>
      <c r="G119">
        <v>0</v>
      </c>
      <c r="H119" t="s">
        <v>153</v>
      </c>
      <c r="I119" s="185">
        <f t="shared" si="1"/>
        <v>1422.4499999999998</v>
      </c>
      <c r="J119" s="185">
        <v>3408.83</v>
      </c>
    </row>
    <row r="120" spans="1:10" x14ac:dyDescent="0.25">
      <c r="A120">
        <v>118</v>
      </c>
      <c r="B120" s="236">
        <v>30497</v>
      </c>
      <c r="C120" t="s">
        <v>193</v>
      </c>
      <c r="D120" t="s">
        <v>152</v>
      </c>
      <c r="E120" s="185">
        <v>2988.12</v>
      </c>
      <c r="F120" s="185">
        <v>2988.12</v>
      </c>
      <c r="G120">
        <v>0</v>
      </c>
      <c r="H120" t="s">
        <v>153</v>
      </c>
      <c r="I120" s="185">
        <f t="shared" si="1"/>
        <v>969.37999999999988</v>
      </c>
      <c r="J120" s="185">
        <v>2018.74</v>
      </c>
    </row>
    <row r="121" spans="1:10" x14ac:dyDescent="0.25">
      <c r="A121">
        <v>119</v>
      </c>
      <c r="B121" s="236">
        <v>30497</v>
      </c>
      <c r="C121" t="s">
        <v>194</v>
      </c>
      <c r="D121" t="s">
        <v>152</v>
      </c>
      <c r="E121" s="185">
        <v>14810.82</v>
      </c>
      <c r="F121" s="185">
        <v>14810.82</v>
      </c>
      <c r="G121">
        <v>0</v>
      </c>
      <c r="H121" t="s">
        <v>153</v>
      </c>
      <c r="I121" s="185">
        <f t="shared" si="1"/>
        <v>4804.6399999999994</v>
      </c>
      <c r="J121" s="185">
        <v>10006.18</v>
      </c>
    </row>
    <row r="122" spans="1:10" x14ac:dyDescent="0.25">
      <c r="A122">
        <v>120</v>
      </c>
      <c r="B122" s="236">
        <v>30497</v>
      </c>
      <c r="C122" t="s">
        <v>195</v>
      </c>
      <c r="D122" t="s">
        <v>152</v>
      </c>
      <c r="E122" s="185">
        <v>8437.11</v>
      </c>
      <c r="F122" s="185">
        <v>8437.11</v>
      </c>
      <c r="G122">
        <v>0</v>
      </c>
      <c r="H122" t="s">
        <v>153</v>
      </c>
      <c r="I122" s="185">
        <f t="shared" si="1"/>
        <v>2737.01</v>
      </c>
      <c r="J122" s="185">
        <v>5700.1</v>
      </c>
    </row>
    <row r="123" spans="1:10" x14ac:dyDescent="0.25">
      <c r="A123">
        <v>121</v>
      </c>
      <c r="B123" s="236">
        <v>30497</v>
      </c>
      <c r="C123" t="s">
        <v>196</v>
      </c>
      <c r="D123" t="s">
        <v>152</v>
      </c>
      <c r="E123" s="185">
        <v>51.59</v>
      </c>
      <c r="F123" s="185">
        <v>51.59</v>
      </c>
      <c r="G123">
        <v>0</v>
      </c>
      <c r="H123" t="s">
        <v>153</v>
      </c>
      <c r="I123" s="185">
        <f t="shared" si="1"/>
        <v>16.720000000000006</v>
      </c>
      <c r="J123" s="185">
        <v>34.869999999999997</v>
      </c>
    </row>
    <row r="124" spans="1:10" x14ac:dyDescent="0.25">
      <c r="A124">
        <v>122</v>
      </c>
      <c r="B124" s="236">
        <v>30863</v>
      </c>
      <c r="C124" t="s">
        <v>193</v>
      </c>
      <c r="D124" t="s">
        <v>152</v>
      </c>
      <c r="E124" s="185">
        <v>823.61</v>
      </c>
      <c r="F124" s="185">
        <v>823.61</v>
      </c>
      <c r="G124">
        <v>0</v>
      </c>
      <c r="H124" t="s">
        <v>153</v>
      </c>
      <c r="I124" s="185">
        <f t="shared" si="1"/>
        <v>291.87</v>
      </c>
      <c r="J124" s="185">
        <v>531.74</v>
      </c>
    </row>
    <row r="125" spans="1:10" x14ac:dyDescent="0.25">
      <c r="A125">
        <v>123</v>
      </c>
      <c r="B125" s="236">
        <v>30863</v>
      </c>
      <c r="C125" t="s">
        <v>197</v>
      </c>
      <c r="D125" t="s">
        <v>152</v>
      </c>
      <c r="E125" s="185">
        <v>493.49</v>
      </c>
      <c r="F125" s="185">
        <v>493.49</v>
      </c>
      <c r="G125">
        <v>0</v>
      </c>
      <c r="H125" t="s">
        <v>153</v>
      </c>
      <c r="I125" s="185">
        <f t="shared" si="1"/>
        <v>174.97000000000003</v>
      </c>
      <c r="J125" s="185">
        <v>318.52</v>
      </c>
    </row>
    <row r="126" spans="1:10" x14ac:dyDescent="0.25">
      <c r="A126">
        <v>124</v>
      </c>
      <c r="B126" s="236">
        <v>31228</v>
      </c>
      <c r="C126" t="s">
        <v>198</v>
      </c>
      <c r="D126" t="s">
        <v>152</v>
      </c>
      <c r="E126" s="185">
        <v>385</v>
      </c>
      <c r="F126" s="185">
        <v>385</v>
      </c>
      <c r="G126">
        <v>0</v>
      </c>
      <c r="H126" t="s">
        <v>153</v>
      </c>
      <c r="I126" s="185">
        <f t="shared" si="1"/>
        <v>147.97999999999999</v>
      </c>
      <c r="J126" s="185">
        <v>237.02</v>
      </c>
    </row>
    <row r="127" spans="1:10" x14ac:dyDescent="0.25">
      <c r="A127">
        <v>125</v>
      </c>
      <c r="B127" s="236">
        <v>31228</v>
      </c>
      <c r="C127" t="s">
        <v>199</v>
      </c>
      <c r="D127" t="s">
        <v>152</v>
      </c>
      <c r="E127" s="185">
        <v>95.52</v>
      </c>
      <c r="F127" s="185">
        <v>95.52</v>
      </c>
      <c r="G127">
        <v>0</v>
      </c>
      <c r="H127" t="s">
        <v>153</v>
      </c>
      <c r="I127" s="185">
        <f t="shared" si="1"/>
        <v>36.69</v>
      </c>
      <c r="J127" s="185">
        <v>58.83</v>
      </c>
    </row>
    <row r="128" spans="1:10" x14ac:dyDescent="0.25">
      <c r="A128">
        <v>126</v>
      </c>
      <c r="B128" s="236">
        <v>31228</v>
      </c>
      <c r="C128" t="s">
        <v>200</v>
      </c>
      <c r="D128" t="s">
        <v>152</v>
      </c>
      <c r="E128" s="185">
        <v>449.88</v>
      </c>
      <c r="F128" s="185">
        <v>449.88</v>
      </c>
      <c r="G128">
        <v>0</v>
      </c>
      <c r="H128" t="s">
        <v>153</v>
      </c>
      <c r="I128" s="185">
        <f t="shared" si="1"/>
        <v>172.89</v>
      </c>
      <c r="J128" s="185">
        <v>276.99</v>
      </c>
    </row>
    <row r="129" spans="1:10" x14ac:dyDescent="0.25">
      <c r="A129">
        <v>127</v>
      </c>
      <c r="B129" s="236">
        <v>31228</v>
      </c>
      <c r="C129" t="s">
        <v>201</v>
      </c>
      <c r="D129" t="s">
        <v>152</v>
      </c>
      <c r="E129" s="185">
        <v>17200.63</v>
      </c>
      <c r="F129" s="185">
        <v>17200.63</v>
      </c>
      <c r="G129">
        <v>0</v>
      </c>
      <c r="H129" t="s">
        <v>153</v>
      </c>
      <c r="I129" s="185">
        <f t="shared" si="1"/>
        <v>6611.9000000000015</v>
      </c>
      <c r="J129" s="185">
        <v>10588.73</v>
      </c>
    </row>
    <row r="130" spans="1:10" x14ac:dyDescent="0.25">
      <c r="A130">
        <v>128</v>
      </c>
      <c r="B130" s="236">
        <v>31593</v>
      </c>
      <c r="C130" t="s">
        <v>202</v>
      </c>
      <c r="D130" t="s">
        <v>152</v>
      </c>
      <c r="E130" s="185">
        <v>394.58</v>
      </c>
      <c r="F130" s="185">
        <v>394.58</v>
      </c>
      <c r="G130">
        <v>0</v>
      </c>
      <c r="H130" t="s">
        <v>153</v>
      </c>
      <c r="I130" s="185">
        <f t="shared" si="1"/>
        <v>163.45999999999998</v>
      </c>
      <c r="J130" s="185">
        <v>231.12</v>
      </c>
    </row>
    <row r="131" spans="1:10" x14ac:dyDescent="0.25">
      <c r="A131">
        <v>129</v>
      </c>
      <c r="B131" s="236">
        <v>31593</v>
      </c>
      <c r="C131" t="s">
        <v>203</v>
      </c>
      <c r="D131" t="s">
        <v>152</v>
      </c>
      <c r="E131" s="185">
        <v>4455.79</v>
      </c>
      <c r="F131" s="185">
        <v>4455.79</v>
      </c>
      <c r="G131">
        <v>0</v>
      </c>
      <c r="H131" t="s">
        <v>153</v>
      </c>
      <c r="I131" s="185">
        <f t="shared" si="1"/>
        <v>1846.5</v>
      </c>
      <c r="J131" s="185">
        <v>2609.29</v>
      </c>
    </row>
    <row r="132" spans="1:10" x14ac:dyDescent="0.25">
      <c r="A132">
        <v>130</v>
      </c>
      <c r="B132" s="236">
        <v>31593</v>
      </c>
      <c r="C132" t="s">
        <v>204</v>
      </c>
      <c r="D132" t="s">
        <v>152</v>
      </c>
      <c r="E132" s="185">
        <v>3994.63</v>
      </c>
      <c r="F132" s="185">
        <v>3994.63</v>
      </c>
      <c r="G132">
        <v>0</v>
      </c>
      <c r="H132" t="s">
        <v>153</v>
      </c>
      <c r="I132" s="185">
        <f t="shared" si="1"/>
        <v>1655.35</v>
      </c>
      <c r="J132" s="185">
        <v>2339.2800000000002</v>
      </c>
    </row>
    <row r="133" spans="1:10" x14ac:dyDescent="0.25">
      <c r="A133">
        <v>131</v>
      </c>
      <c r="B133" s="236">
        <v>31958</v>
      </c>
      <c r="C133" t="s">
        <v>205</v>
      </c>
      <c r="D133" t="s">
        <v>152</v>
      </c>
      <c r="E133" s="185">
        <v>2063.64</v>
      </c>
      <c r="F133" s="185">
        <v>2063.64</v>
      </c>
      <c r="G133">
        <v>0</v>
      </c>
      <c r="H133" t="s">
        <v>153</v>
      </c>
      <c r="I133" s="185">
        <f t="shared" ref="I133:I182" si="2">F133-J133</f>
        <v>917.09999999999991</v>
      </c>
      <c r="J133" s="185">
        <v>1146.54</v>
      </c>
    </row>
    <row r="134" spans="1:10" x14ac:dyDescent="0.25">
      <c r="A134">
        <v>132</v>
      </c>
      <c r="B134" s="236">
        <v>31958</v>
      </c>
      <c r="C134" t="s">
        <v>206</v>
      </c>
      <c r="D134" t="s">
        <v>152</v>
      </c>
      <c r="E134" s="185">
        <v>6328.7</v>
      </c>
      <c r="F134" s="185">
        <v>6328.7</v>
      </c>
      <c r="G134">
        <v>0</v>
      </c>
      <c r="H134" t="s">
        <v>153</v>
      </c>
      <c r="I134" s="185">
        <f t="shared" si="2"/>
        <v>2812.45</v>
      </c>
      <c r="J134" s="185">
        <v>3516.25</v>
      </c>
    </row>
    <row r="135" spans="1:10" x14ac:dyDescent="0.25">
      <c r="A135">
        <v>133</v>
      </c>
      <c r="B135" s="236">
        <v>31958</v>
      </c>
      <c r="C135" t="s">
        <v>207</v>
      </c>
      <c r="D135" t="s">
        <v>152</v>
      </c>
      <c r="E135" s="185">
        <v>522</v>
      </c>
      <c r="F135" s="185">
        <v>522</v>
      </c>
      <c r="G135">
        <v>0</v>
      </c>
      <c r="H135" t="s">
        <v>153</v>
      </c>
      <c r="I135" s="185">
        <f t="shared" si="2"/>
        <v>231.97000000000003</v>
      </c>
      <c r="J135" s="185">
        <v>290.02999999999997</v>
      </c>
    </row>
    <row r="136" spans="1:10" x14ac:dyDescent="0.25">
      <c r="A136">
        <v>134</v>
      </c>
      <c r="B136" s="236">
        <v>32324</v>
      </c>
      <c r="C136" t="s">
        <v>208</v>
      </c>
      <c r="D136" t="s">
        <v>152</v>
      </c>
      <c r="E136" s="185">
        <v>3463.08</v>
      </c>
      <c r="F136" s="185">
        <v>3463.08</v>
      </c>
      <c r="G136">
        <v>0</v>
      </c>
      <c r="H136" t="s">
        <v>153</v>
      </c>
      <c r="I136" s="185">
        <f t="shared" si="2"/>
        <v>1642.9299999999998</v>
      </c>
      <c r="J136" s="185">
        <v>1820.15</v>
      </c>
    </row>
    <row r="137" spans="1:10" x14ac:dyDescent="0.25">
      <c r="A137">
        <v>135</v>
      </c>
      <c r="B137" s="236">
        <v>32324</v>
      </c>
      <c r="C137" t="s">
        <v>209</v>
      </c>
      <c r="D137" t="s">
        <v>152</v>
      </c>
      <c r="E137" s="185">
        <v>1237.76</v>
      </c>
      <c r="F137" s="185">
        <v>1237.76</v>
      </c>
      <c r="G137">
        <v>0</v>
      </c>
      <c r="H137" t="s">
        <v>153</v>
      </c>
      <c r="I137" s="185">
        <f t="shared" si="2"/>
        <v>587.17999999999995</v>
      </c>
      <c r="J137" s="185">
        <v>650.58000000000004</v>
      </c>
    </row>
    <row r="138" spans="1:10" x14ac:dyDescent="0.25">
      <c r="A138">
        <v>136</v>
      </c>
      <c r="B138" s="236">
        <v>32324</v>
      </c>
      <c r="C138" t="s">
        <v>210</v>
      </c>
      <c r="D138" t="s">
        <v>152</v>
      </c>
      <c r="E138" s="185">
        <v>2862.37</v>
      </c>
      <c r="F138" s="185">
        <v>2862.37</v>
      </c>
      <c r="G138">
        <v>0</v>
      </c>
      <c r="H138" t="s">
        <v>153</v>
      </c>
      <c r="I138" s="185">
        <f t="shared" si="2"/>
        <v>1357.8799999999999</v>
      </c>
      <c r="J138" s="185">
        <v>1504.49</v>
      </c>
    </row>
    <row r="139" spans="1:10" x14ac:dyDescent="0.25">
      <c r="A139">
        <v>137</v>
      </c>
      <c r="B139" s="236">
        <v>32690</v>
      </c>
      <c r="C139" t="s">
        <v>211</v>
      </c>
      <c r="D139" t="s">
        <v>212</v>
      </c>
      <c r="E139" s="185">
        <v>1212</v>
      </c>
      <c r="F139" s="185">
        <v>1212</v>
      </c>
      <c r="G139">
        <v>0</v>
      </c>
      <c r="H139" t="s">
        <v>153</v>
      </c>
      <c r="I139" s="185">
        <f t="shared" si="2"/>
        <v>0</v>
      </c>
      <c r="J139" s="185">
        <v>1212</v>
      </c>
    </row>
    <row r="140" spans="1:10" x14ac:dyDescent="0.25">
      <c r="A140">
        <v>138</v>
      </c>
      <c r="B140" s="236">
        <v>32689</v>
      </c>
      <c r="C140" t="s">
        <v>213</v>
      </c>
      <c r="D140" t="s">
        <v>152</v>
      </c>
      <c r="E140" s="185">
        <v>3045.19</v>
      </c>
      <c r="F140" s="185">
        <v>3045.19</v>
      </c>
      <c r="G140">
        <v>0</v>
      </c>
      <c r="H140" t="s">
        <v>153</v>
      </c>
      <c r="I140" s="185">
        <f t="shared" si="2"/>
        <v>1535.3700000000001</v>
      </c>
      <c r="J140" s="185">
        <v>1509.82</v>
      </c>
    </row>
    <row r="141" spans="1:10" x14ac:dyDescent="0.25">
      <c r="A141">
        <v>139</v>
      </c>
      <c r="B141" s="236">
        <v>32669</v>
      </c>
      <c r="C141" t="s">
        <v>214</v>
      </c>
      <c r="D141" t="s">
        <v>152</v>
      </c>
      <c r="E141" s="185">
        <v>1042.73</v>
      </c>
      <c r="F141" s="185">
        <v>1042.73</v>
      </c>
      <c r="G141">
        <v>0</v>
      </c>
      <c r="H141" t="s">
        <v>153</v>
      </c>
      <c r="I141" s="185">
        <f t="shared" si="2"/>
        <v>524.04</v>
      </c>
      <c r="J141" s="185">
        <v>518.69000000000005</v>
      </c>
    </row>
    <row r="142" spans="1:10" x14ac:dyDescent="0.25">
      <c r="A142">
        <v>140</v>
      </c>
      <c r="B142" s="236">
        <v>32812</v>
      </c>
      <c r="C142" t="s">
        <v>215</v>
      </c>
      <c r="D142" t="s">
        <v>152</v>
      </c>
      <c r="E142" s="185">
        <v>1834.12</v>
      </c>
      <c r="F142" s="185">
        <v>1834.12</v>
      </c>
      <c r="G142">
        <v>0</v>
      </c>
      <c r="H142" t="s">
        <v>153</v>
      </c>
      <c r="I142" s="185">
        <f t="shared" si="2"/>
        <v>943.32999999999993</v>
      </c>
      <c r="J142" s="185">
        <v>890.79</v>
      </c>
    </row>
    <row r="143" spans="1:10" x14ac:dyDescent="0.25">
      <c r="A143">
        <v>141</v>
      </c>
      <c r="B143" s="236">
        <v>33054</v>
      </c>
      <c r="C143" t="s">
        <v>216</v>
      </c>
      <c r="D143" t="s">
        <v>212</v>
      </c>
      <c r="E143" s="185">
        <v>9907.24</v>
      </c>
      <c r="F143" s="185">
        <v>9907.24</v>
      </c>
      <c r="G143">
        <v>0</v>
      </c>
      <c r="H143" t="s">
        <v>153</v>
      </c>
      <c r="I143" s="185">
        <f t="shared" si="2"/>
        <v>5292.38</v>
      </c>
      <c r="J143" s="185">
        <v>4614.8599999999997</v>
      </c>
    </row>
    <row r="144" spans="1:10" x14ac:dyDescent="0.25">
      <c r="A144">
        <v>142</v>
      </c>
      <c r="B144" s="236">
        <v>33054</v>
      </c>
      <c r="C144" t="s">
        <v>217</v>
      </c>
      <c r="D144" t="s">
        <v>212</v>
      </c>
      <c r="E144" s="185">
        <v>2150.62</v>
      </c>
      <c r="F144" s="185">
        <v>2150.62</v>
      </c>
      <c r="G144">
        <v>0</v>
      </c>
      <c r="H144" t="s">
        <v>153</v>
      </c>
      <c r="I144" s="185">
        <f t="shared" si="2"/>
        <v>1148.8399999999999</v>
      </c>
      <c r="J144" s="185">
        <v>1001.78</v>
      </c>
    </row>
    <row r="145" spans="1:10" x14ac:dyDescent="0.25">
      <c r="A145">
        <v>143</v>
      </c>
      <c r="B145" s="236">
        <v>33419</v>
      </c>
      <c r="C145" t="s">
        <v>218</v>
      </c>
      <c r="D145" t="s">
        <v>212</v>
      </c>
      <c r="E145" s="185">
        <v>1805</v>
      </c>
      <c r="F145" s="185">
        <v>1805</v>
      </c>
      <c r="G145">
        <v>0</v>
      </c>
      <c r="H145" t="s">
        <v>153</v>
      </c>
      <c r="I145" s="185">
        <f t="shared" si="2"/>
        <v>1018.33</v>
      </c>
      <c r="J145" s="185">
        <v>786.67</v>
      </c>
    </row>
    <row r="146" spans="1:10" x14ac:dyDescent="0.25">
      <c r="A146">
        <v>144</v>
      </c>
      <c r="B146" s="236">
        <v>33420</v>
      </c>
      <c r="C146" t="s">
        <v>219</v>
      </c>
      <c r="D146" t="s">
        <v>212</v>
      </c>
      <c r="E146" s="185">
        <v>2200.89</v>
      </c>
      <c r="F146" s="185">
        <v>2200.89</v>
      </c>
      <c r="G146">
        <v>0</v>
      </c>
      <c r="H146" t="s">
        <v>153</v>
      </c>
      <c r="I146" s="185">
        <f t="shared" si="2"/>
        <v>1241.9099999999999</v>
      </c>
      <c r="J146" s="185">
        <v>958.98</v>
      </c>
    </row>
    <row r="147" spans="1:10" x14ac:dyDescent="0.25">
      <c r="A147">
        <v>145</v>
      </c>
      <c r="B147" s="236">
        <v>33785</v>
      </c>
      <c r="C147" t="s">
        <v>220</v>
      </c>
      <c r="D147" t="s">
        <v>152</v>
      </c>
      <c r="E147" s="185">
        <v>3149.84</v>
      </c>
      <c r="F147" s="185">
        <v>3149.84</v>
      </c>
      <c r="G147">
        <v>0</v>
      </c>
      <c r="H147" t="s">
        <v>153</v>
      </c>
      <c r="I147" s="185">
        <f t="shared" si="2"/>
        <v>1872.2500000000002</v>
      </c>
      <c r="J147" s="185">
        <v>1277.5899999999999</v>
      </c>
    </row>
    <row r="148" spans="1:10" x14ac:dyDescent="0.25">
      <c r="A148">
        <v>146</v>
      </c>
      <c r="B148" s="236">
        <v>33785</v>
      </c>
      <c r="C148" t="s">
        <v>221</v>
      </c>
      <c r="D148" t="s">
        <v>152</v>
      </c>
      <c r="E148" s="185">
        <v>2206.94</v>
      </c>
      <c r="F148" s="185">
        <v>2206.94</v>
      </c>
      <c r="G148">
        <v>0</v>
      </c>
      <c r="H148" t="s">
        <v>153</v>
      </c>
      <c r="I148" s="185">
        <f t="shared" si="2"/>
        <v>1311.83</v>
      </c>
      <c r="J148" s="185">
        <v>895.11</v>
      </c>
    </row>
    <row r="149" spans="1:10" x14ac:dyDescent="0.25">
      <c r="A149">
        <v>148</v>
      </c>
      <c r="B149" s="236">
        <v>22462</v>
      </c>
      <c r="C149" s="237" t="s">
        <v>292</v>
      </c>
      <c r="D149" t="s">
        <v>152</v>
      </c>
      <c r="E149" s="185">
        <v>223.2</v>
      </c>
      <c r="F149" s="185">
        <v>223.2</v>
      </c>
      <c r="G149">
        <v>0</v>
      </c>
      <c r="H149" t="s">
        <v>222</v>
      </c>
      <c r="I149" s="185">
        <v>0</v>
      </c>
      <c r="J149" s="185">
        <v>0</v>
      </c>
    </row>
    <row r="150" spans="1:10" x14ac:dyDescent="0.25">
      <c r="A150">
        <v>149</v>
      </c>
      <c r="B150" s="236">
        <v>34288</v>
      </c>
      <c r="C150" t="s">
        <v>223</v>
      </c>
      <c r="D150" t="s">
        <v>152</v>
      </c>
      <c r="E150" s="185">
        <v>5798.81</v>
      </c>
      <c r="F150" s="185">
        <v>5798.81</v>
      </c>
      <c r="G150">
        <v>0</v>
      </c>
      <c r="H150" t="s">
        <v>153</v>
      </c>
      <c r="I150" s="185">
        <f t="shared" si="2"/>
        <v>0</v>
      </c>
      <c r="J150" s="185">
        <v>5798.81</v>
      </c>
    </row>
    <row r="151" spans="1:10" x14ac:dyDescent="0.25">
      <c r="A151">
        <v>150</v>
      </c>
      <c r="B151" s="236">
        <v>34150</v>
      </c>
      <c r="C151" t="s">
        <v>224</v>
      </c>
      <c r="D151" t="s">
        <v>152</v>
      </c>
      <c r="E151" s="185">
        <v>261</v>
      </c>
      <c r="F151" s="185">
        <v>261</v>
      </c>
      <c r="G151">
        <v>0</v>
      </c>
      <c r="H151" t="s">
        <v>153</v>
      </c>
      <c r="I151" s="185">
        <f t="shared" si="2"/>
        <v>130.43</v>
      </c>
      <c r="J151" s="185">
        <v>130.57</v>
      </c>
    </row>
    <row r="152" spans="1:10" x14ac:dyDescent="0.25">
      <c r="A152">
        <v>151</v>
      </c>
      <c r="B152" s="236">
        <v>34768</v>
      </c>
      <c r="C152" t="s">
        <v>68</v>
      </c>
      <c r="D152" t="s">
        <v>152</v>
      </c>
      <c r="E152" s="185">
        <v>325</v>
      </c>
      <c r="F152" s="185">
        <v>325</v>
      </c>
      <c r="G152">
        <v>0</v>
      </c>
      <c r="H152" t="s">
        <v>153</v>
      </c>
      <c r="I152" s="185">
        <f t="shared" si="2"/>
        <v>0</v>
      </c>
      <c r="J152" s="185">
        <v>325</v>
      </c>
    </row>
    <row r="153" spans="1:10" x14ac:dyDescent="0.25">
      <c r="A153">
        <v>152</v>
      </c>
      <c r="B153" s="236">
        <v>35064</v>
      </c>
      <c r="C153" t="s">
        <v>69</v>
      </c>
      <c r="D153" t="s">
        <v>152</v>
      </c>
      <c r="E153" s="185">
        <v>822.59</v>
      </c>
      <c r="F153" s="185">
        <v>822.59</v>
      </c>
      <c r="G153">
        <v>0</v>
      </c>
      <c r="H153" t="s">
        <v>153</v>
      </c>
      <c r="I153" s="185">
        <f t="shared" si="2"/>
        <v>658.04</v>
      </c>
      <c r="J153" s="185">
        <v>164.55</v>
      </c>
    </row>
    <row r="154" spans="1:10" x14ac:dyDescent="0.25">
      <c r="A154">
        <v>153</v>
      </c>
      <c r="B154" s="236">
        <v>35095</v>
      </c>
      <c r="C154" t="s">
        <v>225</v>
      </c>
      <c r="D154" t="s">
        <v>152</v>
      </c>
      <c r="E154" s="185">
        <v>18752.79</v>
      </c>
      <c r="F154" s="185">
        <v>18752.79</v>
      </c>
      <c r="G154">
        <v>0</v>
      </c>
      <c r="H154" t="s">
        <v>153</v>
      </c>
      <c r="I154" s="185">
        <f t="shared" si="2"/>
        <v>0</v>
      </c>
      <c r="J154" s="185">
        <v>18752.79</v>
      </c>
    </row>
    <row r="155" spans="1:10" x14ac:dyDescent="0.25">
      <c r="A155">
        <v>154</v>
      </c>
      <c r="B155" s="236">
        <v>35266</v>
      </c>
      <c r="C155" t="s">
        <v>70</v>
      </c>
      <c r="D155" t="s">
        <v>152</v>
      </c>
      <c r="E155" s="185">
        <v>4415</v>
      </c>
      <c r="F155" s="185">
        <v>4415</v>
      </c>
      <c r="G155">
        <v>0</v>
      </c>
      <c r="H155" t="s">
        <v>153</v>
      </c>
      <c r="I155" s="185">
        <f t="shared" si="2"/>
        <v>242.46000000000004</v>
      </c>
      <c r="J155" s="185">
        <v>4172.54</v>
      </c>
    </row>
    <row r="156" spans="1:10" x14ac:dyDescent="0.25">
      <c r="A156">
        <v>155</v>
      </c>
      <c r="B156" s="236">
        <v>35409</v>
      </c>
      <c r="C156" t="s">
        <v>71</v>
      </c>
      <c r="D156" t="s">
        <v>152</v>
      </c>
      <c r="E156" s="185">
        <v>423.96</v>
      </c>
      <c r="F156" s="185">
        <v>423.96</v>
      </c>
      <c r="G156">
        <v>0</v>
      </c>
      <c r="H156" t="s">
        <v>153</v>
      </c>
      <c r="I156" s="185">
        <f t="shared" si="2"/>
        <v>0</v>
      </c>
      <c r="J156" s="185">
        <v>423.96</v>
      </c>
    </row>
    <row r="157" spans="1:10" x14ac:dyDescent="0.25">
      <c r="A157">
        <v>156</v>
      </c>
      <c r="B157" s="236">
        <v>35430</v>
      </c>
      <c r="C157" t="s">
        <v>72</v>
      </c>
      <c r="D157" t="s">
        <v>152</v>
      </c>
      <c r="E157" s="185">
        <v>1739.6</v>
      </c>
      <c r="F157" s="185">
        <v>1739.6</v>
      </c>
      <c r="G157">
        <v>0</v>
      </c>
      <c r="H157" t="s">
        <v>153</v>
      </c>
      <c r="I157" s="185">
        <f t="shared" si="2"/>
        <v>1426.3899999999999</v>
      </c>
      <c r="J157" s="185">
        <v>313.20999999999998</v>
      </c>
    </row>
    <row r="158" spans="1:10" x14ac:dyDescent="0.25">
      <c r="A158">
        <v>157</v>
      </c>
      <c r="B158" s="236">
        <v>35430</v>
      </c>
      <c r="C158" t="s">
        <v>226</v>
      </c>
      <c r="D158" t="s">
        <v>152</v>
      </c>
      <c r="E158" s="185">
        <v>3917.5</v>
      </c>
      <c r="F158" s="185">
        <v>3917.5</v>
      </c>
      <c r="G158">
        <v>0</v>
      </c>
      <c r="H158" t="s">
        <v>153</v>
      </c>
      <c r="I158" s="185">
        <f t="shared" si="2"/>
        <v>3212.14</v>
      </c>
      <c r="J158" s="185">
        <v>705.36</v>
      </c>
    </row>
    <row r="159" spans="1:10" x14ac:dyDescent="0.25">
      <c r="A159">
        <v>158</v>
      </c>
      <c r="B159" s="236">
        <v>35499</v>
      </c>
      <c r="C159" t="s">
        <v>73</v>
      </c>
      <c r="D159" t="s">
        <v>152</v>
      </c>
      <c r="E159" s="185">
        <v>1584.7</v>
      </c>
      <c r="F159" s="185">
        <v>1584.7</v>
      </c>
      <c r="G159">
        <v>0</v>
      </c>
      <c r="H159" t="s">
        <v>153</v>
      </c>
      <c r="I159" s="185">
        <f t="shared" si="2"/>
        <v>0</v>
      </c>
      <c r="J159" s="185">
        <v>1584.7</v>
      </c>
    </row>
    <row r="160" spans="1:10" x14ac:dyDescent="0.25">
      <c r="A160">
        <v>159</v>
      </c>
      <c r="B160" s="236">
        <v>35499</v>
      </c>
      <c r="C160" t="s">
        <v>74</v>
      </c>
      <c r="D160" t="s">
        <v>152</v>
      </c>
      <c r="E160" s="185">
        <v>777.87</v>
      </c>
      <c r="F160" s="185">
        <v>777.87</v>
      </c>
      <c r="G160">
        <v>0</v>
      </c>
      <c r="H160" t="s">
        <v>153</v>
      </c>
      <c r="I160" s="185">
        <f t="shared" si="2"/>
        <v>0</v>
      </c>
      <c r="J160" s="185">
        <v>777.87</v>
      </c>
    </row>
    <row r="161" spans="1:10" x14ac:dyDescent="0.25">
      <c r="A161">
        <v>160</v>
      </c>
      <c r="B161" s="236">
        <v>35672</v>
      </c>
      <c r="C161" t="s">
        <v>75</v>
      </c>
      <c r="D161" t="s">
        <v>152</v>
      </c>
      <c r="E161" s="185">
        <v>338.74</v>
      </c>
      <c r="F161" s="185">
        <v>338.74</v>
      </c>
      <c r="G161">
        <v>0</v>
      </c>
      <c r="H161" t="s">
        <v>153</v>
      </c>
      <c r="I161" s="185">
        <f t="shared" si="2"/>
        <v>282.28000000000003</v>
      </c>
      <c r="J161" s="185">
        <v>56.46</v>
      </c>
    </row>
    <row r="162" spans="1:10" x14ac:dyDescent="0.25">
      <c r="A162">
        <v>161</v>
      </c>
      <c r="B162" s="236">
        <v>35693</v>
      </c>
      <c r="C162" t="s">
        <v>76</v>
      </c>
      <c r="D162" t="s">
        <v>152</v>
      </c>
      <c r="E162" s="185">
        <v>506.22</v>
      </c>
      <c r="F162" s="185">
        <v>506.22</v>
      </c>
      <c r="G162">
        <v>0</v>
      </c>
      <c r="H162" t="s">
        <v>153</v>
      </c>
      <c r="I162" s="185">
        <f t="shared" si="2"/>
        <v>422.40000000000003</v>
      </c>
      <c r="J162" s="185">
        <v>83.82</v>
      </c>
    </row>
    <row r="163" spans="1:10" x14ac:dyDescent="0.25">
      <c r="A163">
        <v>162</v>
      </c>
      <c r="B163" s="236">
        <v>35499</v>
      </c>
      <c r="C163" t="s">
        <v>77</v>
      </c>
      <c r="D163" t="s">
        <v>152</v>
      </c>
      <c r="E163" s="185">
        <v>536.13</v>
      </c>
      <c r="F163" s="185">
        <v>536.13</v>
      </c>
      <c r="G163">
        <v>0</v>
      </c>
      <c r="H163" t="s">
        <v>153</v>
      </c>
      <c r="I163" s="185">
        <f t="shared" si="2"/>
        <v>0</v>
      </c>
      <c r="J163" s="185">
        <v>536.13</v>
      </c>
    </row>
    <row r="164" spans="1:10" x14ac:dyDescent="0.25">
      <c r="A164">
        <v>164</v>
      </c>
      <c r="B164" s="236">
        <v>35749</v>
      </c>
      <c r="C164" t="s">
        <v>78</v>
      </c>
      <c r="D164" t="s">
        <v>152</v>
      </c>
      <c r="E164" s="185">
        <v>3529.97</v>
      </c>
      <c r="F164" s="185">
        <v>3529.97</v>
      </c>
      <c r="G164">
        <v>0</v>
      </c>
      <c r="H164" t="s">
        <v>153</v>
      </c>
      <c r="I164" s="185">
        <f t="shared" si="2"/>
        <v>2956.08</v>
      </c>
      <c r="J164" s="185">
        <v>573.89</v>
      </c>
    </row>
    <row r="165" spans="1:10" x14ac:dyDescent="0.25">
      <c r="A165">
        <v>165</v>
      </c>
      <c r="B165" s="236">
        <v>36039</v>
      </c>
      <c r="C165" t="s">
        <v>79</v>
      </c>
      <c r="D165" t="s">
        <v>152</v>
      </c>
      <c r="E165" s="185">
        <v>13731.28</v>
      </c>
      <c r="F165" s="185">
        <v>13731.28</v>
      </c>
      <c r="G165">
        <v>0</v>
      </c>
      <c r="H165" t="s">
        <v>153</v>
      </c>
      <c r="I165" s="185">
        <f t="shared" si="2"/>
        <v>11717.08</v>
      </c>
      <c r="J165" s="185">
        <v>2014.2</v>
      </c>
    </row>
    <row r="166" spans="1:10" x14ac:dyDescent="0.25">
      <c r="A166">
        <v>166</v>
      </c>
      <c r="B166" s="236">
        <v>36160</v>
      </c>
      <c r="C166" t="s">
        <v>80</v>
      </c>
      <c r="D166" t="s">
        <v>152</v>
      </c>
      <c r="E166" s="185">
        <v>1728.13</v>
      </c>
      <c r="F166" s="185">
        <v>1728.13</v>
      </c>
      <c r="G166">
        <v>0</v>
      </c>
      <c r="H166" t="s">
        <v>153</v>
      </c>
      <c r="I166" s="185">
        <f t="shared" si="2"/>
        <v>1425.6100000000001</v>
      </c>
      <c r="J166" s="185">
        <v>302.52</v>
      </c>
    </row>
    <row r="167" spans="1:10" x14ac:dyDescent="0.25">
      <c r="A167">
        <v>167</v>
      </c>
      <c r="B167" s="236">
        <v>36160</v>
      </c>
      <c r="C167" t="s">
        <v>227</v>
      </c>
      <c r="D167" t="s">
        <v>152</v>
      </c>
      <c r="E167" s="185">
        <v>11270.92</v>
      </c>
      <c r="F167" s="185">
        <v>11270.92</v>
      </c>
      <c r="G167">
        <v>0</v>
      </c>
      <c r="H167" t="s">
        <v>153</v>
      </c>
      <c r="I167" s="185">
        <f t="shared" si="2"/>
        <v>9692.36</v>
      </c>
      <c r="J167" s="185">
        <v>1578.56</v>
      </c>
    </row>
    <row r="168" spans="1:10" x14ac:dyDescent="0.25">
      <c r="A168">
        <v>168</v>
      </c>
      <c r="B168" s="236">
        <v>36201</v>
      </c>
      <c r="C168" t="s">
        <v>81</v>
      </c>
      <c r="D168" t="s">
        <v>152</v>
      </c>
      <c r="E168" s="185">
        <v>630.22</v>
      </c>
      <c r="F168" s="185">
        <v>630.22</v>
      </c>
      <c r="G168">
        <v>0</v>
      </c>
      <c r="H168" t="s">
        <v>153</v>
      </c>
      <c r="I168" s="185">
        <f t="shared" si="2"/>
        <v>543.40000000000009</v>
      </c>
      <c r="J168" s="185">
        <v>86.82</v>
      </c>
    </row>
    <row r="169" spans="1:10" x14ac:dyDescent="0.25">
      <c r="A169">
        <v>169</v>
      </c>
      <c r="B169" s="236">
        <v>36524</v>
      </c>
      <c r="C169" t="s">
        <v>228</v>
      </c>
      <c r="D169" t="s">
        <v>152</v>
      </c>
      <c r="E169" s="185">
        <v>94.07</v>
      </c>
      <c r="F169" s="185">
        <v>94.07</v>
      </c>
      <c r="G169">
        <v>0</v>
      </c>
      <c r="H169" t="s">
        <v>153</v>
      </c>
      <c r="I169" s="185">
        <f t="shared" si="2"/>
        <v>0</v>
      </c>
      <c r="J169" s="185">
        <v>94.07</v>
      </c>
    </row>
    <row r="170" spans="1:10" x14ac:dyDescent="0.25">
      <c r="A170">
        <v>170</v>
      </c>
      <c r="B170" s="236">
        <v>36392</v>
      </c>
      <c r="C170" t="s">
        <v>229</v>
      </c>
      <c r="D170" t="s">
        <v>152</v>
      </c>
      <c r="E170" s="185">
        <v>723.24</v>
      </c>
      <c r="F170" s="185">
        <v>723.24</v>
      </c>
      <c r="G170">
        <v>0</v>
      </c>
      <c r="H170" t="s">
        <v>153</v>
      </c>
      <c r="I170" s="185">
        <f t="shared" si="2"/>
        <v>0</v>
      </c>
      <c r="J170" s="185">
        <v>723.24</v>
      </c>
    </row>
    <row r="171" spans="1:10" x14ac:dyDescent="0.25">
      <c r="A171">
        <v>171</v>
      </c>
      <c r="B171" s="236">
        <v>36535</v>
      </c>
      <c r="C171" t="s">
        <v>82</v>
      </c>
      <c r="D171" t="s">
        <v>152</v>
      </c>
      <c r="E171" s="185">
        <v>400</v>
      </c>
      <c r="F171" s="185">
        <v>400</v>
      </c>
      <c r="G171">
        <v>0</v>
      </c>
      <c r="H171" t="s">
        <v>153</v>
      </c>
      <c r="I171" s="185">
        <f t="shared" si="2"/>
        <v>352.2</v>
      </c>
      <c r="J171" s="185">
        <v>47.8</v>
      </c>
    </row>
    <row r="172" spans="1:10" x14ac:dyDescent="0.25">
      <c r="A172">
        <v>172</v>
      </c>
      <c r="B172" s="236">
        <v>36555</v>
      </c>
      <c r="C172" t="s">
        <v>230</v>
      </c>
      <c r="D172" t="s">
        <v>152</v>
      </c>
      <c r="E172" s="185">
        <v>100</v>
      </c>
      <c r="F172" s="185">
        <v>100</v>
      </c>
      <c r="G172">
        <v>0</v>
      </c>
      <c r="H172" t="s">
        <v>153</v>
      </c>
      <c r="I172" s="185">
        <f t="shared" si="2"/>
        <v>88.16</v>
      </c>
      <c r="J172" s="185">
        <v>11.84</v>
      </c>
    </row>
    <row r="173" spans="1:10" x14ac:dyDescent="0.25">
      <c r="A173">
        <v>173</v>
      </c>
      <c r="B173" s="236">
        <v>36566</v>
      </c>
      <c r="C173" t="s">
        <v>83</v>
      </c>
      <c r="D173" t="s">
        <v>152</v>
      </c>
      <c r="E173" s="185">
        <v>50</v>
      </c>
      <c r="F173" s="185">
        <v>50</v>
      </c>
      <c r="G173">
        <v>0</v>
      </c>
      <c r="H173" t="s">
        <v>153</v>
      </c>
      <c r="I173" s="185">
        <f t="shared" si="2"/>
        <v>44.11</v>
      </c>
      <c r="J173" s="185">
        <v>5.89</v>
      </c>
    </row>
    <row r="174" spans="1:10" x14ac:dyDescent="0.25">
      <c r="A174">
        <v>174</v>
      </c>
      <c r="B174" s="236">
        <v>36615</v>
      </c>
      <c r="C174" t="s">
        <v>84</v>
      </c>
      <c r="D174" t="s">
        <v>152</v>
      </c>
      <c r="E174" s="185">
        <v>50</v>
      </c>
      <c r="F174" s="185">
        <v>50</v>
      </c>
      <c r="G174">
        <v>0</v>
      </c>
      <c r="H174" t="s">
        <v>153</v>
      </c>
      <c r="I174" s="185">
        <f t="shared" si="2"/>
        <v>44.24</v>
      </c>
      <c r="J174" s="185">
        <v>5.76</v>
      </c>
    </row>
    <row r="175" spans="1:10" x14ac:dyDescent="0.25">
      <c r="A175">
        <v>175</v>
      </c>
      <c r="B175" s="236">
        <v>36636</v>
      </c>
      <c r="C175" t="s">
        <v>85</v>
      </c>
      <c r="D175" t="s">
        <v>152</v>
      </c>
      <c r="E175" s="185">
        <v>1495.59</v>
      </c>
      <c r="F175" s="185">
        <v>1495.59</v>
      </c>
      <c r="G175">
        <v>0</v>
      </c>
      <c r="H175" t="s">
        <v>153</v>
      </c>
      <c r="I175" s="185">
        <f t="shared" si="2"/>
        <v>74.889999999999873</v>
      </c>
      <c r="J175" s="185">
        <v>1420.7</v>
      </c>
    </row>
    <row r="176" spans="1:10" x14ac:dyDescent="0.25">
      <c r="A176">
        <v>176</v>
      </c>
      <c r="B176" s="236">
        <v>36707</v>
      </c>
      <c r="C176" t="s">
        <v>86</v>
      </c>
      <c r="D176" t="s">
        <v>152</v>
      </c>
      <c r="E176" s="185">
        <v>50</v>
      </c>
      <c r="F176" s="185">
        <v>50</v>
      </c>
      <c r="G176">
        <v>0</v>
      </c>
      <c r="H176" t="s">
        <v>153</v>
      </c>
      <c r="I176" s="185">
        <f t="shared" si="2"/>
        <v>44.49</v>
      </c>
      <c r="J176" s="185">
        <v>5.51</v>
      </c>
    </row>
    <row r="177" spans="1:11" x14ac:dyDescent="0.25">
      <c r="A177">
        <v>177</v>
      </c>
      <c r="B177" s="236">
        <v>36891</v>
      </c>
      <c r="C177" t="s">
        <v>231</v>
      </c>
      <c r="D177" t="s">
        <v>152</v>
      </c>
      <c r="E177" s="185">
        <v>672.38</v>
      </c>
      <c r="F177" s="185">
        <v>672.38</v>
      </c>
      <c r="G177">
        <v>0</v>
      </c>
      <c r="H177" t="s">
        <v>153</v>
      </c>
      <c r="I177" s="185">
        <f t="shared" si="2"/>
        <v>605.09</v>
      </c>
      <c r="J177" s="185">
        <v>67.290000000000006</v>
      </c>
    </row>
    <row r="178" spans="1:11" x14ac:dyDescent="0.25">
      <c r="A178">
        <v>178</v>
      </c>
      <c r="B178" s="236">
        <v>37179</v>
      </c>
      <c r="C178" t="s">
        <v>87</v>
      </c>
      <c r="D178" t="s">
        <v>152</v>
      </c>
      <c r="E178" s="185">
        <v>5224.78</v>
      </c>
      <c r="F178" s="185">
        <v>5224.78</v>
      </c>
      <c r="G178">
        <v>0</v>
      </c>
      <c r="H178" t="s">
        <v>153</v>
      </c>
      <c r="I178" s="185">
        <f t="shared" si="2"/>
        <v>4784.45</v>
      </c>
      <c r="J178" s="185">
        <v>440.33</v>
      </c>
    </row>
    <row r="179" spans="1:11" x14ac:dyDescent="0.25">
      <c r="A179">
        <v>179</v>
      </c>
      <c r="B179" s="236">
        <v>37073</v>
      </c>
      <c r="C179" t="s">
        <v>232</v>
      </c>
      <c r="D179" t="s">
        <v>152</v>
      </c>
      <c r="E179" s="185">
        <v>300</v>
      </c>
      <c r="F179" s="185">
        <v>300</v>
      </c>
      <c r="G179">
        <v>0</v>
      </c>
      <c r="H179" t="s">
        <v>153</v>
      </c>
      <c r="I179" s="185">
        <f t="shared" si="2"/>
        <v>29.75</v>
      </c>
      <c r="J179" s="185">
        <v>270.25</v>
      </c>
    </row>
    <row r="180" spans="1:11" x14ac:dyDescent="0.25">
      <c r="A180">
        <v>180</v>
      </c>
      <c r="B180" s="236">
        <v>37605</v>
      </c>
      <c r="C180" t="s">
        <v>88</v>
      </c>
      <c r="D180" t="s">
        <v>152</v>
      </c>
      <c r="E180" s="185">
        <v>15599.93</v>
      </c>
      <c r="F180" s="185">
        <v>15599.93</v>
      </c>
      <c r="G180">
        <v>0</v>
      </c>
      <c r="H180" t="s">
        <v>153</v>
      </c>
      <c r="I180" s="185">
        <f t="shared" si="2"/>
        <v>14649.4</v>
      </c>
      <c r="J180" s="185">
        <v>950.53</v>
      </c>
    </row>
    <row r="181" spans="1:11" x14ac:dyDescent="0.25">
      <c r="A181">
        <v>181</v>
      </c>
      <c r="B181" s="236">
        <v>37530</v>
      </c>
      <c r="C181" t="s">
        <v>89</v>
      </c>
      <c r="D181" t="s">
        <v>152</v>
      </c>
      <c r="E181" s="185">
        <v>2894.28</v>
      </c>
      <c r="F181" s="185">
        <v>2894.28</v>
      </c>
      <c r="G181">
        <v>0</v>
      </c>
      <c r="H181" t="s">
        <v>153</v>
      </c>
      <c r="I181" s="185">
        <f t="shared" si="2"/>
        <v>2706.0200000000004</v>
      </c>
      <c r="J181" s="185">
        <v>188.26</v>
      </c>
    </row>
    <row r="182" spans="1:11" ht="13.8" thickBot="1" x14ac:dyDescent="0.3">
      <c r="A182" s="25">
        <v>182</v>
      </c>
      <c r="B182" s="449">
        <v>37377</v>
      </c>
      <c r="C182" s="25" t="s">
        <v>278</v>
      </c>
      <c r="D182" s="25" t="s">
        <v>152</v>
      </c>
      <c r="E182" s="448">
        <v>200</v>
      </c>
      <c r="F182" s="448">
        <v>200</v>
      </c>
      <c r="G182" s="25">
        <v>0</v>
      </c>
      <c r="H182" s="25" t="s">
        <v>153</v>
      </c>
      <c r="I182" s="185">
        <f t="shared" si="2"/>
        <v>185.42</v>
      </c>
      <c r="J182" s="185">
        <v>14.58</v>
      </c>
    </row>
    <row r="183" spans="1:11" x14ac:dyDescent="0.25">
      <c r="A183" s="446">
        <v>183</v>
      </c>
      <c r="B183" s="450">
        <v>37782</v>
      </c>
      <c r="C183" s="446" t="s">
        <v>277</v>
      </c>
      <c r="D183" s="446" t="s">
        <v>152</v>
      </c>
      <c r="E183" s="447">
        <v>274.99</v>
      </c>
      <c r="F183" s="447">
        <v>274.99</v>
      </c>
      <c r="G183" s="446">
        <v>0</v>
      </c>
      <c r="H183" s="446" t="s">
        <v>153</v>
      </c>
      <c r="I183" s="447">
        <f>F183-J183</f>
        <v>260.90000000000003</v>
      </c>
      <c r="J183" s="447">
        <v>14.09</v>
      </c>
      <c r="K183" t="s">
        <v>274</v>
      </c>
    </row>
    <row r="184" spans="1:11" x14ac:dyDescent="0.25">
      <c r="A184" s="25">
        <v>184</v>
      </c>
      <c r="B184" s="236">
        <v>37787</v>
      </c>
      <c r="C184" t="s">
        <v>275</v>
      </c>
      <c r="D184" t="s">
        <v>152</v>
      </c>
      <c r="E184" s="185">
        <v>313.87</v>
      </c>
      <c r="F184" s="185">
        <v>313.87</v>
      </c>
      <c r="G184">
        <v>0</v>
      </c>
      <c r="H184" t="s">
        <v>153</v>
      </c>
      <c r="I184" s="448">
        <f t="shared" ref="I184:I190" si="3">F184-J184</f>
        <v>297.87</v>
      </c>
      <c r="J184" s="185">
        <v>16</v>
      </c>
    </row>
    <row r="185" spans="1:11" x14ac:dyDescent="0.25">
      <c r="A185" s="25">
        <v>185</v>
      </c>
      <c r="B185" s="236">
        <v>37965</v>
      </c>
      <c r="C185" t="s">
        <v>276</v>
      </c>
      <c r="D185" t="s">
        <v>152</v>
      </c>
      <c r="E185" s="185">
        <v>2440.92</v>
      </c>
      <c r="F185" s="185">
        <v>2440.92</v>
      </c>
      <c r="G185">
        <v>0</v>
      </c>
      <c r="H185" t="s">
        <v>153</v>
      </c>
      <c r="I185" s="448">
        <f t="shared" si="3"/>
        <v>1435.14</v>
      </c>
      <c r="J185" s="185">
        <v>1005.78</v>
      </c>
    </row>
    <row r="186" spans="1:11" x14ac:dyDescent="0.25">
      <c r="A186" s="25">
        <v>186</v>
      </c>
      <c r="B186" s="236">
        <v>38097</v>
      </c>
      <c r="C186" t="s">
        <v>279</v>
      </c>
      <c r="D186" t="s">
        <v>152</v>
      </c>
      <c r="E186" s="185">
        <v>420</v>
      </c>
      <c r="F186" s="185">
        <v>420</v>
      </c>
      <c r="G186">
        <v>0</v>
      </c>
      <c r="H186" t="s">
        <v>153</v>
      </c>
      <c r="I186" s="448">
        <f t="shared" si="3"/>
        <v>360.52</v>
      </c>
      <c r="J186" s="185">
        <v>59.48</v>
      </c>
    </row>
    <row r="187" spans="1:11" x14ac:dyDescent="0.25">
      <c r="A187" s="25">
        <v>187</v>
      </c>
      <c r="B187" s="236">
        <v>38441</v>
      </c>
      <c r="C187" t="s">
        <v>280</v>
      </c>
      <c r="D187" t="s">
        <v>152</v>
      </c>
      <c r="E187" s="185">
        <v>2861.73</v>
      </c>
      <c r="F187" s="185">
        <v>2861.73</v>
      </c>
      <c r="G187">
        <v>0</v>
      </c>
      <c r="H187" t="s">
        <v>153</v>
      </c>
      <c r="I187" s="448">
        <f t="shared" si="3"/>
        <v>2818.29</v>
      </c>
      <c r="J187" s="185">
        <v>43.44</v>
      </c>
    </row>
    <row r="188" spans="1:11" x14ac:dyDescent="0.25">
      <c r="A188" s="25">
        <v>188</v>
      </c>
      <c r="B188" s="236">
        <v>38603</v>
      </c>
      <c r="C188" t="s">
        <v>281</v>
      </c>
      <c r="D188" t="s">
        <v>152</v>
      </c>
      <c r="E188" s="185">
        <v>2869.29</v>
      </c>
      <c r="F188" s="185">
        <v>2869.29</v>
      </c>
      <c r="G188">
        <v>0</v>
      </c>
      <c r="H188" t="s">
        <v>153</v>
      </c>
      <c r="I188" s="448">
        <f t="shared" si="3"/>
        <v>2851.21</v>
      </c>
      <c r="J188" s="185">
        <v>18.079999999999998</v>
      </c>
    </row>
    <row r="189" spans="1:11" x14ac:dyDescent="0.25">
      <c r="A189" s="25">
        <v>189</v>
      </c>
      <c r="B189" s="236">
        <v>38640</v>
      </c>
      <c r="C189" t="s">
        <v>282</v>
      </c>
      <c r="D189" t="s">
        <v>152</v>
      </c>
      <c r="E189" s="185">
        <v>11299.56</v>
      </c>
      <c r="F189" s="185">
        <v>11299.56</v>
      </c>
      <c r="G189">
        <v>0</v>
      </c>
      <c r="H189" t="s">
        <v>153</v>
      </c>
      <c r="I189" s="448">
        <f t="shared" si="3"/>
        <v>11251.269999999999</v>
      </c>
      <c r="J189" s="185">
        <v>48.29</v>
      </c>
    </row>
    <row r="190" spans="1:11" x14ac:dyDescent="0.25">
      <c r="A190" s="25">
        <v>190</v>
      </c>
      <c r="B190" s="236">
        <v>38635</v>
      </c>
      <c r="C190" t="s">
        <v>283</v>
      </c>
      <c r="D190" t="s">
        <v>152</v>
      </c>
      <c r="E190" s="185">
        <v>1057.0999999999999</v>
      </c>
      <c r="F190" s="185">
        <v>1057.0999999999999</v>
      </c>
      <c r="G190">
        <v>0</v>
      </c>
      <c r="H190" t="s">
        <v>153</v>
      </c>
      <c r="I190" s="448">
        <f t="shared" si="3"/>
        <v>1052.29</v>
      </c>
      <c r="J190" s="185">
        <v>4.8099999999999996</v>
      </c>
    </row>
    <row r="191" spans="1:11" ht="13.8" thickBot="1" x14ac:dyDescent="0.3">
      <c r="A191" s="25">
        <v>191</v>
      </c>
      <c r="B191" s="236">
        <v>38640</v>
      </c>
      <c r="C191" t="s">
        <v>284</v>
      </c>
      <c r="D191" t="s">
        <v>152</v>
      </c>
      <c r="E191" s="185">
        <v>3339.58</v>
      </c>
      <c r="F191" s="185">
        <v>3339.58</v>
      </c>
      <c r="G191">
        <v>0</v>
      </c>
      <c r="H191" t="s">
        <v>153</v>
      </c>
      <c r="I191" s="448">
        <f>F191-J191</f>
        <v>3325.31</v>
      </c>
      <c r="J191" s="185">
        <v>14.27</v>
      </c>
    </row>
    <row r="192" spans="1:11" ht="13.8" thickTop="1" x14ac:dyDescent="0.25">
      <c r="A192" s="25"/>
      <c r="B192" s="25"/>
      <c r="C192" s="25"/>
      <c r="D192" s="25"/>
      <c r="E192" s="448"/>
      <c r="F192" s="253">
        <f>SUM(F3:F191)</f>
        <v>417780.67999999988</v>
      </c>
      <c r="G192" s="25"/>
      <c r="H192" s="25"/>
      <c r="I192" s="448"/>
      <c r="J192" s="253">
        <f>SUM(J3:J191)</f>
        <v>249996.68000000002</v>
      </c>
      <c r="K192" t="s">
        <v>233</v>
      </c>
    </row>
  </sheetData>
  <phoneticPr fontId="8" type="noConversion"/>
  <pageMargins left="0.75" right="0.75" top="1" bottom="1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 DEPSCH BY ACCO #</vt:lpstr>
      <vt:lpstr>SUMMARY</vt:lpstr>
      <vt:lpstr>RB SCH</vt:lpstr>
      <vt:lpstr>RETIRE SCH</vt:lpstr>
      <vt:lpstr>CO DERSCH</vt:lpstr>
      <vt:lpstr>' DEPSCH BY ACCO #'!Print_Area</vt:lpstr>
      <vt:lpstr>'CO DERSCH'!Print_Area</vt:lpstr>
      <vt:lpstr>'RB SCH'!Print_Area</vt:lpstr>
      <vt:lpstr>'RETIRE SCH'!Print_Area</vt:lpstr>
      <vt:lpstr>SUMMARY!Print_Area</vt:lpstr>
      <vt:lpstr>' DEPSCH BY ACCO #'!Print_Titles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Venango Water Co., 2005 Depreciation Schedule</dc:title>
  <dc:subject>EXCEL</dc:subject>
  <dc:creator>LASH</dc:creator>
  <cp:lastModifiedBy>Randy Rhodes</cp:lastModifiedBy>
  <cp:lastPrinted>2018-07-18T17:03:18Z</cp:lastPrinted>
  <dcterms:created xsi:type="dcterms:W3CDTF">2003-10-16T15:03:35Z</dcterms:created>
  <dcterms:modified xsi:type="dcterms:W3CDTF">2018-07-18T17:03:26Z</dcterms:modified>
</cp:coreProperties>
</file>