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H-PROJ\UGI Utilities\Gas Division\066475-2020RateCase\200-COS\6-Deliverables\Files to PUC\"/>
    </mc:Choice>
  </mc:AlternateContent>
  <xr:revisionPtr revIDLastSave="0" documentId="13_ncr:1_{07462E73-523B-48E6-8637-11CE6DB7981D}" xr6:coauthVersionLast="43" xr6:coauthVersionMax="43" xr10:uidLastSave="{00000000-0000-0000-0000-000000000000}"/>
  <bookViews>
    <workbookView xWindow="1950" yWindow="735" windowWidth="22140" windowHeight="13470" tabRatio="762" firstSheet="1" activeTab="5" xr2:uid="{80961750-36D3-40E6-AF04-5F433C072ADF}"/>
  </bookViews>
  <sheets>
    <sheet name="Checks" sheetId="23" r:id="rId1"/>
    <sheet name="Linkin (2)" sheetId="22" r:id="rId2"/>
    <sheet name="Linkin" sheetId="15" r:id="rId3"/>
    <sheet name="Alloc" sheetId="8" r:id="rId4"/>
    <sheet name="ROR" sheetId="11" r:id="rId5"/>
    <sheet name="Sched.A" sheetId="10" r:id="rId6"/>
    <sheet name="Ft  1to4" sheetId="1" r:id="rId7"/>
    <sheet name="Ftr 3 &amp; 6" sheetId="2" r:id="rId8"/>
    <sheet name="FTR 5&amp; 5A" sheetId="16" r:id="rId9"/>
    <sheet name="Ft 7to9" sheetId="3" r:id="rId10"/>
    <sheet name="Ft 10to14" sheetId="5" r:id="rId11"/>
    <sheet name="Ft 15to21" sheetId="6" r:id="rId12"/>
    <sheet name="customer" sheetId="7" r:id="rId13"/>
    <sheet name="Demand" sheetId="2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check" localSheetId="1">'Linkin (2)'!#REF!</definedName>
    <definedName name="check">Linkin!#REF!</definedName>
    <definedName name="checkk" localSheetId="1">'Linkin (2)'!#REF!</definedName>
    <definedName name="checkk">Linkin!$D$69</definedName>
    <definedName name="COMP1">'Ft 10to14'!$A$1:$F$115</definedName>
    <definedName name="COMP2">'Ft 15to21'!$A$1:$E$57</definedName>
    <definedName name="Deprate">[1]Deprate!$A$1:$S$187</definedName>
    <definedName name="Descriptions">[1]Descriptions!$A$1:$C$40</definedName>
    <definedName name="FACT1">'Ft  1to4'!$A$1:$L$77</definedName>
    <definedName name="FACT10">'Ft 15to21'!$A$1:$E$22</definedName>
    <definedName name="FACT2" localSheetId="1">'Ftr 3 &amp; 6'!#REF!</definedName>
    <definedName name="FACT2">'Ftr 3 &amp; 6'!#REF!</definedName>
    <definedName name="FACT3">'Ft 7to9'!$A$1:$J$5</definedName>
    <definedName name="FACT7">'Ft 10to14'!$A$1:$E$83</definedName>
    <definedName name="factor" localSheetId="1">'Ftr 3 &amp; 6'!#REF!</definedName>
    <definedName name="factor">'Ftr 3 &amp; 6'!#REF!</definedName>
    <definedName name="factors">Alloc!$J$377:$AG$418</definedName>
    <definedName name="_xlnm.Print_Area" localSheetId="3">Alloc!$C$265:$AG$372</definedName>
    <definedName name="_xlnm.Print_Area" localSheetId="12">customer!$A$9:$Q$84</definedName>
    <definedName name="_xlnm.Print_Area" localSheetId="13">Demand!$B$2:$H$24</definedName>
    <definedName name="_xlnm.Print_Area" localSheetId="6">'Ft  1to4'!$O$28:$Z$76</definedName>
    <definedName name="_xlnm.Print_Area" localSheetId="10">'Ft 10to14'!$A$1:$E$135</definedName>
    <definedName name="_xlnm.Print_Area" localSheetId="11">'Ft 15to21'!$A$58:$E$153</definedName>
    <definedName name="_xlnm.Print_Area" localSheetId="9">'Ft 7to9'!$A$1:$J$42</definedName>
    <definedName name="_xlnm.Print_Area" localSheetId="7">'Ftr 3 &amp; 6'!$A$86:$J$125</definedName>
    <definedName name="_xlnm.Print_Area" localSheetId="8">'FTR 5&amp; 5A'!$A$1:$N$26</definedName>
    <definedName name="_xlnm.Print_Area" localSheetId="4">ROR!$A$7:$P$41</definedName>
    <definedName name="_xlnm.Print_Area" localSheetId="5">Sched.A!$A$5:$R$34</definedName>
    <definedName name="_xlnm.Print_Area">'Ft  1to4'!$B$77:$N$94</definedName>
    <definedName name="_xlnm.Print_Titles" localSheetId="3">Alloc!$3:$13</definedName>
    <definedName name="_xlnm.Print_Titles" localSheetId="12">customer!$1:$8</definedName>
    <definedName name="_xlnm.Print_Titles" localSheetId="8">'FTR 5&amp; 5A'!$1:$3</definedName>
    <definedName name="XHWXK">Alloc!$B$212</definedName>
    <definedName name="Year">[1]Descriptions!$L$1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8" i="2" l="1"/>
  <c r="R119" i="2"/>
  <c r="R120" i="2"/>
  <c r="R121" i="2"/>
  <c r="R122" i="2"/>
  <c r="R123" i="2"/>
  <c r="P61" i="2"/>
  <c r="R61" i="2"/>
  <c r="T61" i="2"/>
  <c r="T68" i="2" s="1"/>
  <c r="Z61" i="2"/>
  <c r="AB61" i="2"/>
  <c r="P62" i="2"/>
  <c r="R62" i="2"/>
  <c r="T62" i="2"/>
  <c r="Z62" i="2"/>
  <c r="AB62" i="2"/>
  <c r="P63" i="2"/>
  <c r="R63" i="2" s="1"/>
  <c r="T63" i="2"/>
  <c r="Z63" i="2"/>
  <c r="AB63" i="2" s="1"/>
  <c r="AA63" i="2"/>
  <c r="P64" i="2"/>
  <c r="R64" i="2"/>
  <c r="T64" i="2"/>
  <c r="Z64" i="2"/>
  <c r="AB64" i="2" s="1"/>
  <c r="AA64" i="2"/>
  <c r="P65" i="2"/>
  <c r="R65" i="2"/>
  <c r="T65" i="2"/>
  <c r="Z65" i="2"/>
  <c r="AA65" i="2"/>
  <c r="AB65" i="2"/>
  <c r="P66" i="2"/>
  <c r="R66" i="2"/>
  <c r="T66" i="2"/>
  <c r="Z66" i="2"/>
  <c r="AA66" i="2"/>
  <c r="AB66" i="2"/>
  <c r="AC63" i="2" l="1"/>
  <c r="AB68" i="2"/>
  <c r="AC64" i="2"/>
  <c r="AC65" i="2"/>
  <c r="AC61" i="2"/>
  <c r="E147" i="6"/>
  <c r="E148" i="6"/>
  <c r="C153" i="6"/>
  <c r="E149" i="6" s="1"/>
  <c r="AC62" i="2" l="1"/>
  <c r="AC66" i="2"/>
  <c r="E146" i="6"/>
  <c r="E153" i="6" s="1"/>
  <c r="E151" i="6"/>
  <c r="E150" i="6"/>
  <c r="H21" i="21"/>
  <c r="R91" i="1"/>
  <c r="K91" i="1"/>
  <c r="R90" i="1"/>
  <c r="O90" i="1"/>
  <c r="N90" i="1"/>
  <c r="K90" i="1"/>
  <c r="R89" i="1"/>
  <c r="O89" i="1"/>
  <c r="N89" i="1"/>
  <c r="K89" i="1"/>
  <c r="R88" i="1"/>
  <c r="O88" i="1"/>
  <c r="N88" i="1"/>
  <c r="K88" i="1"/>
  <c r="R87" i="1"/>
  <c r="O87" i="1"/>
  <c r="N87" i="1"/>
  <c r="K87" i="1"/>
  <c r="R86" i="1"/>
  <c r="O86" i="1"/>
  <c r="N86" i="1"/>
  <c r="K86" i="1"/>
  <c r="L26" i="10"/>
  <c r="L24" i="10"/>
  <c r="L22" i="10"/>
  <c r="L20" i="10"/>
  <c r="L18" i="10"/>
  <c r="L16" i="10"/>
  <c r="H26" i="10"/>
  <c r="H24" i="10"/>
  <c r="H22" i="10"/>
  <c r="H20" i="10"/>
  <c r="H18" i="10"/>
  <c r="H16" i="10"/>
  <c r="F21" i="21"/>
  <c r="Q114" i="8"/>
  <c r="O114" i="8"/>
  <c r="F87" i="1"/>
  <c r="M114" i="8"/>
  <c r="M103" i="8"/>
  <c r="F86" i="1"/>
  <c r="K114" i="8"/>
  <c r="K103" i="8"/>
  <c r="U367" i="8" l="1"/>
  <c r="W367" i="8"/>
  <c r="Y367" i="8"/>
  <c r="AA367" i="8"/>
  <c r="AC367" i="8"/>
  <c r="AE367" i="8"/>
  <c r="AG367" i="8"/>
  <c r="AG417" i="8"/>
  <c r="AE417" i="8"/>
  <c r="AC417" i="8"/>
  <c r="AA417" i="8"/>
  <c r="Y417" i="8"/>
  <c r="W417" i="8"/>
  <c r="D27" i="11" l="1"/>
  <c r="B364" i="8"/>
  <c r="A257" i="8"/>
  <c r="A256" i="8"/>
  <c r="A255" i="8"/>
  <c r="B248" i="8"/>
  <c r="A248" i="8"/>
  <c r="B246" i="8"/>
  <c r="A246" i="8"/>
  <c r="I102" i="8"/>
  <c r="A151" i="15"/>
  <c r="A150" i="15"/>
  <c r="A149" i="15"/>
  <c r="A148" i="15"/>
  <c r="A147" i="15"/>
  <c r="A146" i="15"/>
  <c r="A145" i="15"/>
  <c r="I142" i="15"/>
  <c r="B138" i="15"/>
  <c r="A138" i="15"/>
  <c r="B137" i="15"/>
  <c r="A137" i="15"/>
  <c r="B133" i="15"/>
  <c r="A133" i="15"/>
  <c r="B132" i="15"/>
  <c r="A132" i="15"/>
  <c r="B131" i="15"/>
  <c r="A131" i="15"/>
  <c r="B130" i="15"/>
  <c r="A130" i="15"/>
  <c r="B129" i="15"/>
  <c r="A129" i="15"/>
  <c r="B128" i="15"/>
  <c r="A128" i="15"/>
  <c r="B127" i="15"/>
  <c r="A127" i="15"/>
  <c r="B126" i="15"/>
  <c r="A126" i="15"/>
  <c r="B125" i="15"/>
  <c r="A125" i="15"/>
  <c r="B124" i="15"/>
  <c r="A124" i="15"/>
  <c r="B123" i="15"/>
  <c r="A123" i="15"/>
  <c r="B122" i="15"/>
  <c r="A122" i="15"/>
  <c r="B121" i="15"/>
  <c r="A121" i="15"/>
  <c r="B116" i="15"/>
  <c r="A116" i="15"/>
  <c r="B115" i="15"/>
  <c r="A115" i="15"/>
  <c r="B114" i="15"/>
  <c r="A114" i="15"/>
  <c r="B113" i="15"/>
  <c r="A113" i="15"/>
  <c r="B112" i="15"/>
  <c r="A112" i="15"/>
  <c r="B111" i="15"/>
  <c r="A111" i="15"/>
  <c r="B107" i="15"/>
  <c r="A107" i="15"/>
  <c r="B106" i="15"/>
  <c r="A106" i="15"/>
  <c r="B105" i="15"/>
  <c r="A105" i="15"/>
  <c r="B104" i="15"/>
  <c r="A104" i="15"/>
  <c r="B100" i="15"/>
  <c r="A100" i="15"/>
  <c r="B99" i="15"/>
  <c r="A99" i="15"/>
  <c r="B98" i="15"/>
  <c r="A98" i="15"/>
  <c r="B97" i="15"/>
  <c r="A97" i="15"/>
  <c r="B96" i="15"/>
  <c r="A96" i="15"/>
  <c r="B90" i="15"/>
  <c r="A90" i="15"/>
  <c r="B89" i="15"/>
  <c r="A89" i="15"/>
  <c r="B88" i="15"/>
  <c r="A88" i="15"/>
  <c r="B87" i="15"/>
  <c r="A87" i="15"/>
  <c r="B86" i="15"/>
  <c r="A86" i="15"/>
  <c r="B85" i="15"/>
  <c r="A85" i="15"/>
  <c r="B84" i="15"/>
  <c r="A84" i="15"/>
  <c r="B83" i="15"/>
  <c r="A83" i="15"/>
  <c r="B82" i="15"/>
  <c r="A82" i="15"/>
  <c r="B81" i="15"/>
  <c r="A81" i="15"/>
  <c r="B80" i="15"/>
  <c r="A80" i="15"/>
  <c r="B76" i="15"/>
  <c r="A76" i="15"/>
  <c r="B75" i="15"/>
  <c r="A75" i="15"/>
  <c r="B74" i="15"/>
  <c r="A74" i="15"/>
  <c r="B73" i="15"/>
  <c r="A73" i="15"/>
  <c r="B72" i="15"/>
  <c r="A72" i="15"/>
  <c r="B71" i="15"/>
  <c r="A71" i="15"/>
  <c r="B70" i="15"/>
  <c r="A70" i="15"/>
  <c r="B69" i="15"/>
  <c r="A69" i="15"/>
  <c r="B68" i="15"/>
  <c r="A68" i="15"/>
  <c r="B67" i="15"/>
  <c r="A67" i="15"/>
  <c r="B66" i="15"/>
  <c r="A66" i="15"/>
  <c r="B65" i="15"/>
  <c r="A65" i="15"/>
  <c r="B61" i="15"/>
  <c r="A61" i="15"/>
  <c r="B60" i="15"/>
  <c r="A60" i="15"/>
  <c r="B56" i="15"/>
  <c r="A56" i="15"/>
  <c r="B55" i="15"/>
  <c r="A55" i="15"/>
  <c r="B52" i="15"/>
  <c r="A52" i="15"/>
  <c r="B51" i="15"/>
  <c r="A51" i="15"/>
  <c r="B50" i="15"/>
  <c r="A50" i="15"/>
  <c r="B47" i="15"/>
  <c r="A47" i="15"/>
  <c r="B46" i="15"/>
  <c r="A46" i="15"/>
  <c r="B45" i="15"/>
  <c r="A45" i="15"/>
  <c r="B42" i="15"/>
  <c r="A42" i="15"/>
  <c r="B41" i="15"/>
  <c r="A41" i="15"/>
  <c r="B38" i="15"/>
  <c r="A38" i="15"/>
  <c r="B37" i="15"/>
  <c r="A37" i="15"/>
  <c r="B36" i="15"/>
  <c r="A36" i="15"/>
  <c r="B32" i="15"/>
  <c r="A32" i="15"/>
  <c r="B31" i="15"/>
  <c r="A31" i="15"/>
  <c r="B30" i="15"/>
  <c r="A30" i="15"/>
  <c r="B29" i="15"/>
  <c r="A29" i="15"/>
  <c r="B28" i="15"/>
  <c r="A28" i="15"/>
  <c r="B27" i="15"/>
  <c r="A27" i="15"/>
  <c r="B26" i="15"/>
  <c r="A26" i="15"/>
  <c r="B25" i="15"/>
  <c r="A25" i="15"/>
  <c r="B24" i="15"/>
  <c r="A24" i="15"/>
  <c r="B23" i="15"/>
  <c r="A23" i="15"/>
  <c r="B22" i="15"/>
  <c r="A22" i="15"/>
  <c r="B18" i="15"/>
  <c r="A18" i="15"/>
  <c r="B17" i="15"/>
  <c r="A17" i="15"/>
  <c r="B16" i="15"/>
  <c r="A16" i="15"/>
  <c r="B15" i="15"/>
  <c r="A15" i="15"/>
  <c r="B11" i="15"/>
  <c r="A11" i="15"/>
  <c r="B10" i="15"/>
  <c r="A10" i="15"/>
  <c r="B8" i="15"/>
  <c r="A8" i="15"/>
  <c r="B7" i="15"/>
  <c r="A7" i="15"/>
  <c r="S167" i="22"/>
  <c r="X109" i="22"/>
  <c r="X102" i="22"/>
  <c r="X101" i="22"/>
  <c r="X100" i="22"/>
  <c r="X99" i="22"/>
  <c r="X98" i="22"/>
  <c r="X97" i="22"/>
  <c r="X91" i="22"/>
  <c r="X88" i="22"/>
  <c r="X66" i="22"/>
  <c r="X61" i="22"/>
  <c r="X57" i="22"/>
  <c r="X56" i="22"/>
  <c r="X55" i="22"/>
  <c r="X54" i="22"/>
  <c r="X53" i="22"/>
  <c r="X51" i="22"/>
  <c r="X50" i="22"/>
  <c r="X49" i="22"/>
  <c r="X48" i="22"/>
  <c r="X44" i="22"/>
  <c r="X43" i="22"/>
  <c r="X42" i="22"/>
  <c r="X38" i="22"/>
  <c r="X37" i="22"/>
  <c r="X36" i="22"/>
  <c r="X35" i="22"/>
  <c r="X34" i="22"/>
  <c r="X33" i="22"/>
  <c r="X32" i="22"/>
  <c r="X28" i="22"/>
  <c r="X24" i="22"/>
  <c r="X23" i="22"/>
  <c r="X22" i="22"/>
  <c r="X21" i="22"/>
  <c r="X20" i="22"/>
  <c r="X19" i="22"/>
  <c r="X18" i="22"/>
  <c r="X17" i="22"/>
  <c r="X16" i="22"/>
  <c r="X15" i="22"/>
  <c r="B367" i="8"/>
  <c r="B366" i="8"/>
  <c r="B365" i="8"/>
  <c r="B363" i="8"/>
  <c r="B362" i="8"/>
  <c r="G8" i="23"/>
  <c r="G6" i="23"/>
  <c r="B152" i="8"/>
  <c r="B103" i="8"/>
  <c r="A103" i="8"/>
  <c r="G5" i="23"/>
  <c r="G4" i="23"/>
  <c r="A254" i="8" l="1"/>
  <c r="B121" i="8"/>
  <c r="C6" i="23" l="1"/>
  <c r="C5" i="23"/>
  <c r="I228" i="8"/>
  <c r="E5" i="23" s="1"/>
  <c r="I122" i="8" l="1"/>
  <c r="V43" i="22" l="1"/>
  <c r="V44" i="22"/>
  <c r="V45" i="22"/>
  <c r="V46" i="22"/>
  <c r="V47" i="22"/>
  <c r="V48" i="22"/>
  <c r="V49" i="22"/>
  <c r="V50" i="22"/>
  <c r="V51" i="22"/>
  <c r="V52" i="22"/>
  <c r="V53" i="22"/>
  <c r="V54" i="22"/>
  <c r="V55" i="22"/>
  <c r="V56" i="22"/>
  <c r="V57" i="22"/>
  <c r="V58" i="22"/>
  <c r="V59" i="22"/>
  <c r="V60" i="22"/>
  <c r="V61" i="22"/>
  <c r="V62" i="22"/>
  <c r="V42" i="22"/>
  <c r="V33" i="22"/>
  <c r="V34" i="22"/>
  <c r="V35" i="22"/>
  <c r="V36" i="22"/>
  <c r="V37" i="22"/>
  <c r="V38" i="22"/>
  <c r="V32" i="22"/>
  <c r="V28" i="22"/>
  <c r="V89" i="22"/>
  <c r="V90" i="22"/>
  <c r="V91" i="22"/>
  <c r="V92" i="22"/>
  <c r="V93" i="22"/>
  <c r="V94" i="22"/>
  <c r="V95" i="22"/>
  <c r="V96" i="22"/>
  <c r="V97" i="22"/>
  <c r="V98" i="22"/>
  <c r="V99" i="22"/>
  <c r="V100" i="22"/>
  <c r="V101" i="22"/>
  <c r="V102" i="22"/>
  <c r="V88" i="22"/>
  <c r="V84" i="22"/>
  <c r="V67" i="22"/>
  <c r="S153" i="22"/>
  <c r="O153" i="22"/>
  <c r="M153" i="22"/>
  <c r="K153" i="22"/>
  <c r="S148" i="22"/>
  <c r="O148" i="22"/>
  <c r="M148" i="22"/>
  <c r="K148" i="22"/>
  <c r="V142" i="22" l="1"/>
  <c r="V141" i="22"/>
  <c r="V140" i="22"/>
  <c r="V139" i="22"/>
  <c r="V138" i="22"/>
  <c r="V132" i="22"/>
  <c r="V131" i="22"/>
  <c r="V130" i="22"/>
  <c r="V129" i="22"/>
  <c r="V24" i="22"/>
  <c r="V23" i="22"/>
  <c r="V22" i="22"/>
  <c r="V21" i="22"/>
  <c r="V20" i="22"/>
  <c r="V19" i="22"/>
  <c r="V18" i="22"/>
  <c r="V17" i="22"/>
  <c r="V16" i="22"/>
  <c r="V15" i="22"/>
  <c r="V14" i="22"/>
  <c r="S161" i="22"/>
  <c r="Q153" i="22"/>
  <c r="Q148" i="22"/>
  <c r="S142" i="22"/>
  <c r="Q142" i="22"/>
  <c r="O142" i="22"/>
  <c r="M142" i="22"/>
  <c r="K142" i="22"/>
  <c r="S141" i="22"/>
  <c r="Q141" i="22"/>
  <c r="O141" i="22"/>
  <c r="M141" i="22"/>
  <c r="K141" i="22"/>
  <c r="S140" i="22"/>
  <c r="Q140" i="22"/>
  <c r="O140" i="22"/>
  <c r="M140" i="22"/>
  <c r="K140" i="22"/>
  <c r="S139" i="22"/>
  <c r="Q139" i="22"/>
  <c r="O139" i="22"/>
  <c r="M139" i="22"/>
  <c r="K139" i="22"/>
  <c r="S138" i="22"/>
  <c r="Q138" i="22"/>
  <c r="O138" i="22"/>
  <c r="M138" i="22"/>
  <c r="K138" i="22"/>
  <c r="S132" i="22"/>
  <c r="Q132" i="22"/>
  <c r="O132" i="22"/>
  <c r="M132" i="22"/>
  <c r="K132" i="22"/>
  <c r="S131" i="22"/>
  <c r="Q131" i="22"/>
  <c r="O131" i="22"/>
  <c r="M131" i="22"/>
  <c r="K131" i="22"/>
  <c r="S130" i="22"/>
  <c r="Q130" i="22"/>
  <c r="O130" i="22"/>
  <c r="M130" i="22"/>
  <c r="K130" i="22"/>
  <c r="S129" i="22"/>
  <c r="Q129" i="22"/>
  <c r="O129" i="22"/>
  <c r="M129" i="22"/>
  <c r="K129" i="22"/>
  <c r="S128" i="22"/>
  <c r="Q128" i="22"/>
  <c r="O128" i="22"/>
  <c r="M128" i="22"/>
  <c r="K128" i="22"/>
  <c r="S127" i="22"/>
  <c r="Q127" i="22"/>
  <c r="O127" i="22"/>
  <c r="M127" i="22"/>
  <c r="K127" i="22"/>
  <c r="S119" i="22"/>
  <c r="Q119" i="22"/>
  <c r="O119" i="22"/>
  <c r="M119" i="22"/>
  <c r="K119" i="22"/>
  <c r="S118" i="22"/>
  <c r="Q118" i="22"/>
  <c r="O118" i="22"/>
  <c r="M118" i="22"/>
  <c r="K118" i="22"/>
  <c r="I321" i="8" s="1"/>
  <c r="S117" i="22"/>
  <c r="Q117" i="22"/>
  <c r="O117" i="22"/>
  <c r="M117" i="22"/>
  <c r="K117" i="22"/>
  <c r="S116" i="22"/>
  <c r="Q116" i="22"/>
  <c r="O116" i="22"/>
  <c r="M116" i="22"/>
  <c r="K116" i="22"/>
  <c r="S115" i="22"/>
  <c r="Q115" i="22"/>
  <c r="O115" i="22"/>
  <c r="M115" i="22"/>
  <c r="K115" i="22"/>
  <c r="S114" i="22"/>
  <c r="Q114" i="22"/>
  <c r="O114" i="22"/>
  <c r="M114" i="22"/>
  <c r="K114" i="22"/>
  <c r="S113" i="22"/>
  <c r="Q113" i="22"/>
  <c r="O113" i="22"/>
  <c r="M113" i="22"/>
  <c r="K113" i="22"/>
  <c r="S112" i="22"/>
  <c r="Q112" i="22"/>
  <c r="O112" i="22"/>
  <c r="M112" i="22"/>
  <c r="K112" i="22"/>
  <c r="S111" i="22"/>
  <c r="Q111" i="22"/>
  <c r="O111" i="22"/>
  <c r="M111" i="22"/>
  <c r="K111" i="22"/>
  <c r="S110" i="22"/>
  <c r="Q110" i="22"/>
  <c r="O110" i="22"/>
  <c r="M110" i="22"/>
  <c r="K110" i="22"/>
  <c r="S109" i="22"/>
  <c r="Q109" i="22"/>
  <c r="O109" i="22"/>
  <c r="M109" i="22"/>
  <c r="K109" i="22"/>
  <c r="S108" i="22"/>
  <c r="Q108" i="22"/>
  <c r="O108" i="22"/>
  <c r="M108" i="22"/>
  <c r="K108" i="22"/>
  <c r="S102" i="22"/>
  <c r="Q102" i="22"/>
  <c r="O102" i="22"/>
  <c r="I330" i="8" s="1"/>
  <c r="M102" i="22"/>
  <c r="K102" i="22"/>
  <c r="S101" i="22"/>
  <c r="Q101" i="22"/>
  <c r="O101" i="22"/>
  <c r="I329" i="8" s="1"/>
  <c r="M101" i="22"/>
  <c r="K101" i="22"/>
  <c r="S100" i="22"/>
  <c r="Q100" i="22"/>
  <c r="O100" i="22"/>
  <c r="I328" i="8" s="1"/>
  <c r="M100" i="22"/>
  <c r="K100" i="22"/>
  <c r="S99" i="22"/>
  <c r="Q99" i="22"/>
  <c r="O99" i="22"/>
  <c r="I327" i="8" s="1"/>
  <c r="M99" i="22"/>
  <c r="K99" i="22"/>
  <c r="S98" i="22"/>
  <c r="Q98" i="22"/>
  <c r="O98" i="22"/>
  <c r="I326" i="8" s="1"/>
  <c r="M98" i="22"/>
  <c r="K98" i="22"/>
  <c r="S97" i="22"/>
  <c r="Q97" i="22"/>
  <c r="O97" i="22"/>
  <c r="I325" i="8" s="1"/>
  <c r="M97" i="22"/>
  <c r="K97" i="22"/>
  <c r="S96" i="22"/>
  <c r="Q96" i="22"/>
  <c r="O96" i="22"/>
  <c r="M96" i="22"/>
  <c r="K96" i="22"/>
  <c r="S95" i="22"/>
  <c r="Q95" i="22"/>
  <c r="O95" i="22"/>
  <c r="M95" i="22"/>
  <c r="K95" i="22"/>
  <c r="S94" i="22"/>
  <c r="Q94" i="22"/>
  <c r="O94" i="22"/>
  <c r="M94" i="22"/>
  <c r="K94" i="22"/>
  <c r="S93" i="22"/>
  <c r="Q93" i="22"/>
  <c r="O93" i="22"/>
  <c r="M93" i="22"/>
  <c r="K93" i="22"/>
  <c r="S92" i="22"/>
  <c r="Q92" i="22"/>
  <c r="O92" i="22"/>
  <c r="M92" i="22"/>
  <c r="K92" i="22"/>
  <c r="S91" i="22"/>
  <c r="Q91" i="22"/>
  <c r="O91" i="22"/>
  <c r="M91" i="22"/>
  <c r="K91" i="22"/>
  <c r="S90" i="22"/>
  <c r="Q90" i="22"/>
  <c r="O90" i="22"/>
  <c r="M90" i="22"/>
  <c r="K90" i="22"/>
  <c r="S89" i="22"/>
  <c r="Q89" i="22"/>
  <c r="O89" i="22"/>
  <c r="M89" i="22"/>
  <c r="K89" i="22"/>
  <c r="S88" i="22"/>
  <c r="Q88" i="22"/>
  <c r="O88" i="22"/>
  <c r="M88" i="22"/>
  <c r="K88" i="22"/>
  <c r="S85" i="22"/>
  <c r="Q85" i="22"/>
  <c r="O85" i="22"/>
  <c r="M85" i="22"/>
  <c r="K85" i="22"/>
  <c r="S84" i="22"/>
  <c r="Q84" i="22"/>
  <c r="O84" i="22"/>
  <c r="M84" i="22"/>
  <c r="K84" i="22"/>
  <c r="S80" i="22"/>
  <c r="Q80" i="22"/>
  <c r="O80" i="22"/>
  <c r="M80" i="22"/>
  <c r="K80" i="22"/>
  <c r="S79" i="22"/>
  <c r="Q79" i="22"/>
  <c r="O79" i="22"/>
  <c r="M79" i="22"/>
  <c r="K79" i="22"/>
  <c r="S78" i="22"/>
  <c r="Q78" i="22"/>
  <c r="O78" i="22"/>
  <c r="M78" i="22"/>
  <c r="K78" i="22"/>
  <c r="S77" i="22"/>
  <c r="Q77" i="22"/>
  <c r="O77" i="22"/>
  <c r="M77" i="22"/>
  <c r="K77" i="22"/>
  <c r="S76" i="22"/>
  <c r="Q76" i="22"/>
  <c r="O76" i="22"/>
  <c r="M76" i="22"/>
  <c r="K76" i="22"/>
  <c r="S75" i="22"/>
  <c r="Q75" i="22"/>
  <c r="O75" i="22"/>
  <c r="M75" i="22"/>
  <c r="K75" i="22"/>
  <c r="S74" i="22"/>
  <c r="Q74" i="22"/>
  <c r="O74" i="22"/>
  <c r="M74" i="22"/>
  <c r="K74" i="22"/>
  <c r="S73" i="22"/>
  <c r="Q73" i="22"/>
  <c r="O73" i="22"/>
  <c r="M73" i="22"/>
  <c r="K73" i="22"/>
  <c r="S72" i="22"/>
  <c r="Q72" i="22"/>
  <c r="O72" i="22"/>
  <c r="M72" i="22"/>
  <c r="K72" i="22"/>
  <c r="S71" i="22"/>
  <c r="Q71" i="22"/>
  <c r="O71" i="22"/>
  <c r="M71" i="22"/>
  <c r="K71" i="22"/>
  <c r="S70" i="22"/>
  <c r="Q70" i="22"/>
  <c r="O70" i="22"/>
  <c r="M70" i="22"/>
  <c r="K70" i="22"/>
  <c r="S69" i="22"/>
  <c r="Q69" i="22"/>
  <c r="O69" i="22"/>
  <c r="M69" i="22"/>
  <c r="K69" i="22"/>
  <c r="S68" i="22"/>
  <c r="Q68" i="22"/>
  <c r="O68" i="22"/>
  <c r="M68" i="22"/>
  <c r="K68" i="22"/>
  <c r="S67" i="22"/>
  <c r="Q67" i="22"/>
  <c r="O67" i="22"/>
  <c r="M67" i="22"/>
  <c r="K67" i="22"/>
  <c r="S62" i="22"/>
  <c r="Q62" i="22"/>
  <c r="O62" i="22"/>
  <c r="M62" i="22"/>
  <c r="K62" i="22"/>
  <c r="S61" i="22"/>
  <c r="Q61" i="22"/>
  <c r="O61" i="22"/>
  <c r="M61" i="22"/>
  <c r="K61" i="22"/>
  <c r="S60" i="22"/>
  <c r="Q60" i="22"/>
  <c r="O60" i="22"/>
  <c r="M60" i="22"/>
  <c r="K60" i="22"/>
  <c r="S59" i="22"/>
  <c r="Q59" i="22"/>
  <c r="O59" i="22"/>
  <c r="M59" i="22"/>
  <c r="K59" i="22"/>
  <c r="S58" i="22"/>
  <c r="Q58" i="22"/>
  <c r="O58" i="22"/>
  <c r="M58" i="22"/>
  <c r="K58" i="22"/>
  <c r="S57" i="22"/>
  <c r="Q57" i="22"/>
  <c r="O57" i="22"/>
  <c r="M57" i="22"/>
  <c r="K57" i="22"/>
  <c r="S56" i="22"/>
  <c r="Q56" i="22"/>
  <c r="O56" i="22"/>
  <c r="M56" i="22"/>
  <c r="K56" i="22"/>
  <c r="S55" i="22"/>
  <c r="Q55" i="22"/>
  <c r="O55" i="22"/>
  <c r="M55" i="22"/>
  <c r="K55" i="22"/>
  <c r="S54" i="22"/>
  <c r="Q54" i="22"/>
  <c r="O54" i="22"/>
  <c r="M54" i="22"/>
  <c r="K54" i="22"/>
  <c r="S53" i="22"/>
  <c r="Q53" i="22"/>
  <c r="O53" i="22"/>
  <c r="M53" i="22"/>
  <c r="K53" i="22"/>
  <c r="S52" i="22"/>
  <c r="Q52" i="22"/>
  <c r="O52" i="22"/>
  <c r="M52" i="22"/>
  <c r="K52" i="22"/>
  <c r="S51" i="22"/>
  <c r="Q51" i="22"/>
  <c r="O51" i="22"/>
  <c r="M51" i="22"/>
  <c r="K51" i="22"/>
  <c r="S50" i="22"/>
  <c r="Q50" i="22"/>
  <c r="O50" i="22"/>
  <c r="M50" i="22"/>
  <c r="K50" i="22"/>
  <c r="S49" i="22"/>
  <c r="Q49" i="22"/>
  <c r="O49" i="22"/>
  <c r="M49" i="22"/>
  <c r="K49" i="22"/>
  <c r="S48" i="22"/>
  <c r="Q48" i="22"/>
  <c r="O48" i="22"/>
  <c r="M48" i="22"/>
  <c r="K48" i="22"/>
  <c r="S47" i="22"/>
  <c r="Q47" i="22"/>
  <c r="O47" i="22"/>
  <c r="M47" i="22"/>
  <c r="K47" i="22"/>
  <c r="S46" i="22"/>
  <c r="Q46" i="22"/>
  <c r="O46" i="22"/>
  <c r="M46" i="22"/>
  <c r="K46" i="22"/>
  <c r="S45" i="22"/>
  <c r="Q45" i="22"/>
  <c r="O45" i="22"/>
  <c r="M45" i="22"/>
  <c r="K45" i="22"/>
  <c r="S44" i="22"/>
  <c r="Q44" i="22"/>
  <c r="O44" i="22"/>
  <c r="M44" i="22"/>
  <c r="K44" i="22"/>
  <c r="S43" i="22"/>
  <c r="Q43" i="22"/>
  <c r="O43" i="22"/>
  <c r="M43" i="22"/>
  <c r="K43" i="22"/>
  <c r="S42" i="22"/>
  <c r="Q42" i="22"/>
  <c r="O42" i="22"/>
  <c r="M42" i="22"/>
  <c r="K42" i="22"/>
  <c r="S38" i="22"/>
  <c r="Q38" i="22"/>
  <c r="O38" i="22"/>
  <c r="M38" i="22"/>
  <c r="K38" i="22"/>
  <c r="S37" i="22"/>
  <c r="Q37" i="22"/>
  <c r="O37" i="22"/>
  <c r="M37" i="22"/>
  <c r="K37" i="22"/>
  <c r="S36" i="22"/>
  <c r="Q36" i="22"/>
  <c r="O36" i="22"/>
  <c r="M36" i="22"/>
  <c r="K36" i="22"/>
  <c r="S35" i="22"/>
  <c r="Q35" i="22"/>
  <c r="O35" i="22"/>
  <c r="M35" i="22"/>
  <c r="K35" i="22"/>
  <c r="S34" i="22"/>
  <c r="Q34" i="22"/>
  <c r="O34" i="22"/>
  <c r="M34" i="22"/>
  <c r="K34" i="22"/>
  <c r="S33" i="22"/>
  <c r="Q33" i="22"/>
  <c r="O33" i="22"/>
  <c r="M33" i="22"/>
  <c r="K33" i="22"/>
  <c r="S32" i="22"/>
  <c r="Q32" i="22"/>
  <c r="O32" i="22"/>
  <c r="M32" i="22"/>
  <c r="K32" i="22"/>
  <c r="Q29" i="22"/>
  <c r="S28" i="22"/>
  <c r="Q28" i="22"/>
  <c r="O28" i="22"/>
  <c r="M28" i="22"/>
  <c r="K28" i="22"/>
  <c r="S24" i="22"/>
  <c r="Q24" i="22"/>
  <c r="O24" i="22"/>
  <c r="M24" i="22"/>
  <c r="K24" i="22"/>
  <c r="S23" i="22"/>
  <c r="Q23" i="22"/>
  <c r="O23" i="22"/>
  <c r="M23" i="22"/>
  <c r="K23" i="22"/>
  <c r="S22" i="22"/>
  <c r="Q22" i="22"/>
  <c r="O22" i="22"/>
  <c r="M22" i="22"/>
  <c r="K22" i="22"/>
  <c r="S21" i="22"/>
  <c r="Q21" i="22"/>
  <c r="O21" i="22"/>
  <c r="M21" i="22"/>
  <c r="K21" i="22"/>
  <c r="S20" i="22"/>
  <c r="Q20" i="22"/>
  <c r="O20" i="22"/>
  <c r="M20" i="22"/>
  <c r="K20" i="22"/>
  <c r="S19" i="22"/>
  <c r="Q19" i="22"/>
  <c r="O19" i="22"/>
  <c r="M19" i="22"/>
  <c r="K19" i="22"/>
  <c r="S18" i="22"/>
  <c r="Q18" i="22"/>
  <c r="O18" i="22"/>
  <c r="M18" i="22"/>
  <c r="K18" i="22"/>
  <c r="S17" i="22"/>
  <c r="Q17" i="22"/>
  <c r="O17" i="22"/>
  <c r="M17" i="22"/>
  <c r="K17" i="22"/>
  <c r="S16" i="22"/>
  <c r="Q16" i="22"/>
  <c r="O16" i="22"/>
  <c r="M16" i="22"/>
  <c r="K16" i="22"/>
  <c r="S15" i="22"/>
  <c r="Q15" i="22"/>
  <c r="O15" i="22"/>
  <c r="M15" i="22"/>
  <c r="K15" i="22"/>
  <c r="S14" i="22"/>
  <c r="Q14" i="22"/>
  <c r="O14" i="22"/>
  <c r="M14" i="22"/>
  <c r="K14" i="22"/>
  <c r="I324" i="8" l="1"/>
  <c r="I323" i="8"/>
  <c r="I255" i="8" l="1"/>
  <c r="I246" i="8"/>
  <c r="AG356" i="8" l="1"/>
  <c r="AE356" i="8"/>
  <c r="AC356" i="8"/>
  <c r="AA356" i="8"/>
  <c r="Y356" i="8"/>
  <c r="W356" i="8"/>
  <c r="AG306" i="8"/>
  <c r="AE306" i="8"/>
  <c r="AC306" i="8"/>
  <c r="AA306" i="8"/>
  <c r="Y306" i="8"/>
  <c r="W306" i="8"/>
  <c r="U254" i="8"/>
  <c r="S254" i="8"/>
  <c r="Q254" i="8"/>
  <c r="O254" i="8"/>
  <c r="M254" i="8"/>
  <c r="K254" i="8"/>
  <c r="U122" i="8"/>
  <c r="S122" i="8"/>
  <c r="Q122" i="8"/>
  <c r="O122" i="8"/>
  <c r="M122" i="8"/>
  <c r="K122" i="8"/>
  <c r="A304" i="8" l="1"/>
  <c r="B67" i="8"/>
  <c r="B68" i="8"/>
  <c r="I103" i="8" l="1"/>
  <c r="O98" i="1" l="1"/>
  <c r="O99" i="1"/>
  <c r="S155" i="22"/>
  <c r="W153" i="22"/>
  <c r="O155" i="22"/>
  <c r="M155" i="22"/>
  <c r="K155" i="22"/>
  <c r="I153" i="22"/>
  <c r="G153" i="22"/>
  <c r="E153" i="22"/>
  <c r="S150" i="22"/>
  <c r="O150" i="22"/>
  <c r="M150" i="22"/>
  <c r="K150" i="22"/>
  <c r="I338" i="8"/>
  <c r="U14" i="22"/>
  <c r="W155" i="22" l="1"/>
  <c r="I230" i="8" s="1"/>
  <c r="U142" i="22"/>
  <c r="U138" i="22"/>
  <c r="U148" i="22"/>
  <c r="U140" i="22"/>
  <c r="U132" i="22"/>
  <c r="U129" i="22"/>
  <c r="U139" i="22"/>
  <c r="U130" i="22"/>
  <c r="U141" i="22"/>
  <c r="U131" i="22"/>
  <c r="E123" i="2" l="1"/>
  <c r="E122" i="2"/>
  <c r="E121" i="2"/>
  <c r="E120" i="2"/>
  <c r="E119" i="2"/>
  <c r="E118" i="2"/>
  <c r="C66" i="2" l="1"/>
  <c r="C65" i="2"/>
  <c r="C64" i="2"/>
  <c r="C63" i="2"/>
  <c r="C62" i="2"/>
  <c r="G62" i="2" s="1"/>
  <c r="C61" i="2"/>
  <c r="G61" i="2" s="1"/>
  <c r="C134" i="6" l="1"/>
  <c r="C133" i="6"/>
  <c r="C132" i="6"/>
  <c r="C131" i="6"/>
  <c r="C130" i="6"/>
  <c r="C129" i="6"/>
  <c r="C116" i="6" l="1"/>
  <c r="C115" i="6"/>
  <c r="C114" i="6"/>
  <c r="C113" i="6"/>
  <c r="C112" i="6"/>
  <c r="C111" i="6"/>
  <c r="I61" i="15" l="1"/>
  <c r="I60" i="15"/>
  <c r="I56" i="15"/>
  <c r="I55" i="15"/>
  <c r="I52" i="15"/>
  <c r="I51" i="15"/>
  <c r="I50" i="15"/>
  <c r="I42" i="15"/>
  <c r="I41" i="15"/>
  <c r="B19" i="15"/>
  <c r="I43" i="15" l="1"/>
  <c r="I53" i="15"/>
  <c r="I57" i="15"/>
  <c r="I62" i="15"/>
  <c r="H61" i="15"/>
  <c r="H60" i="15"/>
  <c r="B57" i="15"/>
  <c r="H56" i="15"/>
  <c r="H55" i="15"/>
  <c r="B53" i="15"/>
  <c r="H52" i="15"/>
  <c r="H51" i="15"/>
  <c r="I37" i="15"/>
  <c r="H42" i="15"/>
  <c r="H41" i="15"/>
  <c r="B43" i="15"/>
  <c r="H37" i="15"/>
  <c r="H38" i="15"/>
  <c r="H36" i="15"/>
  <c r="H43" i="15" l="1"/>
  <c r="H62" i="15"/>
  <c r="H57" i="15"/>
  <c r="A53" i="15"/>
  <c r="H50" i="15"/>
  <c r="H53" i="15" s="1"/>
  <c r="A57" i="15"/>
  <c r="A43" i="15"/>
  <c r="C68" i="2" l="1"/>
  <c r="O104" i="1" l="1"/>
  <c r="I38" i="15"/>
  <c r="I36" i="15"/>
  <c r="A4" i="10" l="1"/>
  <c r="A3" i="10"/>
  <c r="Q49" i="1" l="1"/>
  <c r="D23" i="16" l="1"/>
  <c r="L333" i="8" l="1"/>
  <c r="N333" i="8"/>
  <c r="P333" i="8"/>
  <c r="R333" i="8"/>
  <c r="T333" i="8"/>
  <c r="V333" i="8"/>
  <c r="X333" i="8"/>
  <c r="Z333" i="8"/>
  <c r="AB333" i="8"/>
  <c r="AD333" i="8"/>
  <c r="AF333" i="8"/>
  <c r="AI332" i="8"/>
  <c r="K102" i="8" l="1"/>
  <c r="L405" i="8" l="1"/>
  <c r="N405" i="8"/>
  <c r="P405" i="8"/>
  <c r="R405" i="8"/>
  <c r="T405" i="8"/>
  <c r="V405" i="8"/>
  <c r="X405" i="8"/>
  <c r="Z405" i="8"/>
  <c r="AB405" i="8"/>
  <c r="AD405" i="8"/>
  <c r="AF405" i="8"/>
  <c r="I367" i="8" l="1"/>
  <c r="I366" i="8"/>
  <c r="I364" i="8"/>
  <c r="I365" i="8"/>
  <c r="AG364" i="8" l="1"/>
  <c r="AE364" i="8"/>
  <c r="AC364" i="8"/>
  <c r="AA364" i="8"/>
  <c r="Y364" i="8"/>
  <c r="W364" i="8"/>
  <c r="I363" i="8"/>
  <c r="I362" i="8"/>
  <c r="AC362" i="8" l="1"/>
  <c r="AA362" i="8"/>
  <c r="Y362" i="8"/>
  <c r="S362" i="8"/>
  <c r="W362" i="8"/>
  <c r="U362" i="8"/>
  <c r="AG362" i="8"/>
  <c r="Q362" i="8"/>
  <c r="AE362" i="8"/>
  <c r="O362" i="8"/>
  <c r="X103" i="22"/>
  <c r="Y66" i="22"/>
  <c r="W167" i="22" l="1"/>
  <c r="I45" i="15" l="1"/>
  <c r="H45" i="15"/>
  <c r="N119" i="2" l="1"/>
  <c r="N61" i="2" l="1"/>
  <c r="N118" i="2"/>
  <c r="N64" i="2"/>
  <c r="N121" i="2"/>
  <c r="N65" i="2"/>
  <c r="N122" i="2"/>
  <c r="N63" i="2"/>
  <c r="N120" i="2"/>
  <c r="N66" i="2"/>
  <c r="N123" i="2"/>
  <c r="N62" i="2"/>
  <c r="Y109" i="22"/>
  <c r="Y99" i="22"/>
  <c r="Y98" i="22"/>
  <c r="Y102" i="22"/>
  <c r="Y101" i="22"/>
  <c r="Y100" i="22"/>
  <c r="Y97" i="22"/>
  <c r="Y91" i="22"/>
  <c r="Y88" i="22"/>
  <c r="Y45" i="22"/>
  <c r="Y46" i="22"/>
  <c r="Y47" i="22"/>
  <c r="Y50" i="22"/>
  <c r="Y51" i="22"/>
  <c r="Y52" i="22"/>
  <c r="Y58" i="22"/>
  <c r="Y59" i="22"/>
  <c r="Y60" i="22"/>
  <c r="Y62" i="22"/>
  <c r="Y61" i="22"/>
  <c r="Y57" i="22"/>
  <c r="Y56" i="22"/>
  <c r="Y55" i="22"/>
  <c r="Y54" i="22"/>
  <c r="Y53" i="22"/>
  <c r="Y49" i="22"/>
  <c r="Y48" i="22"/>
  <c r="Y44" i="22"/>
  <c r="Y43" i="22"/>
  <c r="Y42" i="22"/>
  <c r="Y28" i="22"/>
  <c r="Y29" i="22" s="1"/>
  <c r="Y35" i="22"/>
  <c r="Y36" i="22"/>
  <c r="Y38" i="22"/>
  <c r="Y37" i="22"/>
  <c r="Y34" i="22"/>
  <c r="Y33" i="22"/>
  <c r="X39" i="22"/>
  <c r="X29" i="22"/>
  <c r="Y14" i="22"/>
  <c r="Y24" i="22"/>
  <c r="Y23" i="22"/>
  <c r="Y22" i="22"/>
  <c r="Y21" i="22"/>
  <c r="Y20" i="22"/>
  <c r="Y19" i="22"/>
  <c r="Y18" i="22"/>
  <c r="Y17" i="22"/>
  <c r="Y16" i="22"/>
  <c r="Y15" i="22"/>
  <c r="B238" i="8"/>
  <c r="N102" i="2" l="1"/>
  <c r="N70" i="2"/>
  <c r="Y63" i="22"/>
  <c r="Y103" i="22"/>
  <c r="Y25" i="22"/>
  <c r="Y107" i="22"/>
  <c r="Y32" i="22"/>
  <c r="Y39" i="22" s="1"/>
  <c r="X63" i="22"/>
  <c r="X25" i="22"/>
  <c r="X107" i="22"/>
  <c r="E64" i="2" l="1"/>
  <c r="G64" i="2" s="1"/>
  <c r="E103" i="2" s="1"/>
  <c r="E65" i="2"/>
  <c r="G65" i="2" s="1"/>
  <c r="E104" i="2" s="1"/>
  <c r="E66" i="2"/>
  <c r="G66" i="2" s="1"/>
  <c r="E105" i="2" s="1"/>
  <c r="E63" i="2"/>
  <c r="Y105" i="22"/>
  <c r="Y111" i="22" s="1"/>
  <c r="A232" i="8" s="1"/>
  <c r="X105" i="22"/>
  <c r="G63" i="2" l="1"/>
  <c r="E102" i="2" s="1"/>
  <c r="P102" i="2" s="1"/>
  <c r="E68" i="2"/>
  <c r="I254" i="8"/>
  <c r="W140" i="22" l="1"/>
  <c r="W96" i="22"/>
  <c r="Z97" i="22"/>
  <c r="Z98" i="22"/>
  <c r="Z99" i="22"/>
  <c r="Z100" i="22"/>
  <c r="Z101" i="22"/>
  <c r="Z102" i="22"/>
  <c r="W97" i="22" l="1"/>
  <c r="W102" i="22"/>
  <c r="W100" i="22"/>
  <c r="W99" i="22"/>
  <c r="W98" i="22"/>
  <c r="W101" i="22"/>
  <c r="W89" i="22"/>
  <c r="W90" i="22"/>
  <c r="V81" i="22"/>
  <c r="I138" i="15" l="1"/>
  <c r="I137" i="15"/>
  <c r="H138" i="15"/>
  <c r="H137" i="15"/>
  <c r="I122" i="15"/>
  <c r="I123" i="15"/>
  <c r="I463" i="8" s="1"/>
  <c r="I124" i="15"/>
  <c r="I464" i="8" s="1"/>
  <c r="I125" i="15"/>
  <c r="I465" i="8" s="1"/>
  <c r="I126" i="15"/>
  <c r="I466" i="8" s="1"/>
  <c r="I127" i="15"/>
  <c r="I128" i="15"/>
  <c r="I467" i="8" s="1"/>
  <c r="I129" i="15"/>
  <c r="I468" i="8" s="1"/>
  <c r="I130" i="15"/>
  <c r="I469" i="8" s="1"/>
  <c r="I131" i="15"/>
  <c r="I470" i="8" s="1"/>
  <c r="I132" i="15"/>
  <c r="I471" i="8" s="1"/>
  <c r="I133" i="15"/>
  <c r="I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I142" i="8" s="1"/>
  <c r="H121" i="15"/>
  <c r="I9" i="15"/>
  <c r="I112" i="15"/>
  <c r="I113" i="15"/>
  <c r="I114" i="15"/>
  <c r="I115" i="15"/>
  <c r="I116" i="15"/>
  <c r="I111" i="15"/>
  <c r="H112" i="15"/>
  <c r="I121" i="8" s="1"/>
  <c r="H113" i="15"/>
  <c r="H114" i="15"/>
  <c r="H115" i="15"/>
  <c r="H116" i="15"/>
  <c r="H111" i="15"/>
  <c r="I105" i="15"/>
  <c r="I106" i="15"/>
  <c r="I107" i="15"/>
  <c r="I104" i="15"/>
  <c r="H105" i="15"/>
  <c r="I111" i="8" s="1"/>
  <c r="H106" i="15"/>
  <c r="H107" i="15"/>
  <c r="H104" i="15"/>
  <c r="I97" i="15"/>
  <c r="I98" i="15"/>
  <c r="I99" i="15"/>
  <c r="I100" i="15"/>
  <c r="I96" i="15"/>
  <c r="H97" i="15"/>
  <c r="H98" i="15"/>
  <c r="H99" i="15"/>
  <c r="H100" i="15"/>
  <c r="H96" i="15"/>
  <c r="I81" i="15"/>
  <c r="I82" i="15"/>
  <c r="I83" i="15"/>
  <c r="I84" i="15"/>
  <c r="I85" i="15"/>
  <c r="I86" i="15"/>
  <c r="I87" i="15"/>
  <c r="I88" i="15"/>
  <c r="I89" i="15"/>
  <c r="I90" i="15"/>
  <c r="I80" i="15"/>
  <c r="H81" i="15"/>
  <c r="H82" i="15"/>
  <c r="I82" i="8" s="1"/>
  <c r="H83" i="15"/>
  <c r="H84" i="15"/>
  <c r="H85" i="15"/>
  <c r="H86" i="15"/>
  <c r="H87" i="15"/>
  <c r="H88" i="15"/>
  <c r="H89" i="15"/>
  <c r="H90" i="15"/>
  <c r="H80" i="15"/>
  <c r="I66" i="15"/>
  <c r="I67" i="15"/>
  <c r="I68" i="15"/>
  <c r="I69" i="15"/>
  <c r="I70" i="15"/>
  <c r="I71" i="15"/>
  <c r="I72" i="15"/>
  <c r="I73" i="15"/>
  <c r="I74" i="15"/>
  <c r="I75" i="15"/>
  <c r="I76" i="15"/>
  <c r="I65" i="15"/>
  <c r="H66" i="15"/>
  <c r="H67" i="15"/>
  <c r="H68" i="15"/>
  <c r="H69" i="15"/>
  <c r="H70" i="15"/>
  <c r="H71" i="15"/>
  <c r="H72" i="15"/>
  <c r="H73" i="15"/>
  <c r="H74" i="15"/>
  <c r="H75" i="15"/>
  <c r="H76" i="15"/>
  <c r="H65" i="15"/>
  <c r="I47" i="15"/>
  <c r="I46" i="15"/>
  <c r="H47" i="15"/>
  <c r="H46" i="15"/>
  <c r="I47" i="8"/>
  <c r="B112" i="8" l="1"/>
  <c r="U121" i="8"/>
  <c r="S121" i="8"/>
  <c r="Q121" i="8"/>
  <c r="O121" i="8"/>
  <c r="AG121" i="8"/>
  <c r="M121" i="8"/>
  <c r="AC121" i="8"/>
  <c r="AA121" i="8"/>
  <c r="K121" i="8"/>
  <c r="AE121" i="8"/>
  <c r="K111" i="8"/>
  <c r="AA111" i="8"/>
  <c r="M111" i="8"/>
  <c r="AC111" i="8"/>
  <c r="O111" i="8"/>
  <c r="AE111" i="8"/>
  <c r="Q111" i="8"/>
  <c r="AG111" i="8"/>
  <c r="S111" i="8"/>
  <c r="W111" i="8"/>
  <c r="Y111" i="8"/>
  <c r="U111" i="8"/>
  <c r="U47" i="8"/>
  <c r="AG47" i="8"/>
  <c r="Q47" i="8"/>
  <c r="AE47" i="8"/>
  <c r="O47" i="8"/>
  <c r="AC47" i="8"/>
  <c r="Y47" i="8"/>
  <c r="S47" i="8"/>
  <c r="W47" i="8"/>
  <c r="AA47" i="8"/>
  <c r="W82" i="8"/>
  <c r="Y82" i="8"/>
  <c r="AA82" i="8"/>
  <c r="AC82" i="8"/>
  <c r="AE82" i="8"/>
  <c r="AG82" i="8"/>
  <c r="H151" i="15"/>
  <c r="H150" i="15"/>
  <c r="H149" i="15"/>
  <c r="H148" i="15"/>
  <c r="H147" i="15"/>
  <c r="H146" i="15"/>
  <c r="H145" i="15"/>
  <c r="I23" i="15"/>
  <c r="I24" i="15"/>
  <c r="I25" i="15"/>
  <c r="I26" i="15"/>
  <c r="I27" i="15"/>
  <c r="I28" i="15"/>
  <c r="I29" i="15"/>
  <c r="I30" i="15"/>
  <c r="I31" i="15"/>
  <c r="I32" i="15"/>
  <c r="I424" i="8" s="1"/>
  <c r="I22" i="15"/>
  <c r="H23" i="15"/>
  <c r="H24" i="15"/>
  <c r="H25" i="15"/>
  <c r="I37" i="8" s="1"/>
  <c r="H26" i="15"/>
  <c r="H27" i="15"/>
  <c r="H28" i="15"/>
  <c r="H29" i="15"/>
  <c r="H30" i="15"/>
  <c r="H31" i="15"/>
  <c r="H32" i="15"/>
  <c r="I41" i="8" s="1"/>
  <c r="H22" i="15"/>
  <c r="I16" i="15"/>
  <c r="I423" i="8" s="1"/>
  <c r="I17" i="15"/>
  <c r="I18" i="15"/>
  <c r="I15" i="15"/>
  <c r="I422" i="8" s="1"/>
  <c r="H18" i="15"/>
  <c r="H17" i="15"/>
  <c r="H16" i="15"/>
  <c r="H15" i="15"/>
  <c r="I11" i="15"/>
  <c r="I10" i="15"/>
  <c r="I421" i="8" s="1"/>
  <c r="I8" i="15"/>
  <c r="I7" i="15"/>
  <c r="H8" i="15"/>
  <c r="H7" i="15"/>
  <c r="H11" i="15"/>
  <c r="H10" i="15"/>
  <c r="W424" i="8" l="1"/>
  <c r="Y424" i="8"/>
  <c r="AA424" i="8"/>
  <c r="AC424" i="8"/>
  <c r="AE424" i="8"/>
  <c r="AG424" i="8"/>
  <c r="AE422" i="8"/>
  <c r="AG422" i="8"/>
  <c r="W422" i="8"/>
  <c r="Y422" i="8"/>
  <c r="AA422" i="8"/>
  <c r="AC422" i="8"/>
  <c r="W421" i="8"/>
  <c r="Y421" i="8"/>
  <c r="AA421" i="8"/>
  <c r="AE421" i="8"/>
  <c r="AG421" i="8"/>
  <c r="AC421" i="8"/>
  <c r="W423" i="8"/>
  <c r="Y423" i="8"/>
  <c r="AC423" i="8"/>
  <c r="AA423" i="8"/>
  <c r="AE423" i="8"/>
  <c r="AG423" i="8"/>
  <c r="Y37" i="8"/>
  <c r="AG37" i="8"/>
  <c r="AC37" i="8"/>
  <c r="W37" i="8"/>
  <c r="AA37" i="8"/>
  <c r="AE37" i="8"/>
  <c r="Y41" i="8"/>
  <c r="W41" i="8"/>
  <c r="AG41" i="8"/>
  <c r="AC41" i="8"/>
  <c r="AA41" i="8"/>
  <c r="AE41" i="8"/>
  <c r="R126" i="2"/>
  <c r="R128" i="2" s="1"/>
  <c r="O124" i="2"/>
  <c r="R129" i="2" l="1"/>
  <c r="R131" i="2" s="1"/>
  <c r="K173" i="22" l="1"/>
  <c r="M173" i="22" s="1"/>
  <c r="AI169" i="8"/>
  <c r="AI170" i="8"/>
  <c r="AI172" i="8"/>
  <c r="AI173" i="8"/>
  <c r="AI182" i="8"/>
  <c r="AI183" i="8"/>
  <c r="W149" i="22"/>
  <c r="U143" i="22"/>
  <c r="V143" i="22"/>
  <c r="U133" i="22"/>
  <c r="V133" i="22"/>
  <c r="T86" i="22"/>
  <c r="V86" i="22"/>
  <c r="M175" i="22" l="1"/>
  <c r="I224" i="8" s="1"/>
  <c r="O173" i="22"/>
  <c r="I345" i="8" s="1"/>
  <c r="W92" i="22"/>
  <c r="W93" i="22"/>
  <c r="W94" i="22"/>
  <c r="W95" i="22"/>
  <c r="W91" i="22"/>
  <c r="W28" i="22"/>
  <c r="I346" i="8" l="1"/>
  <c r="Q345" i="8"/>
  <c r="O345" i="8"/>
  <c r="M345" i="8"/>
  <c r="K345" i="8"/>
  <c r="S345" i="8"/>
  <c r="U345" i="8"/>
  <c r="U224" i="8"/>
  <c r="S224" i="8"/>
  <c r="Q224" i="8"/>
  <c r="O224" i="8"/>
  <c r="M224" i="8"/>
  <c r="K224" i="8"/>
  <c r="I207" i="8"/>
  <c r="V63" i="22"/>
  <c r="V29" i="22"/>
  <c r="V25" i="22"/>
  <c r="V103" i="22"/>
  <c r="I171" i="8"/>
  <c r="W29" i="22"/>
  <c r="V39" i="22"/>
  <c r="V105" i="22" l="1"/>
  <c r="V159" i="22" s="1"/>
  <c r="V108" i="22"/>
  <c r="W171" i="8"/>
  <c r="AI282" i="8"/>
  <c r="AI283" i="8"/>
  <c r="AI285" i="8"/>
  <c r="AI286" i="8"/>
  <c r="AI296" i="8"/>
  <c r="AI297" i="8"/>
  <c r="W150" i="22"/>
  <c r="I229" i="8" s="1"/>
  <c r="W148" i="22"/>
  <c r="W142" i="22"/>
  <c r="W141" i="22"/>
  <c r="W139" i="22"/>
  <c r="W138" i="22"/>
  <c r="I340" i="8"/>
  <c r="W131" i="22"/>
  <c r="W129" i="22"/>
  <c r="I217" i="8" s="1"/>
  <c r="W128" i="22"/>
  <c r="I337" i="8"/>
  <c r="W127" i="22"/>
  <c r="I336" i="8"/>
  <c r="I299" i="8"/>
  <c r="I298" i="8"/>
  <c r="I287" i="8"/>
  <c r="I272" i="8"/>
  <c r="I269" i="8"/>
  <c r="I354" i="8"/>
  <c r="I353" i="8"/>
  <c r="I213" i="8"/>
  <c r="I210" i="8"/>
  <c r="I209" i="8"/>
  <c r="I208" i="8"/>
  <c r="W85" i="22"/>
  <c r="W84" i="22"/>
  <c r="W62" i="22"/>
  <c r="I200" i="8" s="1"/>
  <c r="I315" i="8"/>
  <c r="W59" i="22"/>
  <c r="W58" i="22"/>
  <c r="Z56" i="22"/>
  <c r="I313" i="8"/>
  <c r="I312" i="8"/>
  <c r="I308" i="8"/>
  <c r="I307" i="8"/>
  <c r="I305" i="8"/>
  <c r="W47" i="22"/>
  <c r="W46" i="22"/>
  <c r="I301" i="8"/>
  <c r="W42" i="22"/>
  <c r="I300" i="8"/>
  <c r="W38" i="22"/>
  <c r="I180" i="8" s="1"/>
  <c r="I294" i="8"/>
  <c r="W37" i="22"/>
  <c r="I179" i="8" s="1"/>
  <c r="W36" i="22"/>
  <c r="I178" i="8" s="1"/>
  <c r="I292" i="8"/>
  <c r="W35" i="22"/>
  <c r="I177" i="8" s="1"/>
  <c r="I291" i="8"/>
  <c r="I290" i="8"/>
  <c r="I289" i="8"/>
  <c r="W32" i="22"/>
  <c r="I288" i="8"/>
  <c r="I268" i="8"/>
  <c r="W14" i="22"/>
  <c r="W15" i="22"/>
  <c r="I158" i="8" s="1"/>
  <c r="I271" i="8"/>
  <c r="W16" i="22"/>
  <c r="I159" i="8" s="1"/>
  <c r="I273" i="8"/>
  <c r="I274" i="8"/>
  <c r="I275" i="8"/>
  <c r="W19" i="22"/>
  <c r="I162" i="8" s="1"/>
  <c r="I276" i="8"/>
  <c r="I277" i="8"/>
  <c r="W21" i="22"/>
  <c r="I164" i="8" s="1"/>
  <c r="I278" i="8"/>
  <c r="W22" i="22"/>
  <c r="I165" i="8" s="1"/>
  <c r="I279" i="8"/>
  <c r="W23" i="22"/>
  <c r="I166" i="8" s="1"/>
  <c r="I280" i="8"/>
  <c r="U94" i="22"/>
  <c r="U89" i="22"/>
  <c r="U77" i="22"/>
  <c r="S29" i="22"/>
  <c r="U29" i="22" s="1"/>
  <c r="M29" i="22"/>
  <c r="K29" i="22"/>
  <c r="U28" i="22"/>
  <c r="O29" i="22"/>
  <c r="AG279" i="8" l="1"/>
  <c r="AE279" i="8"/>
  <c r="AC279" i="8"/>
  <c r="AA279" i="8"/>
  <c r="Y279" i="8"/>
  <c r="W279" i="8"/>
  <c r="AC274" i="8"/>
  <c r="AA274" i="8"/>
  <c r="Y274" i="8"/>
  <c r="AE274" i="8"/>
  <c r="W274" i="8"/>
  <c r="AG274" i="8"/>
  <c r="Y294" i="8"/>
  <c r="W294" i="8"/>
  <c r="AG294" i="8"/>
  <c r="AE294" i="8"/>
  <c r="AA294" i="8"/>
  <c r="AC294" i="8"/>
  <c r="AC307" i="8"/>
  <c r="AG307" i="8"/>
  <c r="AE307" i="8"/>
  <c r="AA307" i="8"/>
  <c r="Y307" i="8"/>
  <c r="W307" i="8"/>
  <c r="AC298" i="8"/>
  <c r="AA298" i="8"/>
  <c r="Y298" i="8"/>
  <c r="W298" i="8"/>
  <c r="AG298" i="8"/>
  <c r="AE298" i="8"/>
  <c r="AG299" i="8"/>
  <c r="Y299" i="8"/>
  <c r="AE299" i="8"/>
  <c r="AC299" i="8"/>
  <c r="AA299" i="8"/>
  <c r="W299" i="8"/>
  <c r="AC278" i="8"/>
  <c r="AA278" i="8"/>
  <c r="Y278" i="8"/>
  <c r="W278" i="8"/>
  <c r="AE278" i="8"/>
  <c r="AG278" i="8"/>
  <c r="AE159" i="8"/>
  <c r="AC159" i="8"/>
  <c r="AG159" i="8"/>
  <c r="W159" i="8"/>
  <c r="Y159" i="8"/>
  <c r="AA159" i="8"/>
  <c r="Y290" i="8"/>
  <c r="W290" i="8"/>
  <c r="AG290" i="8"/>
  <c r="AE290" i="8"/>
  <c r="AC290" i="8"/>
  <c r="AA290" i="8"/>
  <c r="AG300" i="8"/>
  <c r="AE300" i="8"/>
  <c r="AC300" i="8"/>
  <c r="AA300" i="8"/>
  <c r="W300" i="8"/>
  <c r="Y300" i="8"/>
  <c r="AE312" i="8"/>
  <c r="K312" i="8"/>
  <c r="AC312" i="8"/>
  <c r="AA312" i="8"/>
  <c r="S312" i="8"/>
  <c r="U312" i="8"/>
  <c r="Q312" i="8"/>
  <c r="M312" i="8"/>
  <c r="O312" i="8"/>
  <c r="AG312" i="8"/>
  <c r="AG164" i="8"/>
  <c r="W164" i="8"/>
  <c r="Y164" i="8"/>
  <c r="AA164" i="8"/>
  <c r="AC164" i="8"/>
  <c r="AE164" i="8"/>
  <c r="AG271" i="8"/>
  <c r="AE271" i="8"/>
  <c r="AC271" i="8"/>
  <c r="Y271" i="8"/>
  <c r="AA271" i="8"/>
  <c r="W271" i="8"/>
  <c r="AC291" i="8"/>
  <c r="AA291" i="8"/>
  <c r="Y291" i="8"/>
  <c r="W291" i="8"/>
  <c r="AE291" i="8"/>
  <c r="AG291" i="8"/>
  <c r="U313" i="8"/>
  <c r="S313" i="8"/>
  <c r="Q313" i="8"/>
  <c r="O313" i="8"/>
  <c r="M313" i="8"/>
  <c r="K313" i="8"/>
  <c r="Y273" i="8"/>
  <c r="W273" i="8"/>
  <c r="AA273" i="8"/>
  <c r="AG273" i="8"/>
  <c r="AE273" i="8"/>
  <c r="AC273" i="8"/>
  <c r="Y277" i="8"/>
  <c r="W277" i="8"/>
  <c r="AG277" i="8"/>
  <c r="AE277" i="8"/>
  <c r="AC277" i="8"/>
  <c r="AA277" i="8"/>
  <c r="AA158" i="8"/>
  <c r="AC158" i="8"/>
  <c r="AE158" i="8"/>
  <c r="Y158" i="8"/>
  <c r="AG158" i="8"/>
  <c r="W158" i="8"/>
  <c r="AA177" i="8"/>
  <c r="W177" i="8"/>
  <c r="AG177" i="8"/>
  <c r="Y177" i="8"/>
  <c r="AC177" i="8"/>
  <c r="AE177" i="8"/>
  <c r="Y301" i="8"/>
  <c r="W301" i="8"/>
  <c r="AG301" i="8"/>
  <c r="AE301" i="8"/>
  <c r="AC301" i="8"/>
  <c r="AA301" i="8"/>
  <c r="AE180" i="8"/>
  <c r="W180" i="8"/>
  <c r="AC180" i="8"/>
  <c r="AG180" i="8"/>
  <c r="Y180" i="8"/>
  <c r="AA180" i="8"/>
  <c r="AC276" i="8"/>
  <c r="AG276" i="8"/>
  <c r="AE276" i="8"/>
  <c r="AA276" i="8"/>
  <c r="W276" i="8"/>
  <c r="Y276" i="8"/>
  <c r="AG292" i="8"/>
  <c r="Y292" i="8"/>
  <c r="AE292" i="8"/>
  <c r="AC292" i="8"/>
  <c r="AA292" i="8"/>
  <c r="W292" i="8"/>
  <c r="Y269" i="8"/>
  <c r="AG269" i="8"/>
  <c r="W269" i="8"/>
  <c r="AE269" i="8"/>
  <c r="AA269" i="8"/>
  <c r="AC269" i="8"/>
  <c r="AG289" i="8"/>
  <c r="AE289" i="8"/>
  <c r="AC289" i="8"/>
  <c r="AA289" i="8"/>
  <c r="W289" i="8"/>
  <c r="Y289" i="8"/>
  <c r="AA162" i="8"/>
  <c r="AC162" i="8"/>
  <c r="AE162" i="8"/>
  <c r="Y162" i="8"/>
  <c r="AG162" i="8"/>
  <c r="W162" i="8"/>
  <c r="W268" i="8"/>
  <c r="AG268" i="8"/>
  <c r="AE268" i="8"/>
  <c r="AC268" i="8"/>
  <c r="AA268" i="8"/>
  <c r="Y268" i="8"/>
  <c r="W178" i="8"/>
  <c r="AE178" i="8"/>
  <c r="Y178" i="8"/>
  <c r="AA178" i="8"/>
  <c r="AC178" i="8"/>
  <c r="AG178" i="8"/>
  <c r="AC272" i="8"/>
  <c r="AG272" i="8"/>
  <c r="AE272" i="8"/>
  <c r="W272" i="8"/>
  <c r="AA272" i="8"/>
  <c r="Y272" i="8"/>
  <c r="W165" i="8"/>
  <c r="Y165" i="8"/>
  <c r="AA165" i="8"/>
  <c r="AE165" i="8"/>
  <c r="AC165" i="8"/>
  <c r="AG165" i="8"/>
  <c r="M308" i="8"/>
  <c r="K308" i="8"/>
  <c r="U308" i="8"/>
  <c r="S308" i="8"/>
  <c r="O308" i="8"/>
  <c r="Q308" i="8"/>
  <c r="AG280" i="8"/>
  <c r="AC280" i="8"/>
  <c r="AE280" i="8"/>
  <c r="AA280" i="8"/>
  <c r="Y280" i="8"/>
  <c r="W280" i="8"/>
  <c r="AA166" i="8"/>
  <c r="Y166" i="8"/>
  <c r="AC166" i="8"/>
  <c r="AE166" i="8"/>
  <c r="AG166" i="8"/>
  <c r="W166" i="8"/>
  <c r="AG275" i="8"/>
  <c r="AE275" i="8"/>
  <c r="AC275" i="8"/>
  <c r="Y275" i="8"/>
  <c r="AA275" i="8"/>
  <c r="W275" i="8"/>
  <c r="AG288" i="8"/>
  <c r="AE288" i="8"/>
  <c r="Y288" i="8"/>
  <c r="AC288" i="8"/>
  <c r="AA288" i="8"/>
  <c r="W288" i="8"/>
  <c r="AA179" i="8"/>
  <c r="AC179" i="8"/>
  <c r="Y179" i="8"/>
  <c r="AE179" i="8"/>
  <c r="AG179" i="8"/>
  <c r="W179" i="8"/>
  <c r="AC305" i="8"/>
  <c r="AA305" i="8"/>
  <c r="Y305" i="8"/>
  <c r="W305" i="8"/>
  <c r="AE305" i="8"/>
  <c r="AG305" i="8"/>
  <c r="AC287" i="8"/>
  <c r="AA287" i="8"/>
  <c r="Y287" i="8"/>
  <c r="W287" i="8"/>
  <c r="AG287" i="8"/>
  <c r="AE287" i="8"/>
  <c r="W54" i="22"/>
  <c r="I195" i="8" s="1"/>
  <c r="Z54" i="22"/>
  <c r="W43" i="22"/>
  <c r="I186" i="8" s="1"/>
  <c r="Z43" i="22"/>
  <c r="W48" i="22"/>
  <c r="I190" i="8" s="1"/>
  <c r="Z48" i="22"/>
  <c r="W53" i="22"/>
  <c r="I194" i="8" s="1"/>
  <c r="Z53" i="22"/>
  <c r="Z62" i="22"/>
  <c r="W130" i="22"/>
  <c r="W51" i="22"/>
  <c r="Z52" i="22"/>
  <c r="W50" i="22"/>
  <c r="I192" i="8" s="1"/>
  <c r="Z50" i="22"/>
  <c r="W55" i="22"/>
  <c r="I196" i="8" s="1"/>
  <c r="Z55" i="22"/>
  <c r="W132" i="22"/>
  <c r="I219" i="8" s="1"/>
  <c r="Z96" i="22"/>
  <c r="Z47" i="22"/>
  <c r="W49" i="22"/>
  <c r="I191" i="8" s="1"/>
  <c r="Z49" i="22"/>
  <c r="Z60" i="22"/>
  <c r="A47" i="22"/>
  <c r="B306" i="8" s="1"/>
  <c r="A48" i="22"/>
  <c r="I314" i="8"/>
  <c r="U19" i="22"/>
  <c r="U38" i="22"/>
  <c r="I218" i="8"/>
  <c r="U69" i="22"/>
  <c r="U49" i="22"/>
  <c r="I284" i="8"/>
  <c r="O86" i="22"/>
  <c r="W86" i="22"/>
  <c r="M86" i="22"/>
  <c r="I355" i="8"/>
  <c r="U75" i="22"/>
  <c r="U23" i="22"/>
  <c r="U53" i="22"/>
  <c r="U67" i="22"/>
  <c r="U48" i="22"/>
  <c r="I310" i="8"/>
  <c r="U15" i="22"/>
  <c r="I309" i="8"/>
  <c r="I344" i="8"/>
  <c r="U37" i="22"/>
  <c r="I339" i="8"/>
  <c r="U97" i="22"/>
  <c r="U73" i="22"/>
  <c r="U80" i="22"/>
  <c r="U85" i="22"/>
  <c r="M25" i="22"/>
  <c r="K86" i="22"/>
  <c r="U71" i="22"/>
  <c r="U79" i="22"/>
  <c r="I185" i="8"/>
  <c r="S39" i="22"/>
  <c r="W33" i="22"/>
  <c r="I175" i="8" s="1"/>
  <c r="U44" i="22"/>
  <c r="W44" i="22"/>
  <c r="U46" i="22"/>
  <c r="U52" i="22"/>
  <c r="W52" i="22"/>
  <c r="U54" i="22"/>
  <c r="U56" i="22"/>
  <c r="W56" i="22"/>
  <c r="I197" i="8" s="1"/>
  <c r="U60" i="22"/>
  <c r="W60" i="22"/>
  <c r="U62" i="22"/>
  <c r="U88" i="22"/>
  <c r="W88" i="22"/>
  <c r="I206" i="8" s="1"/>
  <c r="U90" i="22"/>
  <c r="U91" i="22"/>
  <c r="U93" i="22"/>
  <c r="U95" i="22"/>
  <c r="U98" i="22"/>
  <c r="U100" i="22"/>
  <c r="I211" i="8"/>
  <c r="U102" i="22"/>
  <c r="K120" i="22"/>
  <c r="M143" i="22"/>
  <c r="M145" i="22" s="1"/>
  <c r="I270" i="8"/>
  <c r="U42" i="22"/>
  <c r="U58" i="22"/>
  <c r="S86" i="22"/>
  <c r="U34" i="22"/>
  <c r="W34" i="22"/>
  <c r="I176" i="8" s="1"/>
  <c r="U45" i="22"/>
  <c r="W45" i="22"/>
  <c r="U57" i="22"/>
  <c r="W57" i="22"/>
  <c r="U61" i="22"/>
  <c r="W61" i="22"/>
  <c r="I199" i="8" s="1"/>
  <c r="U92" i="22"/>
  <c r="U101" i="22"/>
  <c r="I212" i="8"/>
  <c r="I293" i="8"/>
  <c r="U84" i="22"/>
  <c r="U24" i="22"/>
  <c r="W24" i="22"/>
  <c r="I167" i="8" s="1"/>
  <c r="U20" i="22"/>
  <c r="W20" i="22"/>
  <c r="I163" i="8" s="1"/>
  <c r="U18" i="22"/>
  <c r="W18" i="22"/>
  <c r="I161" i="8" s="1"/>
  <c r="U17" i="22"/>
  <c r="W17" i="22"/>
  <c r="I160" i="8" s="1"/>
  <c r="I157" i="8"/>
  <c r="I174" i="8"/>
  <c r="W143" i="22"/>
  <c r="W145" i="22" s="1"/>
  <c r="U33" i="22"/>
  <c r="U50" i="22"/>
  <c r="U99" i="22"/>
  <c r="O39" i="22"/>
  <c r="B295" i="8" s="1"/>
  <c r="M39" i="22"/>
  <c r="U35" i="22"/>
  <c r="U68" i="22"/>
  <c r="M81" i="22"/>
  <c r="K81" i="22"/>
  <c r="S81" i="22"/>
  <c r="U72" i="22"/>
  <c r="U74" i="22"/>
  <c r="U76" i="22"/>
  <c r="U78" i="22"/>
  <c r="I311" i="8"/>
  <c r="I316" i="8"/>
  <c r="I352" i="8"/>
  <c r="K133" i="22"/>
  <c r="K135" i="22" s="1"/>
  <c r="O63" i="22"/>
  <c r="B317" i="8" s="1"/>
  <c r="U22" i="22"/>
  <c r="U21" i="22"/>
  <c r="U16" i="22"/>
  <c r="S25" i="22"/>
  <c r="K39" i="22"/>
  <c r="U32" i="22"/>
  <c r="U36" i="22"/>
  <c r="M63" i="22"/>
  <c r="K63" i="22"/>
  <c r="U43" i="22"/>
  <c r="U47" i="22"/>
  <c r="U51" i="22"/>
  <c r="U55" i="22"/>
  <c r="U59" i="22"/>
  <c r="O133" i="22"/>
  <c r="O135" i="22" s="1"/>
  <c r="M133" i="22"/>
  <c r="M135" i="22" s="1"/>
  <c r="S133" i="22"/>
  <c r="S135" i="22" s="1"/>
  <c r="S157" i="22" s="1"/>
  <c r="K143" i="22"/>
  <c r="K145" i="22" s="1"/>
  <c r="S143" i="22"/>
  <c r="S145" i="22" s="1"/>
  <c r="O143" i="22"/>
  <c r="O145" i="22" s="1"/>
  <c r="B347" i="8" s="1"/>
  <c r="U70" i="22"/>
  <c r="S63" i="22"/>
  <c r="K25" i="22"/>
  <c r="O25" i="22"/>
  <c r="O81" i="22"/>
  <c r="I322" i="8" s="1"/>
  <c r="X136" i="22" l="1"/>
  <c r="B341" i="8"/>
  <c r="M157" i="22"/>
  <c r="A303" i="8"/>
  <c r="A302" i="8"/>
  <c r="O157" i="22"/>
  <c r="K157" i="22"/>
  <c r="W161" i="8"/>
  <c r="Y161" i="8"/>
  <c r="AE161" i="8"/>
  <c r="AA161" i="8"/>
  <c r="AC161" i="8"/>
  <c r="AG161" i="8"/>
  <c r="AG185" i="8"/>
  <c r="Y185" i="8"/>
  <c r="W185" i="8"/>
  <c r="AA185" i="8"/>
  <c r="AC185" i="8"/>
  <c r="AE185" i="8"/>
  <c r="AE163" i="8"/>
  <c r="W163" i="8"/>
  <c r="AG163" i="8"/>
  <c r="Y163" i="8"/>
  <c r="AA163" i="8"/>
  <c r="AC163" i="8"/>
  <c r="O311" i="8"/>
  <c r="AG311" i="8"/>
  <c r="M311" i="8"/>
  <c r="AA311" i="8"/>
  <c r="AE311" i="8"/>
  <c r="K311" i="8"/>
  <c r="AC311" i="8"/>
  <c r="U311" i="8"/>
  <c r="S311" i="8"/>
  <c r="Q311" i="8"/>
  <c r="Q192" i="8"/>
  <c r="K192" i="8"/>
  <c r="M192" i="8"/>
  <c r="O192" i="8"/>
  <c r="S192" i="8"/>
  <c r="U192" i="8"/>
  <c r="AA190" i="8"/>
  <c r="Y190" i="8"/>
  <c r="W190" i="8"/>
  <c r="AC190" i="8"/>
  <c r="AG190" i="8"/>
  <c r="AE190" i="8"/>
  <c r="AE176" i="8"/>
  <c r="W176" i="8"/>
  <c r="AG176" i="8"/>
  <c r="Y176" i="8"/>
  <c r="AC176" i="8"/>
  <c r="AA176" i="8"/>
  <c r="Y284" i="8"/>
  <c r="AG284" i="8"/>
  <c r="W284" i="8"/>
  <c r="AE284" i="8"/>
  <c r="AA284" i="8"/>
  <c r="AC284" i="8"/>
  <c r="K194" i="8"/>
  <c r="O194" i="8"/>
  <c r="M194" i="8"/>
  <c r="Q194" i="8"/>
  <c r="S194" i="8"/>
  <c r="U194" i="8"/>
  <c r="AG174" i="8"/>
  <c r="AC174" i="8"/>
  <c r="AE174" i="8"/>
  <c r="AA174" i="8"/>
  <c r="W174" i="8"/>
  <c r="Y174" i="8"/>
  <c r="AG167" i="8"/>
  <c r="Y167" i="8"/>
  <c r="AE167" i="8"/>
  <c r="AC167" i="8"/>
  <c r="AA167" i="8"/>
  <c r="W167" i="8"/>
  <c r="U309" i="8"/>
  <c r="O309" i="8"/>
  <c r="S309" i="8"/>
  <c r="Q309" i="8"/>
  <c r="M309" i="8"/>
  <c r="K309" i="8"/>
  <c r="AG191" i="8"/>
  <c r="Y191" i="8"/>
  <c r="W191" i="8"/>
  <c r="AA191" i="8"/>
  <c r="AC191" i="8"/>
  <c r="AE191" i="8"/>
  <c r="Y157" i="8"/>
  <c r="W157" i="8"/>
  <c r="AG157" i="8"/>
  <c r="AE157" i="8"/>
  <c r="AA157" i="8"/>
  <c r="AC157" i="8"/>
  <c r="W186" i="8"/>
  <c r="Y186" i="8"/>
  <c r="AA186" i="8"/>
  <c r="AC186" i="8"/>
  <c r="AE186" i="8"/>
  <c r="AG186" i="8"/>
  <c r="AA196" i="8"/>
  <c r="AC196" i="8"/>
  <c r="K196" i="8"/>
  <c r="AE196" i="8"/>
  <c r="M196" i="8"/>
  <c r="AG196" i="8"/>
  <c r="O196" i="8"/>
  <c r="U196" i="8"/>
  <c r="Q196" i="8"/>
  <c r="S196" i="8"/>
  <c r="AA160" i="8"/>
  <c r="W160" i="8"/>
  <c r="Y160" i="8"/>
  <c r="AC160" i="8"/>
  <c r="AG160" i="8"/>
  <c r="AE160" i="8"/>
  <c r="AC270" i="8"/>
  <c r="AA270" i="8"/>
  <c r="Y270" i="8"/>
  <c r="W270" i="8"/>
  <c r="W281" i="8" s="1"/>
  <c r="AG270" i="8"/>
  <c r="AE270" i="8"/>
  <c r="S197" i="8"/>
  <c r="Q197" i="8"/>
  <c r="U197" i="8"/>
  <c r="K197" i="8"/>
  <c r="M197" i="8"/>
  <c r="O197" i="8"/>
  <c r="AA175" i="8"/>
  <c r="Y175" i="8"/>
  <c r="AC175" i="8"/>
  <c r="AE175" i="8"/>
  <c r="AG175" i="8"/>
  <c r="W175" i="8"/>
  <c r="K310" i="8"/>
  <c r="S310" i="8"/>
  <c r="U310" i="8"/>
  <c r="Q310" i="8"/>
  <c r="M310" i="8"/>
  <c r="O310" i="8"/>
  <c r="AG293" i="8"/>
  <c r="AE293" i="8"/>
  <c r="AC293" i="8"/>
  <c r="AA293" i="8"/>
  <c r="Y293" i="8"/>
  <c r="W293" i="8"/>
  <c r="W295" i="8" s="1"/>
  <c r="K314" i="8"/>
  <c r="S314" i="8"/>
  <c r="U314" i="8"/>
  <c r="Q314" i="8"/>
  <c r="M314" i="8"/>
  <c r="O314" i="8"/>
  <c r="K195" i="8"/>
  <c r="AE195" i="8"/>
  <c r="S195" i="8"/>
  <c r="M195" i="8"/>
  <c r="AG195" i="8"/>
  <c r="O195" i="8"/>
  <c r="Q195" i="8"/>
  <c r="U195" i="8"/>
  <c r="AC195" i="8"/>
  <c r="AA195" i="8"/>
  <c r="W133" i="22"/>
  <c r="W135" i="22" s="1"/>
  <c r="W157" i="22" s="1"/>
  <c r="I193" i="8"/>
  <c r="K103" i="22"/>
  <c r="K105" i="22" s="1"/>
  <c r="Q39" i="22"/>
  <c r="U86" i="22"/>
  <c r="AB47" i="22"/>
  <c r="W81" i="22"/>
  <c r="Z86" i="22"/>
  <c r="Z103" i="22" s="1"/>
  <c r="Z63" i="22"/>
  <c r="A49" i="22"/>
  <c r="U304" i="8" s="1"/>
  <c r="AA47" i="22"/>
  <c r="U189" i="8" s="1"/>
  <c r="Q86" i="22"/>
  <c r="M103" i="22"/>
  <c r="M105" i="22" s="1"/>
  <c r="M159" i="22" s="1"/>
  <c r="M163" i="22" s="1"/>
  <c r="W39" i="22"/>
  <c r="I295" i="8"/>
  <c r="Q143" i="22"/>
  <c r="I347" i="8"/>
  <c r="A347" i="8" s="1"/>
  <c r="I198" i="8"/>
  <c r="Q63" i="22"/>
  <c r="Q81" i="22"/>
  <c r="W63" i="22"/>
  <c r="B201" i="8" s="1"/>
  <c r="U25" i="22"/>
  <c r="S103" i="22"/>
  <c r="U39" i="22"/>
  <c r="W25" i="22"/>
  <c r="U63" i="22"/>
  <c r="I281" i="8"/>
  <c r="B281" i="8" s="1"/>
  <c r="I223" i="8"/>
  <c r="I181" i="8"/>
  <c r="I168" i="8"/>
  <c r="Q25" i="22"/>
  <c r="U81" i="22"/>
  <c r="Q133" i="22"/>
  <c r="O103" i="22"/>
  <c r="O105" i="22" l="1"/>
  <c r="O159" i="22" s="1"/>
  <c r="B330" i="8"/>
  <c r="O106" i="22"/>
  <c r="K159" i="22"/>
  <c r="K163" i="22" s="1"/>
  <c r="O198" i="8"/>
  <c r="K198" i="8"/>
  <c r="M198" i="8"/>
  <c r="Q198" i="8"/>
  <c r="U198" i="8"/>
  <c r="S198" i="8"/>
  <c r="S193" i="8"/>
  <c r="U193" i="8"/>
  <c r="K193" i="8"/>
  <c r="M193" i="8"/>
  <c r="Q193" i="8"/>
  <c r="O193" i="8"/>
  <c r="U103" i="22"/>
  <c r="U105" i="22" s="1"/>
  <c r="Q103" i="22"/>
  <c r="S169" i="22"/>
  <c r="I304" i="8"/>
  <c r="W103" i="22"/>
  <c r="W105" i="22" s="1"/>
  <c r="I205" i="8"/>
  <c r="I303" i="8"/>
  <c r="I302" i="8"/>
  <c r="A305" i="8"/>
  <c r="A189" i="8"/>
  <c r="I189" i="8" s="1"/>
  <c r="S189" i="8" s="1"/>
  <c r="A188" i="8"/>
  <c r="I188" i="8" s="1"/>
  <c r="A187" i="8"/>
  <c r="K122" i="22"/>
  <c r="W168" i="8"/>
  <c r="W181" i="8"/>
  <c r="S105" i="22"/>
  <c r="Q105" i="22" s="1"/>
  <c r="I101" i="8"/>
  <c r="B305" i="8" l="1"/>
  <c r="U101" i="8"/>
  <c r="S101" i="8"/>
  <c r="Q101" i="8"/>
  <c r="O101" i="8"/>
  <c r="M101" i="8"/>
  <c r="K101" i="8"/>
  <c r="AA188" i="8"/>
  <c r="AC188" i="8"/>
  <c r="AG188" i="8"/>
  <c r="W188" i="8"/>
  <c r="Y188" i="8"/>
  <c r="AE188" i="8"/>
  <c r="AC303" i="8"/>
  <c r="AA303" i="8"/>
  <c r="W303" i="8"/>
  <c r="AG303" i="8"/>
  <c r="AE303" i="8"/>
  <c r="Y303" i="8"/>
  <c r="AE302" i="8"/>
  <c r="AC302" i="8"/>
  <c r="AA302" i="8"/>
  <c r="Y302" i="8"/>
  <c r="W302" i="8"/>
  <c r="AG302" i="8"/>
  <c r="W159" i="22"/>
  <c r="W166" i="22"/>
  <c r="W169" i="22" s="1"/>
  <c r="I187" i="8"/>
  <c r="A191" i="8"/>
  <c r="S159" i="22"/>
  <c r="S163" i="22" s="1"/>
  <c r="O163" i="22"/>
  <c r="O168" i="22" s="1"/>
  <c r="L409" i="8"/>
  <c r="N409" i="8"/>
  <c r="P409" i="8"/>
  <c r="R409" i="8"/>
  <c r="T409" i="8"/>
  <c r="V409" i="8"/>
  <c r="X409" i="8"/>
  <c r="Z409" i="8"/>
  <c r="AB409" i="8"/>
  <c r="AD409" i="8"/>
  <c r="AF409" i="8"/>
  <c r="L407" i="8"/>
  <c r="N407" i="8"/>
  <c r="P407" i="8"/>
  <c r="R407" i="8"/>
  <c r="T407" i="8"/>
  <c r="V407" i="8"/>
  <c r="X407" i="8"/>
  <c r="Z407" i="8"/>
  <c r="AB407" i="8"/>
  <c r="AD407" i="8"/>
  <c r="AF407" i="8"/>
  <c r="L401" i="8"/>
  <c r="N401" i="8"/>
  <c r="P401" i="8"/>
  <c r="R401" i="8"/>
  <c r="T401" i="8"/>
  <c r="V401" i="8"/>
  <c r="X401" i="8"/>
  <c r="Z401" i="8"/>
  <c r="AB401" i="8"/>
  <c r="AD401" i="8"/>
  <c r="AF401" i="8"/>
  <c r="L399" i="8"/>
  <c r="N399" i="8"/>
  <c r="P399" i="8"/>
  <c r="R399" i="8"/>
  <c r="T399" i="8"/>
  <c r="V399" i="8"/>
  <c r="X399" i="8"/>
  <c r="Z399" i="8"/>
  <c r="AB399" i="8"/>
  <c r="AD399" i="8"/>
  <c r="AF399" i="8"/>
  <c r="Y187" i="8" l="1"/>
  <c r="AA187" i="8"/>
  <c r="AC187" i="8"/>
  <c r="AE187" i="8"/>
  <c r="AG187" i="8"/>
  <c r="W187" i="8"/>
  <c r="I30" i="7"/>
  <c r="K30" i="7"/>
  <c r="M30" i="7"/>
  <c r="O30" i="7"/>
  <c r="P30" i="7"/>
  <c r="Q30" i="7"/>
  <c r="P38" i="7"/>
  <c r="AI102" i="8"/>
  <c r="G30" i="7" l="1"/>
  <c r="E30" i="7" s="1"/>
  <c r="G425" i="8" l="1"/>
  <c r="G455" i="8"/>
  <c r="N99" i="1" l="1"/>
  <c r="B125" i="8" l="1"/>
  <c r="I23" i="8"/>
  <c r="I257" i="8"/>
  <c r="I35" i="8"/>
  <c r="I36" i="8"/>
  <c r="I38" i="8"/>
  <c r="I39" i="8"/>
  <c r="I40" i="8"/>
  <c r="I20" i="8"/>
  <c r="I22" i="8"/>
  <c r="I27" i="8"/>
  <c r="I28" i="8"/>
  <c r="I30" i="8"/>
  <c r="I146" i="8"/>
  <c r="I147" i="8"/>
  <c r="I130" i="8"/>
  <c r="I131" i="8"/>
  <c r="I134" i="8"/>
  <c r="I135" i="8"/>
  <c r="I136" i="8"/>
  <c r="I138" i="8"/>
  <c r="I140" i="8"/>
  <c r="I141" i="8"/>
  <c r="I120" i="8"/>
  <c r="I124" i="8"/>
  <c r="I112" i="8"/>
  <c r="I99" i="8"/>
  <c r="I104" i="8"/>
  <c r="I80" i="8"/>
  <c r="I84" i="8"/>
  <c r="I85" i="8"/>
  <c r="I86" i="8"/>
  <c r="I87" i="8"/>
  <c r="I88" i="8"/>
  <c r="I89" i="8"/>
  <c r="I90" i="8"/>
  <c r="I91" i="8"/>
  <c r="I62" i="8"/>
  <c r="I63" i="8"/>
  <c r="I64" i="8"/>
  <c r="I65" i="8"/>
  <c r="A66" i="8"/>
  <c r="I70" i="8"/>
  <c r="I71" i="8"/>
  <c r="I72" i="8"/>
  <c r="I73" i="8"/>
  <c r="I74" i="8"/>
  <c r="I75" i="8"/>
  <c r="I76" i="8"/>
  <c r="I49" i="8"/>
  <c r="I55" i="8"/>
  <c r="I236" i="8"/>
  <c r="I237" i="8"/>
  <c r="I239" i="8"/>
  <c r="I240" i="8"/>
  <c r="I248" i="8"/>
  <c r="E18" i="2"/>
  <c r="G40" i="2" s="1"/>
  <c r="E19" i="2"/>
  <c r="G41" i="2" s="1"/>
  <c r="D76" i="11"/>
  <c r="E20" i="2"/>
  <c r="G42" i="2" s="1"/>
  <c r="E22" i="2"/>
  <c r="E17" i="3"/>
  <c r="M87" i="1"/>
  <c r="R19" i="1"/>
  <c r="R20" i="1"/>
  <c r="R21" i="1"/>
  <c r="C19" i="2" s="1"/>
  <c r="M86" i="1"/>
  <c r="M88" i="1"/>
  <c r="M90" i="1"/>
  <c r="Q90" i="1" s="1"/>
  <c r="M91" i="1"/>
  <c r="M96" i="1"/>
  <c r="M97" i="1"/>
  <c r="S375" i="8"/>
  <c r="V48" i="1"/>
  <c r="S304" i="8"/>
  <c r="AI304" i="8" s="1"/>
  <c r="R23" i="1"/>
  <c r="C22" i="2" s="1"/>
  <c r="R24" i="1"/>
  <c r="L411" i="8"/>
  <c r="N411" i="8"/>
  <c r="P411" i="8"/>
  <c r="R411" i="8"/>
  <c r="T411" i="8"/>
  <c r="V73" i="1"/>
  <c r="E16" i="3"/>
  <c r="E18" i="3"/>
  <c r="E19" i="3"/>
  <c r="N103" i="2" s="1"/>
  <c r="P103" i="2" s="1"/>
  <c r="E20" i="3"/>
  <c r="N104" i="2" s="1"/>
  <c r="P104" i="2" s="1"/>
  <c r="Y375" i="8"/>
  <c r="E36" i="3"/>
  <c r="E37" i="3"/>
  <c r="E38" i="3"/>
  <c r="E39" i="3"/>
  <c r="D19" i="1"/>
  <c r="D20" i="1"/>
  <c r="D24" i="1"/>
  <c r="D23" i="1"/>
  <c r="L341" i="8"/>
  <c r="N341" i="8"/>
  <c r="P341" i="8"/>
  <c r="R341" i="8"/>
  <c r="T341" i="8"/>
  <c r="V341" i="8"/>
  <c r="X341" i="8"/>
  <c r="Z341" i="8"/>
  <c r="AB341" i="8"/>
  <c r="AD341" i="8"/>
  <c r="AF341" i="8"/>
  <c r="AH341" i="8"/>
  <c r="A108" i="15"/>
  <c r="I478" i="8"/>
  <c r="I458" i="8"/>
  <c r="I452" i="8"/>
  <c r="I454" i="8"/>
  <c r="I455" i="8"/>
  <c r="A443" i="8"/>
  <c r="I446" i="8"/>
  <c r="I447" i="8"/>
  <c r="I448" i="8"/>
  <c r="I451" i="8"/>
  <c r="I435" i="8"/>
  <c r="I436" i="8"/>
  <c r="I439" i="8"/>
  <c r="I440" i="8"/>
  <c r="B48" i="15"/>
  <c r="I426" i="8"/>
  <c r="W392" i="8"/>
  <c r="Y392" i="8"/>
  <c r="Y122" i="8" s="1"/>
  <c r="I184" i="8"/>
  <c r="AI189" i="8"/>
  <c r="F68" i="2"/>
  <c r="A6" i="11"/>
  <c r="A51" i="11"/>
  <c r="E99" i="2"/>
  <c r="I58" i="2"/>
  <c r="T384" i="8"/>
  <c r="G450" i="8"/>
  <c r="G444" i="8"/>
  <c r="G443" i="8"/>
  <c r="G436" i="8"/>
  <c r="G437" i="8"/>
  <c r="G429" i="8"/>
  <c r="N94" i="1"/>
  <c r="I256" i="8"/>
  <c r="I368" i="8"/>
  <c r="L225" i="8"/>
  <c r="N225" i="8"/>
  <c r="P225" i="8"/>
  <c r="R225" i="8"/>
  <c r="T225" i="8"/>
  <c r="V225" i="8"/>
  <c r="X225" i="8"/>
  <c r="Z225" i="8"/>
  <c r="AB225" i="8"/>
  <c r="AD225" i="8"/>
  <c r="AF225" i="8"/>
  <c r="L220" i="8"/>
  <c r="N220" i="8"/>
  <c r="P220" i="8"/>
  <c r="R220" i="8"/>
  <c r="T220" i="8"/>
  <c r="V220" i="8"/>
  <c r="X220" i="8"/>
  <c r="Z220" i="8"/>
  <c r="AB220" i="8"/>
  <c r="AD220" i="8"/>
  <c r="AF220" i="8"/>
  <c r="I472" i="8"/>
  <c r="I462" i="8"/>
  <c r="I460" i="8"/>
  <c r="I453" i="8"/>
  <c r="I450" i="8"/>
  <c r="I449" i="8"/>
  <c r="I445" i="8"/>
  <c r="I442" i="8"/>
  <c r="I438" i="8"/>
  <c r="I437" i="8"/>
  <c r="I434" i="8"/>
  <c r="A431" i="8"/>
  <c r="I429" i="8"/>
  <c r="B39" i="15"/>
  <c r="A39" i="15"/>
  <c r="I428" i="8"/>
  <c r="I456" i="8"/>
  <c r="I459" i="8"/>
  <c r="I39" i="15"/>
  <c r="AI73" i="10"/>
  <c r="AI55" i="10"/>
  <c r="Q65" i="11"/>
  <c r="Q67" i="11"/>
  <c r="Q69" i="11"/>
  <c r="Q71" i="11"/>
  <c r="Q73" i="11"/>
  <c r="Q75" i="11"/>
  <c r="Q77" i="11"/>
  <c r="Q79" i="11"/>
  <c r="Q80" i="11"/>
  <c r="Q20" i="11"/>
  <c r="Q22" i="11"/>
  <c r="Q24" i="11"/>
  <c r="Q26" i="11"/>
  <c r="Q28" i="11"/>
  <c r="Q30" i="11"/>
  <c r="Q32" i="11"/>
  <c r="Q34" i="11"/>
  <c r="Q35" i="11"/>
  <c r="P19" i="7"/>
  <c r="P20" i="7"/>
  <c r="P21" i="7"/>
  <c r="P22" i="7"/>
  <c r="P23" i="7"/>
  <c r="P24" i="7"/>
  <c r="P25" i="7"/>
  <c r="P26" i="7"/>
  <c r="P27" i="7"/>
  <c r="P28" i="7"/>
  <c r="P29" i="7"/>
  <c r="P31" i="7"/>
  <c r="P32" i="7"/>
  <c r="P33" i="7"/>
  <c r="P34" i="7"/>
  <c r="P35" i="7"/>
  <c r="P36" i="7"/>
  <c r="P37" i="7"/>
  <c r="P39" i="7"/>
  <c r="P40" i="7"/>
  <c r="P41" i="7"/>
  <c r="P42" i="7"/>
  <c r="P47" i="7"/>
  <c r="P48" i="7"/>
  <c r="P49" i="7"/>
  <c r="P50" i="7"/>
  <c r="P51" i="7"/>
  <c r="P52" i="7"/>
  <c r="P53" i="7"/>
  <c r="P60" i="7"/>
  <c r="P61" i="7"/>
  <c r="P62" i="7"/>
  <c r="P63" i="7"/>
  <c r="P64" i="7"/>
  <c r="P65" i="7"/>
  <c r="P66" i="7"/>
  <c r="P68" i="7"/>
  <c r="P69" i="7"/>
  <c r="AI477" i="8"/>
  <c r="AI476" i="8"/>
  <c r="AI475" i="8"/>
  <c r="AI473" i="8"/>
  <c r="AI430" i="8"/>
  <c r="L63" i="11"/>
  <c r="AI25" i="8"/>
  <c r="AI26" i="8"/>
  <c r="AI32" i="8"/>
  <c r="AI33" i="8"/>
  <c r="AI43" i="8"/>
  <c r="AI45" i="8"/>
  <c r="AI46" i="8"/>
  <c r="AI50" i="8"/>
  <c r="AI52" i="8"/>
  <c r="AI53" i="8"/>
  <c r="AI56" i="8"/>
  <c r="AI58" i="8"/>
  <c r="AI59" i="8"/>
  <c r="AI60" i="8"/>
  <c r="AI61" i="8"/>
  <c r="AI66" i="8"/>
  <c r="AI78" i="8"/>
  <c r="AI79" i="8"/>
  <c r="AI93" i="8"/>
  <c r="AI95" i="8"/>
  <c r="AI96" i="8"/>
  <c r="AI97" i="8"/>
  <c r="AI98" i="8"/>
  <c r="AI106" i="8"/>
  <c r="AI107" i="8"/>
  <c r="AI108" i="8"/>
  <c r="AI109" i="8"/>
  <c r="AI116" i="8"/>
  <c r="AI117" i="8"/>
  <c r="AI118" i="8"/>
  <c r="AI119" i="8"/>
  <c r="AI126" i="8"/>
  <c r="AI127" i="8"/>
  <c r="AI128" i="8"/>
  <c r="AI129" i="8"/>
  <c r="AI144" i="8"/>
  <c r="AI145" i="8"/>
  <c r="AI149" i="8"/>
  <c r="AI151" i="8"/>
  <c r="AI153" i="8"/>
  <c r="AI154" i="8"/>
  <c r="AI155" i="8"/>
  <c r="AI202" i="8"/>
  <c r="AI203" i="8"/>
  <c r="AI204" i="8"/>
  <c r="AI234" i="8"/>
  <c r="AI235" i="8"/>
  <c r="AI243" i="8"/>
  <c r="AI245" i="8"/>
  <c r="AI247" i="8"/>
  <c r="AI249" i="8"/>
  <c r="AI250" i="8"/>
  <c r="AI252" i="8"/>
  <c r="AI253" i="8"/>
  <c r="AI259" i="8"/>
  <c r="AI260" i="8"/>
  <c r="AI262" i="8"/>
  <c r="AI263" i="8"/>
  <c r="AI264" i="8"/>
  <c r="AI265" i="8"/>
  <c r="AI266" i="8"/>
  <c r="AI318" i="8"/>
  <c r="AI319" i="8"/>
  <c r="AI320" i="8"/>
  <c r="AI350" i="8"/>
  <c r="AI351" i="8"/>
  <c r="AI358" i="8"/>
  <c r="AI360" i="8"/>
  <c r="AI361" i="8"/>
  <c r="AI370" i="8"/>
  <c r="P63" i="11"/>
  <c r="J63" i="11"/>
  <c r="H63" i="11"/>
  <c r="AI394" i="8"/>
  <c r="AJ394" i="8" s="1"/>
  <c r="U381" i="8"/>
  <c r="K417" i="8"/>
  <c r="K367" i="8" s="1"/>
  <c r="M417" i="8"/>
  <c r="M367" i="8" s="1"/>
  <c r="O417" i="8"/>
  <c r="O367" i="8" s="1"/>
  <c r="Q417" i="8"/>
  <c r="Q367" i="8" s="1"/>
  <c r="S417" i="8"/>
  <c r="S367" i="8" s="1"/>
  <c r="G422" i="8"/>
  <c r="G423" i="8"/>
  <c r="G426" i="8"/>
  <c r="G427" i="8"/>
  <c r="G428" i="8"/>
  <c r="G431" i="8"/>
  <c r="G432" i="8"/>
  <c r="G433" i="8"/>
  <c r="G434" i="8"/>
  <c r="G435" i="8"/>
  <c r="G438" i="8"/>
  <c r="G439" i="8"/>
  <c r="G440" i="8"/>
  <c r="G441" i="8"/>
  <c r="G442" i="8"/>
  <c r="G445" i="8"/>
  <c r="G446" i="8"/>
  <c r="G447" i="8"/>
  <c r="G448" i="8"/>
  <c r="G449" i="8"/>
  <c r="G451" i="8"/>
  <c r="G452" i="8"/>
  <c r="G453" i="8"/>
  <c r="G454" i="8"/>
  <c r="G456" i="8"/>
  <c r="G457" i="8"/>
  <c r="G458" i="8"/>
  <c r="G459" i="8"/>
  <c r="G460" i="8"/>
  <c r="G461" i="8"/>
  <c r="G462" i="8"/>
  <c r="G472" i="8"/>
  <c r="B236" i="8"/>
  <c r="B240" i="8"/>
  <c r="B237" i="8"/>
  <c r="I115" i="2"/>
  <c r="I99" i="2"/>
  <c r="E77" i="2"/>
  <c r="G77" i="2" s="1"/>
  <c r="I77" i="2" s="1"/>
  <c r="N60" i="11"/>
  <c r="N15" i="11"/>
  <c r="H44" i="7"/>
  <c r="J44" i="7"/>
  <c r="L44" i="7"/>
  <c r="N44" i="7"/>
  <c r="E7" i="7"/>
  <c r="G7" i="7"/>
  <c r="I7" i="7" s="1"/>
  <c r="K7" i="7" s="1"/>
  <c r="M7" i="7" s="1"/>
  <c r="O7" i="7" s="1"/>
  <c r="Q7" i="7" s="1"/>
  <c r="Q12" i="8"/>
  <c r="S12" i="8" s="1"/>
  <c r="U12" i="8" s="1"/>
  <c r="W12" i="8" s="1"/>
  <c r="Y12" i="8" s="1"/>
  <c r="AA12" i="8" s="1"/>
  <c r="AC12" i="8" s="1"/>
  <c r="AE12" i="8" s="1"/>
  <c r="AG12" i="8" s="1"/>
  <c r="Z46" i="10"/>
  <c r="AB46" i="10" s="1"/>
  <c r="AD46" i="10" s="1"/>
  <c r="AF46" i="10" s="1"/>
  <c r="H57" i="7"/>
  <c r="N57" i="7"/>
  <c r="H94" i="1"/>
  <c r="A5" i="11"/>
  <c r="A50" i="11"/>
  <c r="D72" i="11"/>
  <c r="X70" i="10"/>
  <c r="F94" i="1"/>
  <c r="H39" i="15"/>
  <c r="N124" i="2"/>
  <c r="K94" i="1"/>
  <c r="L142" i="15"/>
  <c r="E106" i="2"/>
  <c r="I102" i="2" s="1"/>
  <c r="C118" i="6"/>
  <c r="N18" i="11"/>
  <c r="J18" i="11"/>
  <c r="P22" i="10"/>
  <c r="R22" i="10" s="1"/>
  <c r="L18" i="11"/>
  <c r="P26" i="10"/>
  <c r="R26" i="10" s="1"/>
  <c r="P18" i="11"/>
  <c r="H18" i="11"/>
  <c r="P18" i="10"/>
  <c r="R18" i="10" s="1"/>
  <c r="F18" i="11"/>
  <c r="P16" i="10"/>
  <c r="R16" i="10" s="1"/>
  <c r="W122" i="8" l="1"/>
  <c r="G38" i="7" s="1"/>
  <c r="AG184" i="8"/>
  <c r="AE184" i="8"/>
  <c r="AC184" i="8"/>
  <c r="Y184" i="8"/>
  <c r="AA184" i="8"/>
  <c r="W184" i="8"/>
  <c r="A69" i="8"/>
  <c r="A67" i="8"/>
  <c r="AG40" i="8"/>
  <c r="AE40" i="8"/>
  <c r="AC40" i="8"/>
  <c r="Y40" i="8"/>
  <c r="W40" i="8"/>
  <c r="AA40" i="8"/>
  <c r="AE429" i="8"/>
  <c r="AG429" i="8"/>
  <c r="W429" i="8"/>
  <c r="AA429" i="8"/>
  <c r="AC429" i="8"/>
  <c r="Y429" i="8"/>
  <c r="W426" i="8"/>
  <c r="Y426" i="8"/>
  <c r="AG426" i="8"/>
  <c r="AA426" i="8"/>
  <c r="AC426" i="8"/>
  <c r="AE426" i="8"/>
  <c r="AG447" i="8"/>
  <c r="AA447" i="8"/>
  <c r="W447" i="8"/>
  <c r="Y447" i="8"/>
  <c r="AC447" i="8"/>
  <c r="AE447" i="8"/>
  <c r="S74" i="8"/>
  <c r="O74" i="8"/>
  <c r="M74" i="8"/>
  <c r="K74" i="8"/>
  <c r="U74" i="8"/>
  <c r="Q74" i="8"/>
  <c r="Y63" i="8"/>
  <c r="AG63" i="8"/>
  <c r="AC63" i="8"/>
  <c r="W63" i="8"/>
  <c r="AA63" i="8"/>
  <c r="AE63" i="8"/>
  <c r="W85" i="8"/>
  <c r="Y85" i="8"/>
  <c r="AA85" i="8"/>
  <c r="AE85" i="8"/>
  <c r="AG85" i="8"/>
  <c r="AC85" i="8"/>
  <c r="AG39" i="8"/>
  <c r="AE39" i="8"/>
  <c r="AC39" i="8"/>
  <c r="AA39" i="8"/>
  <c r="Y39" i="8"/>
  <c r="W39" i="8"/>
  <c r="K453" i="8"/>
  <c r="M453" i="8"/>
  <c r="O453" i="8"/>
  <c r="Q453" i="8"/>
  <c r="U453" i="8"/>
  <c r="S453" i="8"/>
  <c r="U446" i="8"/>
  <c r="O446" i="8"/>
  <c r="W446" i="8"/>
  <c r="Y446" i="8"/>
  <c r="K446" i="8"/>
  <c r="M446" i="8"/>
  <c r="Q446" i="8"/>
  <c r="S446" i="8"/>
  <c r="O73" i="8"/>
  <c r="M73" i="8"/>
  <c r="K73" i="8"/>
  <c r="S73" i="8"/>
  <c r="Q73" i="8"/>
  <c r="U73" i="8"/>
  <c r="AE84" i="8"/>
  <c r="AG84" i="8"/>
  <c r="W84" i="8"/>
  <c r="AA84" i="8"/>
  <c r="AC84" i="8"/>
  <c r="Y84" i="8"/>
  <c r="AC38" i="8"/>
  <c r="Y38" i="8"/>
  <c r="W38" i="8"/>
  <c r="AG38" i="8"/>
  <c r="AE38" i="8"/>
  <c r="AA38" i="8"/>
  <c r="AG434" i="8"/>
  <c r="AA434" i="8"/>
  <c r="W434" i="8"/>
  <c r="Y434" i="8"/>
  <c r="AC434" i="8"/>
  <c r="AE434" i="8"/>
  <c r="S460" i="8"/>
  <c r="U460" i="8"/>
  <c r="AA460" i="8"/>
  <c r="M460" i="8"/>
  <c r="AC460" i="8"/>
  <c r="K460" i="8"/>
  <c r="AE460" i="8"/>
  <c r="O460" i="8"/>
  <c r="AG460" i="8"/>
  <c r="Q460" i="8"/>
  <c r="W72" i="8"/>
  <c r="AG72" i="8"/>
  <c r="AE72" i="8"/>
  <c r="AA72" i="8"/>
  <c r="Y72" i="8"/>
  <c r="AC72" i="8"/>
  <c r="Y30" i="8"/>
  <c r="W30" i="8"/>
  <c r="AG30" i="8"/>
  <c r="AC30" i="8"/>
  <c r="AA30" i="8"/>
  <c r="AE30" i="8"/>
  <c r="AG36" i="8"/>
  <c r="AE36" i="8"/>
  <c r="AC36" i="8"/>
  <c r="Y36" i="8"/>
  <c r="W36" i="8"/>
  <c r="AA36" i="8"/>
  <c r="K448" i="8"/>
  <c r="M448" i="8"/>
  <c r="O448" i="8"/>
  <c r="Q448" i="8"/>
  <c r="U448" i="8"/>
  <c r="S448" i="8"/>
  <c r="AC120" i="8"/>
  <c r="AA120" i="8"/>
  <c r="U120" i="8"/>
  <c r="S120" i="8"/>
  <c r="Q120" i="8"/>
  <c r="AG120" i="8"/>
  <c r="M120" i="8"/>
  <c r="AE120" i="8"/>
  <c r="K120" i="8"/>
  <c r="O120" i="8"/>
  <c r="AA459" i="8"/>
  <c r="AC459" i="8"/>
  <c r="Q459" i="8"/>
  <c r="K459" i="8"/>
  <c r="AE459" i="8"/>
  <c r="M459" i="8"/>
  <c r="AG459" i="8"/>
  <c r="O459" i="8"/>
  <c r="S459" i="8"/>
  <c r="U459" i="8"/>
  <c r="M437" i="8"/>
  <c r="O437" i="8"/>
  <c r="Q437" i="8"/>
  <c r="S437" i="8"/>
  <c r="U437" i="8"/>
  <c r="K437" i="8"/>
  <c r="S455" i="8"/>
  <c r="U455" i="8"/>
  <c r="K455" i="8"/>
  <c r="M455" i="8"/>
  <c r="O455" i="8"/>
  <c r="Q455" i="8"/>
  <c r="K71" i="8"/>
  <c r="W71" i="8"/>
  <c r="G21" i="7" s="1"/>
  <c r="U71" i="8"/>
  <c r="S71" i="8"/>
  <c r="O71" i="8"/>
  <c r="Y71" i="8"/>
  <c r="M71" i="8"/>
  <c r="Q71" i="8"/>
  <c r="U104" i="8"/>
  <c r="S104" i="8"/>
  <c r="Q104" i="8"/>
  <c r="M104" i="8"/>
  <c r="K104" i="8"/>
  <c r="O104" i="8"/>
  <c r="AG28" i="8"/>
  <c r="AE28" i="8"/>
  <c r="AC28" i="8"/>
  <c r="AA28" i="8"/>
  <c r="Y28" i="8"/>
  <c r="W28" i="8"/>
  <c r="AG35" i="8"/>
  <c r="AE35" i="8"/>
  <c r="AC35" i="8"/>
  <c r="AA35" i="8"/>
  <c r="Y35" i="8"/>
  <c r="W35" i="8"/>
  <c r="Q456" i="8"/>
  <c r="K456" i="8"/>
  <c r="M456" i="8"/>
  <c r="O456" i="8"/>
  <c r="S456" i="8"/>
  <c r="U456" i="8"/>
  <c r="Q438" i="8"/>
  <c r="S438" i="8"/>
  <c r="K438" i="8"/>
  <c r="U438" i="8"/>
  <c r="M438" i="8"/>
  <c r="O438" i="8"/>
  <c r="M256" i="8"/>
  <c r="K256" i="8"/>
  <c r="S256" i="8"/>
  <c r="U256" i="8"/>
  <c r="Q256" i="8"/>
  <c r="O256" i="8"/>
  <c r="W436" i="8"/>
  <c r="Y436" i="8"/>
  <c r="AA436" i="8"/>
  <c r="AC436" i="8"/>
  <c r="AG436" i="8"/>
  <c r="AE436" i="8"/>
  <c r="O454" i="8"/>
  <c r="Q454" i="8"/>
  <c r="S454" i="8"/>
  <c r="U454" i="8"/>
  <c r="K454" i="8"/>
  <c r="M454" i="8"/>
  <c r="AG55" i="8"/>
  <c r="AE55" i="8"/>
  <c r="AC55" i="8"/>
  <c r="Y55" i="8"/>
  <c r="W55" i="8"/>
  <c r="AA55" i="8"/>
  <c r="AG70" i="8"/>
  <c r="AE70" i="8"/>
  <c r="AC70" i="8"/>
  <c r="AA70" i="8"/>
  <c r="W70" i="8"/>
  <c r="Y70" i="8"/>
  <c r="K89" i="8"/>
  <c r="M89" i="8"/>
  <c r="O89" i="8"/>
  <c r="Q89" i="8"/>
  <c r="U89" i="8"/>
  <c r="S89" i="8"/>
  <c r="M99" i="8"/>
  <c r="K99" i="8"/>
  <c r="U99" i="8"/>
  <c r="Q99" i="8"/>
  <c r="O99" i="8"/>
  <c r="S99" i="8"/>
  <c r="AC27" i="8"/>
  <c r="Y27" i="8"/>
  <c r="W27" i="8"/>
  <c r="AG27" i="8"/>
  <c r="AE27" i="8"/>
  <c r="AA27" i="8"/>
  <c r="K86" i="8"/>
  <c r="M86" i="8"/>
  <c r="O86" i="8"/>
  <c r="Q86" i="8"/>
  <c r="S86" i="8"/>
  <c r="W86" i="8"/>
  <c r="G24" i="7" s="1"/>
  <c r="Y86" i="8"/>
  <c r="U86" i="8"/>
  <c r="AG442" i="8"/>
  <c r="AA442" i="8"/>
  <c r="W442" i="8"/>
  <c r="Y442" i="8"/>
  <c r="AC442" i="8"/>
  <c r="AE442" i="8"/>
  <c r="Y435" i="8"/>
  <c r="K435" i="8"/>
  <c r="M435" i="8"/>
  <c r="O435" i="8"/>
  <c r="Q435" i="8"/>
  <c r="U435" i="8"/>
  <c r="W435" i="8"/>
  <c r="S435" i="8"/>
  <c r="K452" i="8"/>
  <c r="M452" i="8"/>
  <c r="O452" i="8"/>
  <c r="S452" i="8"/>
  <c r="Q452" i="8"/>
  <c r="U452" i="8"/>
  <c r="AE49" i="8"/>
  <c r="AG49" i="8"/>
  <c r="W49" i="8"/>
  <c r="AA49" i="8"/>
  <c r="AC49" i="8"/>
  <c r="Y49" i="8"/>
  <c r="O88" i="8"/>
  <c r="Q88" i="8"/>
  <c r="S88" i="8"/>
  <c r="U88" i="8"/>
  <c r="K88" i="8"/>
  <c r="M88" i="8"/>
  <c r="S112" i="8"/>
  <c r="U112" i="8"/>
  <c r="K112" i="8"/>
  <c r="O112" i="8"/>
  <c r="Q112" i="8"/>
  <c r="M112" i="8"/>
  <c r="W22" i="8"/>
  <c r="Y22" i="8"/>
  <c r="AA22" i="8"/>
  <c r="AE22" i="8"/>
  <c r="AG22" i="8"/>
  <c r="AC22" i="8"/>
  <c r="W23" i="8"/>
  <c r="AA23" i="8"/>
  <c r="AC23" i="8"/>
  <c r="AE23" i="8"/>
  <c r="Y23" i="8"/>
  <c r="AG23" i="8"/>
  <c r="S449" i="8"/>
  <c r="U449" i="8"/>
  <c r="M449" i="8"/>
  <c r="K449" i="8"/>
  <c r="O449" i="8"/>
  <c r="Q449" i="8"/>
  <c r="AC445" i="8"/>
  <c r="AE445" i="8"/>
  <c r="AG445" i="8"/>
  <c r="W445" i="8"/>
  <c r="Y445" i="8"/>
  <c r="AA445" i="8"/>
  <c r="S458" i="8"/>
  <c r="U458" i="8"/>
  <c r="K458" i="8"/>
  <c r="O458" i="8"/>
  <c r="Q458" i="8"/>
  <c r="M458" i="8"/>
  <c r="AC65" i="8"/>
  <c r="AA65" i="8"/>
  <c r="Y65" i="8"/>
  <c r="W65" i="8"/>
  <c r="AG65" i="8"/>
  <c r="AE65" i="8"/>
  <c r="W87" i="8"/>
  <c r="Y87" i="8"/>
  <c r="AA87" i="8"/>
  <c r="AC87" i="8"/>
  <c r="AE87" i="8"/>
  <c r="AG87" i="8"/>
  <c r="AG124" i="8"/>
  <c r="M124" i="8"/>
  <c r="AE124" i="8"/>
  <c r="K124" i="8"/>
  <c r="AC124" i="8"/>
  <c r="AA124" i="8"/>
  <c r="U124" i="8"/>
  <c r="Q124" i="8"/>
  <c r="O124" i="8"/>
  <c r="S124" i="8"/>
  <c r="AE20" i="8"/>
  <c r="W20" i="8"/>
  <c r="AA20" i="8"/>
  <c r="AG20" i="8"/>
  <c r="AC20" i="8"/>
  <c r="Y20" i="8"/>
  <c r="E114" i="6"/>
  <c r="AC415" i="8" s="1"/>
  <c r="AC103" i="8" s="1"/>
  <c r="E111" i="6"/>
  <c r="I38" i="7"/>
  <c r="I104" i="2"/>
  <c r="AE389" i="8" s="1"/>
  <c r="Y171" i="8"/>
  <c r="AA375" i="8"/>
  <c r="C136" i="6"/>
  <c r="Q68" i="1"/>
  <c r="E34" i="3"/>
  <c r="H19" i="1"/>
  <c r="D18" i="16"/>
  <c r="AB19" i="1"/>
  <c r="G22" i="2"/>
  <c r="AB21" i="1"/>
  <c r="Q46" i="1"/>
  <c r="Q70" i="1"/>
  <c r="K12" i="7"/>
  <c r="K80" i="7" s="1"/>
  <c r="D20" i="16"/>
  <c r="Q88" i="1"/>
  <c r="Q87" i="1"/>
  <c r="G19" i="2"/>
  <c r="AA70" i="1" s="1"/>
  <c r="O94" i="1"/>
  <c r="E17" i="2"/>
  <c r="Q72" i="1"/>
  <c r="AB23" i="1"/>
  <c r="O12" i="7"/>
  <c r="O80" i="7" s="1"/>
  <c r="I12" i="7"/>
  <c r="I80" i="7" s="1"/>
  <c r="I103" i="2"/>
  <c r="AC389" i="8" s="1"/>
  <c r="AA389" i="8"/>
  <c r="B62" i="15"/>
  <c r="A48" i="15"/>
  <c r="A62" i="15"/>
  <c r="Q73" i="1"/>
  <c r="M12" i="7"/>
  <c r="M80" i="7" s="1"/>
  <c r="I425" i="8"/>
  <c r="I12" i="15"/>
  <c r="I427" i="8"/>
  <c r="H77" i="15"/>
  <c r="A19" i="15"/>
  <c r="A117" i="15"/>
  <c r="A77" i="15"/>
  <c r="A134" i="15"/>
  <c r="A139" i="15" s="1"/>
  <c r="I91" i="15"/>
  <c r="I19" i="15"/>
  <c r="A101" i="15"/>
  <c r="I100" i="8"/>
  <c r="H101" i="15"/>
  <c r="I123" i="8"/>
  <c r="H117" i="15"/>
  <c r="I133" i="8"/>
  <c r="I143" i="8" s="1"/>
  <c r="H134" i="15"/>
  <c r="H139" i="15" s="1"/>
  <c r="I110" i="8"/>
  <c r="H108" i="15"/>
  <c r="B12" i="15"/>
  <c r="I101" i="15"/>
  <c r="I33" i="15"/>
  <c r="I238" i="8"/>
  <c r="I242" i="8" s="1"/>
  <c r="D18" i="11"/>
  <c r="AI417" i="8"/>
  <c r="AJ417" i="8" s="1"/>
  <c r="P57" i="7"/>
  <c r="P44" i="7"/>
  <c r="G34" i="7"/>
  <c r="I34" i="7"/>
  <c r="I148" i="8"/>
  <c r="D31" i="11"/>
  <c r="E113" i="6"/>
  <c r="AA415" i="8" s="1"/>
  <c r="E112" i="6"/>
  <c r="Y415" i="8" s="1"/>
  <c r="E116" i="6"/>
  <c r="AG415" i="8" s="1"/>
  <c r="AG103" i="8" s="1"/>
  <c r="E115" i="6"/>
  <c r="AE415" i="8" s="1"/>
  <c r="AE103" i="8" s="1"/>
  <c r="P20" i="10"/>
  <c r="C18" i="2"/>
  <c r="D19" i="16"/>
  <c r="Q69" i="1"/>
  <c r="H20" i="1"/>
  <c r="AB20" i="1"/>
  <c r="Q45" i="1"/>
  <c r="F63" i="11"/>
  <c r="H28" i="10"/>
  <c r="J16" i="10" s="1"/>
  <c r="P24" i="10"/>
  <c r="R24" i="10" s="1"/>
  <c r="N63" i="11"/>
  <c r="L28" i="10"/>
  <c r="N16" i="10" s="1"/>
  <c r="Q86" i="1"/>
  <c r="M28" i="1"/>
  <c r="Q44" i="1"/>
  <c r="R22" i="1"/>
  <c r="R26" i="1" s="1"/>
  <c r="V20" i="1" s="1"/>
  <c r="M89" i="1"/>
  <c r="M99" i="1" s="1"/>
  <c r="E21" i="3"/>
  <c r="K125" i="2"/>
  <c r="E35" i="3"/>
  <c r="D26" i="1"/>
  <c r="F19" i="1" s="1"/>
  <c r="G12" i="7"/>
  <c r="C17" i="2"/>
  <c r="E41" i="2"/>
  <c r="I41" i="2" s="1"/>
  <c r="I369" i="8"/>
  <c r="I77" i="15"/>
  <c r="A153" i="15"/>
  <c r="I258" i="8"/>
  <c r="I29" i="8"/>
  <c r="H19" i="15"/>
  <c r="A12" i="15"/>
  <c r="I441" i="8"/>
  <c r="H153" i="15"/>
  <c r="I444" i="8"/>
  <c r="I443" i="8"/>
  <c r="B134" i="15"/>
  <c r="B139" i="15" s="1"/>
  <c r="I48" i="8"/>
  <c r="H48" i="15"/>
  <c r="B33" i="15"/>
  <c r="B117" i="15"/>
  <c r="I117" i="15"/>
  <c r="B91" i="15"/>
  <c r="B101" i="15"/>
  <c r="B108" i="15"/>
  <c r="I83" i="8"/>
  <c r="A82" i="8"/>
  <c r="B77" i="15"/>
  <c r="A91" i="15"/>
  <c r="A33" i="15"/>
  <c r="I105" i="2"/>
  <c r="AG389" i="8" s="1"/>
  <c r="I357" i="8"/>
  <c r="I225" i="8"/>
  <c r="Y103" i="8" l="1"/>
  <c r="I31" i="7" s="1"/>
  <c r="AA103" i="8"/>
  <c r="K31" i="7" s="1"/>
  <c r="Q100" i="8"/>
  <c r="O100" i="8"/>
  <c r="M100" i="8"/>
  <c r="M105" i="8" s="1"/>
  <c r="K100" i="8"/>
  <c r="U100" i="8"/>
  <c r="U105" i="8" s="1"/>
  <c r="S100" i="8"/>
  <c r="AA83" i="8"/>
  <c r="AC83" i="8"/>
  <c r="AE83" i="8"/>
  <c r="AG83" i="8"/>
  <c r="W83" i="8"/>
  <c r="Y83" i="8"/>
  <c r="I51" i="8"/>
  <c r="AA48" i="8"/>
  <c r="AA51" i="8" s="1"/>
  <c r="AE48" i="8"/>
  <c r="AG48" i="8"/>
  <c r="W48" i="8"/>
  <c r="W51" i="8" s="1"/>
  <c r="Y48" i="8"/>
  <c r="Y51" i="8" s="1"/>
  <c r="AC48" i="8"/>
  <c r="U110" i="8"/>
  <c r="S110" i="8"/>
  <c r="Q110" i="8"/>
  <c r="O110" i="8"/>
  <c r="M110" i="8"/>
  <c r="K110" i="8"/>
  <c r="AA427" i="8"/>
  <c r="AC427" i="8"/>
  <c r="AE427" i="8"/>
  <c r="AG427" i="8"/>
  <c r="W427" i="8"/>
  <c r="Y427" i="8"/>
  <c r="I31" i="8"/>
  <c r="AG29" i="8"/>
  <c r="AE29" i="8"/>
  <c r="AC29" i="8"/>
  <c r="Y29" i="8"/>
  <c r="Y31" i="8" s="1"/>
  <c r="W29" i="8"/>
  <c r="W31" i="8" s="1"/>
  <c r="AA29" i="8"/>
  <c r="AA31" i="8" s="1"/>
  <c r="S425" i="8"/>
  <c r="U425" i="8"/>
  <c r="W425" i="8"/>
  <c r="Y425" i="8"/>
  <c r="AA425" i="8"/>
  <c r="O425" i="8"/>
  <c r="AE425" i="8"/>
  <c r="Q425" i="8"/>
  <c r="AG425" i="8"/>
  <c r="AC425" i="8"/>
  <c r="W443" i="8"/>
  <c r="Y443" i="8"/>
  <c r="AA443" i="8"/>
  <c r="AE443" i="8"/>
  <c r="AC443" i="8"/>
  <c r="AG443" i="8"/>
  <c r="Y444" i="8"/>
  <c r="AA444" i="8"/>
  <c r="AC444" i="8"/>
  <c r="AE444" i="8"/>
  <c r="AG444" i="8"/>
  <c r="W444" i="8"/>
  <c r="Q123" i="8"/>
  <c r="O123" i="8"/>
  <c r="AG123" i="8"/>
  <c r="M123" i="8"/>
  <c r="AE123" i="8"/>
  <c r="K123" i="8"/>
  <c r="AC123" i="8"/>
  <c r="M39" i="7" s="1"/>
  <c r="U123" i="8"/>
  <c r="U125" i="8" s="1"/>
  <c r="S123" i="8"/>
  <c r="AA123" i="8"/>
  <c r="K39" i="7" s="1"/>
  <c r="AE71" i="8"/>
  <c r="AE435" i="8"/>
  <c r="AE86" i="8"/>
  <c r="AE446" i="8"/>
  <c r="AC446" i="8"/>
  <c r="AC435" i="8"/>
  <c r="AC86" i="8"/>
  <c r="AC71" i="8"/>
  <c r="M21" i="7" s="1"/>
  <c r="AG446" i="8"/>
  <c r="AG435" i="8"/>
  <c r="AG86" i="8"/>
  <c r="AG71" i="8"/>
  <c r="AA71" i="8"/>
  <c r="K21" i="7" s="1"/>
  <c r="AA435" i="8"/>
  <c r="AA86" i="8"/>
  <c r="K24" i="7" s="1"/>
  <c r="AA446" i="8"/>
  <c r="V19" i="1"/>
  <c r="M98" i="1"/>
  <c r="Q98" i="1" s="1"/>
  <c r="M104" i="1"/>
  <c r="Q104" i="1" s="1"/>
  <c r="O95" i="1"/>
  <c r="P94" i="1"/>
  <c r="E131" i="6"/>
  <c r="AA416" i="8" s="1"/>
  <c r="AA256" i="8" s="1"/>
  <c r="E130" i="6"/>
  <c r="Y416" i="8" s="1"/>
  <c r="Y256" i="8" s="1"/>
  <c r="E134" i="6"/>
  <c r="E132" i="6"/>
  <c r="AC416" i="8" s="1"/>
  <c r="AC256" i="8" s="1"/>
  <c r="E133" i="6"/>
  <c r="E129" i="6"/>
  <c r="W416" i="8" s="1"/>
  <c r="W256" i="8" s="1"/>
  <c r="Y181" i="8"/>
  <c r="AA171" i="8"/>
  <c r="Y168" i="8"/>
  <c r="Y295" i="8"/>
  <c r="Y281" i="8"/>
  <c r="AC375" i="8"/>
  <c r="K69" i="7"/>
  <c r="K40" i="7"/>
  <c r="K36" i="7"/>
  <c r="K34" i="7"/>
  <c r="H26" i="1"/>
  <c r="AG416" i="8"/>
  <c r="AG256" i="8" s="1"/>
  <c r="Q18" i="11"/>
  <c r="I48" i="15"/>
  <c r="I150" i="8"/>
  <c r="C81" i="2"/>
  <c r="E21" i="2"/>
  <c r="E24" i="2" s="1"/>
  <c r="G39" i="2"/>
  <c r="G44" i="2" s="1"/>
  <c r="I105" i="8"/>
  <c r="I93" i="15"/>
  <c r="A93" i="15"/>
  <c r="A141" i="15" s="1"/>
  <c r="I54" i="8"/>
  <c r="I69" i="8"/>
  <c r="B69" i="8"/>
  <c r="I433" i="8" s="1"/>
  <c r="E118" i="6"/>
  <c r="W415" i="8"/>
  <c r="W103" i="8" s="1"/>
  <c r="E39" i="2"/>
  <c r="G17" i="2"/>
  <c r="K20" i="1"/>
  <c r="M378" i="8" s="1"/>
  <c r="K19" i="1"/>
  <c r="N105" i="2"/>
  <c r="P105" i="2" s="1"/>
  <c r="Q12" i="7"/>
  <c r="Q80" i="7" s="1"/>
  <c r="L23" i="3"/>
  <c r="I21" i="3" s="1"/>
  <c r="AG392" i="8" s="1"/>
  <c r="AG122" i="8" s="1"/>
  <c r="E23" i="3"/>
  <c r="G16" i="3" s="1"/>
  <c r="D63" i="11"/>
  <c r="R20" i="10"/>
  <c r="P28" i="10"/>
  <c r="R28" i="10" s="1"/>
  <c r="R99" i="1"/>
  <c r="Q99" i="1"/>
  <c r="G80" i="7"/>
  <c r="N18" i="10"/>
  <c r="N22" i="10"/>
  <c r="N24" i="10"/>
  <c r="N26" i="10"/>
  <c r="N20" i="10"/>
  <c r="E40" i="2"/>
  <c r="I40" i="2" s="1"/>
  <c r="G18" i="2"/>
  <c r="C80" i="2"/>
  <c r="K377" i="8"/>
  <c r="Q89" i="1"/>
  <c r="M95" i="1"/>
  <c r="V24" i="1"/>
  <c r="V23" i="1"/>
  <c r="V21" i="1"/>
  <c r="M94" i="1"/>
  <c r="E41" i="3"/>
  <c r="I34" i="3" s="1"/>
  <c r="J26" i="10"/>
  <c r="J18" i="10"/>
  <c r="J20" i="10"/>
  <c r="J22" i="10"/>
  <c r="F21" i="1"/>
  <c r="O377" i="8" s="1"/>
  <c r="F23" i="1"/>
  <c r="S377" i="8" s="1"/>
  <c r="F22" i="1"/>
  <c r="Q377" i="8" s="1"/>
  <c r="F24" i="1"/>
  <c r="U377" i="8" s="1"/>
  <c r="F20" i="1"/>
  <c r="M377" i="8" s="1"/>
  <c r="D21" i="16"/>
  <c r="D25" i="16" s="1"/>
  <c r="F18" i="16" s="1"/>
  <c r="Q47" i="1"/>
  <c r="C20" i="2"/>
  <c r="AB22" i="1"/>
  <c r="AB26" i="1" s="1"/>
  <c r="AD20" i="1" s="1"/>
  <c r="M380" i="8" s="1"/>
  <c r="V22" i="1"/>
  <c r="Q71" i="1"/>
  <c r="Q75" i="1" s="1"/>
  <c r="J24" i="10"/>
  <c r="B82" i="8"/>
  <c r="I19" i="8"/>
  <c r="H12" i="15"/>
  <c r="B93" i="15"/>
  <c r="B141" i="15" s="1"/>
  <c r="I461" i="8"/>
  <c r="I134" i="15"/>
  <c r="I139" i="15" s="1"/>
  <c r="B444" i="8"/>
  <c r="I68" i="8"/>
  <c r="I67" i="8"/>
  <c r="H31" i="10"/>
  <c r="H33" i="10" s="1"/>
  <c r="D31" i="10"/>
  <c r="L31" i="10"/>
  <c r="I34" i="8"/>
  <c r="H33" i="15"/>
  <c r="I81" i="8"/>
  <c r="H91" i="15"/>
  <c r="H93" i="15" s="1"/>
  <c r="I125" i="8"/>
  <c r="I457" i="8"/>
  <c r="I108" i="15"/>
  <c r="I106" i="2"/>
  <c r="I331" i="8"/>
  <c r="B331" i="8" s="1"/>
  <c r="I341" i="8"/>
  <c r="I220" i="8"/>
  <c r="AD19" i="1" l="1"/>
  <c r="K433" i="8"/>
  <c r="M433" i="8"/>
  <c r="O433" i="8"/>
  <c r="Q433" i="8"/>
  <c r="S433" i="8"/>
  <c r="U433" i="8"/>
  <c r="M69" i="8"/>
  <c r="K69" i="8"/>
  <c r="U69" i="8"/>
  <c r="Q69" i="8"/>
  <c r="O69" i="8"/>
  <c r="S69" i="8"/>
  <c r="AA19" i="8"/>
  <c r="AA24" i="8" s="1"/>
  <c r="AC19" i="8"/>
  <c r="AE19" i="8"/>
  <c r="AG19" i="8"/>
  <c r="W19" i="8"/>
  <c r="Y19" i="8"/>
  <c r="Y24" i="8" s="1"/>
  <c r="AG67" i="8"/>
  <c r="AE67" i="8"/>
  <c r="AC67" i="8"/>
  <c r="AA67" i="8"/>
  <c r="Y67" i="8"/>
  <c r="W67" i="8"/>
  <c r="AG54" i="8"/>
  <c r="AE54" i="8"/>
  <c r="AC54" i="8"/>
  <c r="AA54" i="8"/>
  <c r="AA57" i="8" s="1"/>
  <c r="Y54" i="8"/>
  <c r="Y57" i="8" s="1"/>
  <c r="W54" i="8"/>
  <c r="W57" i="8" s="1"/>
  <c r="AC34" i="8"/>
  <c r="Y34" i="8"/>
  <c r="Y42" i="8" s="1"/>
  <c r="W34" i="8"/>
  <c r="AG34" i="8"/>
  <c r="AE34" i="8"/>
  <c r="AA34" i="8"/>
  <c r="AA42" i="8" s="1"/>
  <c r="AG68" i="8"/>
  <c r="AE68" i="8"/>
  <c r="AC68" i="8"/>
  <c r="Y68" i="8"/>
  <c r="W68" i="8"/>
  <c r="AA68" i="8"/>
  <c r="K457" i="8"/>
  <c r="AA457" i="8"/>
  <c r="U457" i="8"/>
  <c r="M457" i="8"/>
  <c r="AC457" i="8"/>
  <c r="O457" i="8"/>
  <c r="AE457" i="8"/>
  <c r="Q457" i="8"/>
  <c r="AG457" i="8"/>
  <c r="S457" i="8"/>
  <c r="W457" i="8"/>
  <c r="Y457" i="8"/>
  <c r="W81" i="8"/>
  <c r="Y81" i="8"/>
  <c r="AA81" i="8"/>
  <c r="AE81" i="8"/>
  <c r="AG81" i="8"/>
  <c r="AC81" i="8"/>
  <c r="K184" i="8"/>
  <c r="K364" i="8"/>
  <c r="K356" i="8"/>
  <c r="K422" i="8"/>
  <c r="K424" i="8"/>
  <c r="K423" i="8"/>
  <c r="K22" i="8"/>
  <c r="K421" i="8"/>
  <c r="K40" i="8"/>
  <c r="K38" i="8"/>
  <c r="K36" i="8"/>
  <c r="K34" i="8"/>
  <c r="K29" i="8"/>
  <c r="K27" i="8"/>
  <c r="K19" i="8"/>
  <c r="K23" i="8"/>
  <c r="K20" i="8"/>
  <c r="K41" i="8"/>
  <c r="K39" i="8"/>
  <c r="K37" i="8"/>
  <c r="K35" i="8"/>
  <c r="K30" i="8"/>
  <c r="K28" i="8"/>
  <c r="Q364" i="8"/>
  <c r="Q356" i="8"/>
  <c r="Q421" i="8"/>
  <c r="Q184" i="8"/>
  <c r="Q422" i="8"/>
  <c r="Q424" i="8"/>
  <c r="Q19" i="8"/>
  <c r="Q40" i="8"/>
  <c r="Q423" i="8"/>
  <c r="Q22" i="8"/>
  <c r="Q30" i="8"/>
  <c r="Q38" i="8"/>
  <c r="Q27" i="8"/>
  <c r="Q41" i="8"/>
  <c r="Q39" i="8"/>
  <c r="Q37" i="8"/>
  <c r="Q35" i="8"/>
  <c r="Q28" i="8"/>
  <c r="Q36" i="8"/>
  <c r="Q29" i="8"/>
  <c r="Q20" i="8"/>
  <c r="Q23" i="8"/>
  <c r="Q34" i="8"/>
  <c r="M423" i="8"/>
  <c r="M422" i="8"/>
  <c r="M424" i="8"/>
  <c r="M184" i="8"/>
  <c r="M421" i="8"/>
  <c r="M22" i="8"/>
  <c r="M36" i="8"/>
  <c r="M29" i="8"/>
  <c r="M40" i="8"/>
  <c r="M38" i="8"/>
  <c r="M34" i="8"/>
  <c r="M27" i="8"/>
  <c r="M30" i="8"/>
  <c r="M37" i="8"/>
  <c r="M20" i="8"/>
  <c r="M23" i="8"/>
  <c r="M35" i="8"/>
  <c r="M28" i="8"/>
  <c r="M356" i="8"/>
  <c r="M19" i="8"/>
  <c r="M41" i="8"/>
  <c r="M39" i="8"/>
  <c r="M364" i="8"/>
  <c r="S423" i="8"/>
  <c r="S184" i="8"/>
  <c r="S364" i="8"/>
  <c r="S356" i="8"/>
  <c r="S422" i="8"/>
  <c r="S424" i="8"/>
  <c r="S23" i="8"/>
  <c r="S41" i="8"/>
  <c r="S39" i="8"/>
  <c r="S37" i="8"/>
  <c r="S35" i="8"/>
  <c r="S30" i="8"/>
  <c r="S28" i="8"/>
  <c r="S19" i="8"/>
  <c r="S421" i="8"/>
  <c r="S22" i="8"/>
  <c r="S20" i="8"/>
  <c r="S40" i="8"/>
  <c r="S38" i="8"/>
  <c r="S36" i="8"/>
  <c r="S34" i="8"/>
  <c r="S29" i="8"/>
  <c r="S27" i="8"/>
  <c r="U422" i="8"/>
  <c r="U424" i="8"/>
  <c r="U184" i="8"/>
  <c r="U421" i="8"/>
  <c r="U423" i="8"/>
  <c r="U364" i="8"/>
  <c r="U356" i="8"/>
  <c r="U20" i="8"/>
  <c r="U23" i="8"/>
  <c r="U37" i="8"/>
  <c r="U30" i="8"/>
  <c r="U41" i="8"/>
  <c r="U39" i="8"/>
  <c r="U35" i="8"/>
  <c r="U28" i="8"/>
  <c r="U19" i="8"/>
  <c r="U36" i="8"/>
  <c r="U27" i="8"/>
  <c r="U29" i="8"/>
  <c r="U22" i="8"/>
  <c r="U40" i="8"/>
  <c r="U38" i="8"/>
  <c r="U34" i="8"/>
  <c r="O421" i="8"/>
  <c r="O364" i="8"/>
  <c r="O356" i="8"/>
  <c r="O423" i="8"/>
  <c r="O422" i="8"/>
  <c r="O424" i="8"/>
  <c r="O184" i="8"/>
  <c r="O40" i="8"/>
  <c r="O38" i="8"/>
  <c r="O36" i="8"/>
  <c r="O34" i="8"/>
  <c r="O29" i="8"/>
  <c r="O27" i="8"/>
  <c r="O19" i="8"/>
  <c r="O22" i="8"/>
  <c r="O23" i="8"/>
  <c r="O20" i="8"/>
  <c r="O41" i="8"/>
  <c r="O39" i="8"/>
  <c r="O37" i="8"/>
  <c r="O35" i="8"/>
  <c r="O30" i="8"/>
  <c r="O28" i="8"/>
  <c r="Q95" i="1"/>
  <c r="AA95" i="1" s="1"/>
  <c r="M425" i="8"/>
  <c r="M47" i="8"/>
  <c r="M362" i="8"/>
  <c r="H141" i="15"/>
  <c r="B243" i="8" s="1"/>
  <c r="AC171" i="8"/>
  <c r="AA181" i="8"/>
  <c r="AA168" i="8"/>
  <c r="I141" i="15"/>
  <c r="AA295" i="8"/>
  <c r="AA281" i="8"/>
  <c r="N68" i="2"/>
  <c r="T90" i="1"/>
  <c r="X90" i="1"/>
  <c r="T89" i="1"/>
  <c r="X89" i="1"/>
  <c r="AE375" i="8"/>
  <c r="M69" i="7"/>
  <c r="M40" i="7"/>
  <c r="M36" i="7"/>
  <c r="M24" i="7"/>
  <c r="M31" i="7"/>
  <c r="T88" i="1"/>
  <c r="X88" i="1"/>
  <c r="T87" i="1"/>
  <c r="X87" i="1"/>
  <c r="T86" i="1"/>
  <c r="V86" i="1" s="1"/>
  <c r="X86" i="1"/>
  <c r="K105" i="8"/>
  <c r="AE416" i="8"/>
  <c r="AE256" i="8" s="1"/>
  <c r="E136" i="6"/>
  <c r="S105" i="8"/>
  <c r="O105" i="8"/>
  <c r="G21" i="3"/>
  <c r="AG391" i="8" s="1"/>
  <c r="Q105" i="8"/>
  <c r="S125" i="8"/>
  <c r="T91" i="1"/>
  <c r="I214" i="8"/>
  <c r="A228" i="8" s="1"/>
  <c r="O125" i="8"/>
  <c r="Q125" i="8"/>
  <c r="M125" i="8"/>
  <c r="I57" i="8"/>
  <c r="I431" i="8"/>
  <c r="I432" i="8"/>
  <c r="J28" i="10"/>
  <c r="AI415" i="8"/>
  <c r="AJ415" i="8" s="1"/>
  <c r="G20" i="2"/>
  <c r="G21" i="2" s="1"/>
  <c r="K18" i="2" s="1"/>
  <c r="V45" i="1" s="1"/>
  <c r="E42" i="2"/>
  <c r="I42" i="2" s="1"/>
  <c r="E12" i="7"/>
  <c r="F19" i="16"/>
  <c r="F23" i="16"/>
  <c r="F22" i="16"/>
  <c r="F20" i="16"/>
  <c r="C21" i="2"/>
  <c r="C24" i="2" s="1"/>
  <c r="C25" i="2" s="1"/>
  <c r="T42" i="1" s="1"/>
  <c r="R70" i="1"/>
  <c r="O379" i="8"/>
  <c r="G80" i="2"/>
  <c r="C83" i="2"/>
  <c r="AA69" i="1"/>
  <c r="N28" i="10"/>
  <c r="E80" i="7"/>
  <c r="G19" i="3"/>
  <c r="I39" i="3"/>
  <c r="G18" i="3"/>
  <c r="G20" i="3"/>
  <c r="I38" i="3"/>
  <c r="I37" i="3"/>
  <c r="I36" i="3"/>
  <c r="G17" i="3"/>
  <c r="AA68" i="1"/>
  <c r="R69" i="1"/>
  <c r="M379" i="8"/>
  <c r="F26" i="1"/>
  <c r="AD24" i="1"/>
  <c r="U380" i="8" s="1"/>
  <c r="AD23" i="1"/>
  <c r="S380" i="8" s="1"/>
  <c r="AD21" i="1"/>
  <c r="O380" i="8" s="1"/>
  <c r="R71" i="1"/>
  <c r="Q379" i="8"/>
  <c r="F21" i="16"/>
  <c r="S379" i="8"/>
  <c r="R72" i="1"/>
  <c r="I35" i="3"/>
  <c r="Y393" i="8" s="1"/>
  <c r="Q63" i="11"/>
  <c r="K378" i="8"/>
  <c r="K26" i="1"/>
  <c r="I39" i="2"/>
  <c r="K379" i="8"/>
  <c r="R68" i="1"/>
  <c r="V26" i="1"/>
  <c r="Q94" i="1"/>
  <c r="R94" i="1"/>
  <c r="AD22" i="1"/>
  <c r="Q380" i="8" s="1"/>
  <c r="W393" i="8"/>
  <c r="R73" i="1"/>
  <c r="U379" i="8"/>
  <c r="AI377" i="8"/>
  <c r="AJ377" i="8" s="1"/>
  <c r="Q51" i="1"/>
  <c r="R44" i="1" s="1"/>
  <c r="I18" i="3"/>
  <c r="I19" i="3"/>
  <c r="AC392" i="8" s="1"/>
  <c r="I20" i="3"/>
  <c r="AE392" i="8" s="1"/>
  <c r="AE122" i="8" s="1"/>
  <c r="L33" i="10"/>
  <c r="P31" i="10"/>
  <c r="P33" i="10" s="1"/>
  <c r="R33" i="10" s="1"/>
  <c r="K125" i="8"/>
  <c r="I92" i="8"/>
  <c r="I24" i="8"/>
  <c r="W24" i="8"/>
  <c r="I42" i="8"/>
  <c r="W42" i="8"/>
  <c r="I77" i="8"/>
  <c r="B66" i="8"/>
  <c r="M37" i="7"/>
  <c r="K37" i="7"/>
  <c r="AI389" i="8"/>
  <c r="AJ389" i="8" s="1"/>
  <c r="I201" i="8"/>
  <c r="I232" i="8" s="1"/>
  <c r="B187" i="8"/>
  <c r="I317" i="8"/>
  <c r="X159" i="22" l="1"/>
  <c r="B5" i="23"/>
  <c r="I333" i="8"/>
  <c r="I359" i="8" s="1"/>
  <c r="B6" i="23" s="1"/>
  <c r="A316" i="8"/>
  <c r="G19" i="7"/>
  <c r="K17" i="2"/>
  <c r="I19" i="7"/>
  <c r="K19" i="7"/>
  <c r="X42" i="1"/>
  <c r="H16" i="16"/>
  <c r="H18" i="16" s="1"/>
  <c r="T44" i="1"/>
  <c r="M19" i="7"/>
  <c r="V88" i="1"/>
  <c r="V91" i="1"/>
  <c r="AC431" i="8"/>
  <c r="AA431" i="8"/>
  <c r="Y431" i="8"/>
  <c r="W431" i="8"/>
  <c r="AG431" i="8"/>
  <c r="AE431" i="8"/>
  <c r="W432" i="8"/>
  <c r="Y432" i="8"/>
  <c r="AC432" i="8"/>
  <c r="AA432" i="8"/>
  <c r="AE432" i="8"/>
  <c r="AG432" i="8"/>
  <c r="M65" i="8"/>
  <c r="M284" i="8"/>
  <c r="M279" i="8"/>
  <c r="M277" i="8"/>
  <c r="M275" i="8"/>
  <c r="M273" i="8"/>
  <c r="M271" i="8"/>
  <c r="M269" i="8"/>
  <c r="M159" i="8"/>
  <c r="M161" i="8"/>
  <c r="M163" i="8"/>
  <c r="M165" i="8"/>
  <c r="M167" i="8"/>
  <c r="M157" i="8"/>
  <c r="M164" i="8"/>
  <c r="M280" i="8"/>
  <c r="M272" i="8"/>
  <c r="M162" i="8"/>
  <c r="M274" i="8"/>
  <c r="M160" i="8"/>
  <c r="M276" i="8"/>
  <c r="M268" i="8"/>
  <c r="M158" i="8"/>
  <c r="M166" i="8"/>
  <c r="M278" i="8"/>
  <c r="M270" i="8"/>
  <c r="O280" i="8"/>
  <c r="O278" i="8"/>
  <c r="O276" i="8"/>
  <c r="O274" i="8"/>
  <c r="O272" i="8"/>
  <c r="O270" i="8"/>
  <c r="O268" i="8"/>
  <c r="O158" i="8"/>
  <c r="O160" i="8"/>
  <c r="O162" i="8"/>
  <c r="O164" i="8"/>
  <c r="O166" i="8"/>
  <c r="O65" i="8"/>
  <c r="O284" i="8"/>
  <c r="O279" i="8"/>
  <c r="O277" i="8"/>
  <c r="O275" i="8"/>
  <c r="O273" i="8"/>
  <c r="O271" i="8"/>
  <c r="O269" i="8"/>
  <c r="O167" i="8"/>
  <c r="O157" i="8"/>
  <c r="O159" i="8"/>
  <c r="O161" i="8"/>
  <c r="O163" i="8"/>
  <c r="O165" i="8"/>
  <c r="S159" i="8"/>
  <c r="S161" i="8"/>
  <c r="S163" i="8"/>
  <c r="S165" i="8"/>
  <c r="S284" i="8"/>
  <c r="S279" i="8"/>
  <c r="S277" i="8"/>
  <c r="S275" i="8"/>
  <c r="S273" i="8"/>
  <c r="S271" i="8"/>
  <c r="S269" i="8"/>
  <c r="S167" i="8"/>
  <c r="S157" i="8"/>
  <c r="S158" i="8"/>
  <c r="S160" i="8"/>
  <c r="S162" i="8"/>
  <c r="S164" i="8"/>
  <c r="S166" i="8"/>
  <c r="S280" i="8"/>
  <c r="S278" i="8"/>
  <c r="S276" i="8"/>
  <c r="S274" i="8"/>
  <c r="S272" i="8"/>
  <c r="S270" i="8"/>
  <c r="S268" i="8"/>
  <c r="S65" i="8"/>
  <c r="W124" i="8"/>
  <c r="W120" i="8"/>
  <c r="W460" i="8"/>
  <c r="W123" i="8"/>
  <c r="W121" i="8"/>
  <c r="W459" i="8"/>
  <c r="Q280" i="8"/>
  <c r="Q278" i="8"/>
  <c r="Q276" i="8"/>
  <c r="Q274" i="8"/>
  <c r="Q272" i="8"/>
  <c r="Q270" i="8"/>
  <c r="Q268" i="8"/>
  <c r="Q159" i="8"/>
  <c r="Q161" i="8"/>
  <c r="Q163" i="8"/>
  <c r="Q165" i="8"/>
  <c r="Q65" i="8"/>
  <c r="Q284" i="8"/>
  <c r="Q279" i="8"/>
  <c r="Q277" i="8"/>
  <c r="Q275" i="8"/>
  <c r="Q273" i="8"/>
  <c r="Q271" i="8"/>
  <c r="Q269" i="8"/>
  <c r="Q158" i="8"/>
  <c r="Q160" i="8"/>
  <c r="Q162" i="8"/>
  <c r="Q164" i="8"/>
  <c r="Q166" i="8"/>
  <c r="Q167" i="8"/>
  <c r="Q157" i="8"/>
  <c r="K167" i="8"/>
  <c r="K157" i="8"/>
  <c r="K158" i="8"/>
  <c r="K160" i="8"/>
  <c r="K162" i="8"/>
  <c r="K164" i="8"/>
  <c r="K166" i="8"/>
  <c r="K280" i="8"/>
  <c r="K278" i="8"/>
  <c r="K276" i="8"/>
  <c r="K274" i="8"/>
  <c r="K272" i="8"/>
  <c r="K270" i="8"/>
  <c r="K268" i="8"/>
  <c r="K159" i="8"/>
  <c r="K161" i="8"/>
  <c r="K163" i="8"/>
  <c r="K165" i="8"/>
  <c r="K65" i="8"/>
  <c r="K284" i="8"/>
  <c r="K279" i="8"/>
  <c r="K277" i="8"/>
  <c r="K275" i="8"/>
  <c r="K273" i="8"/>
  <c r="K271" i="8"/>
  <c r="K269" i="8"/>
  <c r="AC122" i="8"/>
  <c r="M38" i="7" s="1"/>
  <c r="K47" i="8"/>
  <c r="K362" i="8"/>
  <c r="K425" i="8"/>
  <c r="U65" i="8"/>
  <c r="U167" i="8"/>
  <c r="U157" i="8"/>
  <c r="U280" i="8"/>
  <c r="U278" i="8"/>
  <c r="U276" i="8"/>
  <c r="U274" i="8"/>
  <c r="U272" i="8"/>
  <c r="U270" i="8"/>
  <c r="U268" i="8"/>
  <c r="U158" i="8"/>
  <c r="U160" i="8"/>
  <c r="U162" i="8"/>
  <c r="U164" i="8"/>
  <c r="U166" i="8"/>
  <c r="U279" i="8"/>
  <c r="U271" i="8"/>
  <c r="U163" i="8"/>
  <c r="U284" i="8"/>
  <c r="U273" i="8"/>
  <c r="U161" i="8"/>
  <c r="U275" i="8"/>
  <c r="U159" i="8"/>
  <c r="U277" i="8"/>
  <c r="U269" i="8"/>
  <c r="U165" i="8"/>
  <c r="Y123" i="8"/>
  <c r="I39" i="7" s="1"/>
  <c r="Y121" i="8"/>
  <c r="I37" i="7" s="1"/>
  <c r="Y459" i="8"/>
  <c r="Y124" i="8"/>
  <c r="I40" i="7" s="1"/>
  <c r="Y120" i="8"/>
  <c r="Y460" i="8"/>
  <c r="AG104" i="8"/>
  <c r="Q32" i="7" s="1"/>
  <c r="AG100" i="8"/>
  <c r="AG110" i="8"/>
  <c r="AG345" i="8"/>
  <c r="AG224" i="8"/>
  <c r="AG101" i="8"/>
  <c r="AG99" i="8"/>
  <c r="AG452" i="8"/>
  <c r="AG454" i="8"/>
  <c r="AG456" i="8"/>
  <c r="AG458" i="8"/>
  <c r="AG112" i="8"/>
  <c r="AG455" i="8"/>
  <c r="AG453" i="8"/>
  <c r="V89" i="1"/>
  <c r="V90" i="1"/>
  <c r="V87" i="1"/>
  <c r="O38" i="7"/>
  <c r="O171" i="8"/>
  <c r="Q171" i="8"/>
  <c r="U171" i="8"/>
  <c r="K171" i="8"/>
  <c r="T66" i="1"/>
  <c r="T71" i="1" s="1"/>
  <c r="S171" i="8"/>
  <c r="M171" i="8"/>
  <c r="V44" i="1"/>
  <c r="X44" i="1" s="1"/>
  <c r="R47" i="1"/>
  <c r="T47" i="1" s="1"/>
  <c r="B215" i="8"/>
  <c r="A226" i="8"/>
  <c r="I474" i="8"/>
  <c r="I479" i="8" s="1"/>
  <c r="AC168" i="8"/>
  <c r="AE171" i="8"/>
  <c r="O19" i="7"/>
  <c r="AC181" i="8"/>
  <c r="AC31" i="8"/>
  <c r="U31" i="8"/>
  <c r="B202" i="8"/>
  <c r="AC281" i="8"/>
  <c r="AC24" i="8"/>
  <c r="AC295" i="8"/>
  <c r="AC42" i="8"/>
  <c r="AC57" i="8"/>
  <c r="Z87" i="1"/>
  <c r="Z86" i="1"/>
  <c r="Z88" i="1"/>
  <c r="M34" i="7"/>
  <c r="Z90" i="1"/>
  <c r="AC51" i="8"/>
  <c r="AG375" i="8"/>
  <c r="O34" i="7"/>
  <c r="O40" i="7"/>
  <c r="O69" i="7"/>
  <c r="O39" i="7"/>
  <c r="O37" i="7"/>
  <c r="O21" i="7"/>
  <c r="O24" i="7"/>
  <c r="O31" i="7"/>
  <c r="Z89" i="1"/>
  <c r="AI416" i="8"/>
  <c r="AJ416" i="8" s="1"/>
  <c r="E44" i="2"/>
  <c r="I41" i="3"/>
  <c r="X45" i="1"/>
  <c r="B433" i="8"/>
  <c r="U24" i="8"/>
  <c r="W44" i="8"/>
  <c r="G31" i="7"/>
  <c r="M42" i="8"/>
  <c r="M24" i="8"/>
  <c r="Q31" i="8"/>
  <c r="U42" i="8"/>
  <c r="O31" i="8"/>
  <c r="AA392" i="8"/>
  <c r="AA122" i="8" s="1"/>
  <c r="I23" i="3"/>
  <c r="AI379" i="8"/>
  <c r="AJ379" i="8" s="1"/>
  <c r="AI378" i="8"/>
  <c r="AJ378" i="8" s="1"/>
  <c r="W391" i="8"/>
  <c r="G23" i="3"/>
  <c r="K42" i="8"/>
  <c r="R46" i="1"/>
  <c r="T46" i="1" s="1"/>
  <c r="R48" i="1"/>
  <c r="T48" i="1" s="1"/>
  <c r="R49" i="1"/>
  <c r="T49" i="1" s="1"/>
  <c r="R45" i="1"/>
  <c r="I69" i="7"/>
  <c r="AA391" i="8"/>
  <c r="F25" i="16"/>
  <c r="AE391" i="8"/>
  <c r="O42" i="8"/>
  <c r="Q24" i="8"/>
  <c r="K31" i="8"/>
  <c r="I44" i="2"/>
  <c r="K39" i="2" s="1"/>
  <c r="K20" i="2"/>
  <c r="V47" i="1" s="1"/>
  <c r="X47" i="1" s="1"/>
  <c r="AA71" i="1"/>
  <c r="AA75" i="1" s="1"/>
  <c r="AI393" i="8"/>
  <c r="AJ393" i="8" s="1"/>
  <c r="K380" i="8"/>
  <c r="AI380" i="8" s="1"/>
  <c r="AJ380" i="8" s="1"/>
  <c r="AD26" i="1"/>
  <c r="K19" i="2"/>
  <c r="V46" i="1" s="1"/>
  <c r="X46" i="1" s="1"/>
  <c r="G24" i="2"/>
  <c r="S42" i="8"/>
  <c r="Q42" i="8"/>
  <c r="K24" i="8"/>
  <c r="S24" i="8"/>
  <c r="O24" i="8"/>
  <c r="X48" i="1"/>
  <c r="X49" i="1"/>
  <c r="M31" i="8"/>
  <c r="R75" i="1"/>
  <c r="S31" i="8"/>
  <c r="Y391" i="8"/>
  <c r="AC391" i="8"/>
  <c r="Y44" i="8"/>
  <c r="I94" i="8"/>
  <c r="AA44" i="8"/>
  <c r="I44" i="8"/>
  <c r="I24" i="7"/>
  <c r="I21" i="7"/>
  <c r="T72" i="1" l="1"/>
  <c r="D5" i="23"/>
  <c r="F5" i="23"/>
  <c r="H5" i="23" s="1"/>
  <c r="H6" i="23"/>
  <c r="D6" i="23"/>
  <c r="Y167" i="22"/>
  <c r="X160" i="22"/>
  <c r="L16" i="16"/>
  <c r="L23" i="16" s="1"/>
  <c r="H20" i="16"/>
  <c r="H21" i="16"/>
  <c r="H22" i="16"/>
  <c r="H19" i="16"/>
  <c r="H23" i="16"/>
  <c r="AC125" i="8"/>
  <c r="T69" i="1"/>
  <c r="T68" i="1"/>
  <c r="T70" i="1"/>
  <c r="T73" i="1"/>
  <c r="I17" i="2"/>
  <c r="G25" i="2"/>
  <c r="W110" i="8"/>
  <c r="W345" i="8"/>
  <c r="W224" i="8"/>
  <c r="W452" i="8"/>
  <c r="W454" i="8"/>
  <c r="W456" i="8"/>
  <c r="W458" i="8"/>
  <c r="W112" i="8"/>
  <c r="W453" i="8"/>
  <c r="W455" i="8"/>
  <c r="W104" i="8"/>
  <c r="W100" i="8"/>
  <c r="W99" i="8"/>
  <c r="W101" i="8"/>
  <c r="AA101" i="8"/>
  <c r="K29" i="7" s="1"/>
  <c r="AA99" i="8"/>
  <c r="AA452" i="8"/>
  <c r="AA454" i="8"/>
  <c r="AA456" i="8"/>
  <c r="AA458" i="8"/>
  <c r="AA112" i="8"/>
  <c r="AA104" i="8"/>
  <c r="K32" i="7" s="1"/>
  <c r="AA100" i="8"/>
  <c r="K28" i="7" s="1"/>
  <c r="AA110" i="8"/>
  <c r="AA345" i="8"/>
  <c r="AA224" i="8"/>
  <c r="AA453" i="8"/>
  <c r="AA455" i="8"/>
  <c r="Y345" i="8"/>
  <c r="Y224" i="8"/>
  <c r="Y101" i="8"/>
  <c r="I29" i="7" s="1"/>
  <c r="Y99" i="8"/>
  <c r="Y104" i="8"/>
  <c r="I32" i="7" s="1"/>
  <c r="Y100" i="8"/>
  <c r="I28" i="7" s="1"/>
  <c r="Y453" i="8"/>
  <c r="Y455" i="8"/>
  <c r="Y110" i="8"/>
  <c r="Y452" i="8"/>
  <c r="Y456" i="8"/>
  <c r="Y454" i="8"/>
  <c r="Y112" i="8"/>
  <c r="Y458" i="8"/>
  <c r="AE453" i="8"/>
  <c r="AE455" i="8"/>
  <c r="AE110" i="8"/>
  <c r="AE345" i="8"/>
  <c r="AE224" i="8"/>
  <c r="AE452" i="8"/>
  <c r="AE454" i="8"/>
  <c r="AE456" i="8"/>
  <c r="AE458" i="8"/>
  <c r="AE112" i="8"/>
  <c r="AE101" i="8"/>
  <c r="O29" i="7" s="1"/>
  <c r="AE99" i="8"/>
  <c r="AE100" i="8"/>
  <c r="O28" i="7" s="1"/>
  <c r="AE104" i="8"/>
  <c r="O32" i="7" s="1"/>
  <c r="AC453" i="8"/>
  <c r="AC455" i="8"/>
  <c r="AC104" i="8"/>
  <c r="M32" i="7" s="1"/>
  <c r="AC100" i="8"/>
  <c r="M28" i="7" s="1"/>
  <c r="AC452" i="8"/>
  <c r="AC454" i="8"/>
  <c r="AC456" i="8"/>
  <c r="AC458" i="8"/>
  <c r="AC112" i="8"/>
  <c r="AC110" i="8"/>
  <c r="AC345" i="8"/>
  <c r="AC224" i="8"/>
  <c r="AC101" i="8"/>
  <c r="M29" i="7" s="1"/>
  <c r="AC99" i="8"/>
  <c r="Q38" i="7"/>
  <c r="A233" i="8"/>
  <c r="M281" i="8"/>
  <c r="K281" i="8"/>
  <c r="K168" i="8"/>
  <c r="O281" i="8"/>
  <c r="U168" i="8"/>
  <c r="Q168" i="8"/>
  <c r="S281" i="8"/>
  <c r="M168" i="8"/>
  <c r="S168" i="8"/>
  <c r="U281" i="8"/>
  <c r="Q281" i="8"/>
  <c r="O168" i="8"/>
  <c r="X66" i="1"/>
  <c r="X73" i="1" s="1"/>
  <c r="K38" i="7"/>
  <c r="AA125" i="8"/>
  <c r="AE57" i="8"/>
  <c r="B232" i="8"/>
  <c r="AI423" i="8"/>
  <c r="AE168" i="8"/>
  <c r="AE181" i="8"/>
  <c r="AG171" i="8"/>
  <c r="AI171" i="8" s="1"/>
  <c r="AI165" i="8"/>
  <c r="AI164" i="8"/>
  <c r="AI162" i="8"/>
  <c r="AI158" i="8"/>
  <c r="AI159" i="8"/>
  <c r="AI166" i="8"/>
  <c r="AI161" i="8"/>
  <c r="AI160" i="8"/>
  <c r="AI167" i="8"/>
  <c r="AI163" i="8"/>
  <c r="AC44" i="8"/>
  <c r="AI284" i="8"/>
  <c r="AI280" i="8"/>
  <c r="AI279" i="8"/>
  <c r="AI278" i="8"/>
  <c r="AI277" i="8"/>
  <c r="AI276" i="8"/>
  <c r="AI275" i="8"/>
  <c r="AI274" i="8"/>
  <c r="AI273" i="8"/>
  <c r="AI272" i="8"/>
  <c r="AI271" i="8"/>
  <c r="AI270" i="8"/>
  <c r="AI269" i="8"/>
  <c r="Q27" i="7"/>
  <c r="Q29" i="7"/>
  <c r="Q33" i="7"/>
  <c r="AE295" i="8"/>
  <c r="AE281" i="8"/>
  <c r="Q28" i="7"/>
  <c r="I371" i="8"/>
  <c r="B8" i="23" s="1"/>
  <c r="H8" i="23" s="1"/>
  <c r="O169" i="22"/>
  <c r="O170" i="22" s="1"/>
  <c r="AE42" i="8"/>
  <c r="AE31" i="8"/>
  <c r="AE24" i="8"/>
  <c r="O36" i="7"/>
  <c r="AE125" i="8"/>
  <c r="AI364" i="8"/>
  <c r="AI356" i="8"/>
  <c r="AI422" i="8"/>
  <c r="AI30" i="8"/>
  <c r="AI362" i="8"/>
  <c r="AI65" i="8"/>
  <c r="AI184" i="8"/>
  <c r="AI39" i="8"/>
  <c r="AI460" i="8"/>
  <c r="AI36" i="8"/>
  <c r="AI41" i="8"/>
  <c r="AI38" i="8"/>
  <c r="AI20" i="8"/>
  <c r="Q34" i="7"/>
  <c r="E34" i="7" s="1"/>
  <c r="Q40" i="7"/>
  <c r="AI40" i="8"/>
  <c r="AI35" i="8"/>
  <c r="Q69" i="7"/>
  <c r="AI22" i="8"/>
  <c r="AI23" i="8"/>
  <c r="AI459" i="8"/>
  <c r="AI435" i="8"/>
  <c r="Q39" i="7"/>
  <c r="AI446" i="8"/>
  <c r="Q37" i="7"/>
  <c r="Q21" i="7"/>
  <c r="E21" i="7" s="1"/>
  <c r="AI256" i="8"/>
  <c r="Q19" i="7"/>
  <c r="E19" i="7" s="1"/>
  <c r="AI457" i="8"/>
  <c r="AE51" i="8"/>
  <c r="Z46" i="1"/>
  <c r="O382" i="8" s="1"/>
  <c r="I20" i="2"/>
  <c r="Q381" i="8" s="1"/>
  <c r="Z47" i="1"/>
  <c r="Q382" i="8" s="1"/>
  <c r="K42" i="2"/>
  <c r="T45" i="1"/>
  <c r="Z45" i="1" s="1"/>
  <c r="M382" i="8" s="1"/>
  <c r="Q44" i="8"/>
  <c r="U44" i="8"/>
  <c r="M44" i="8"/>
  <c r="S44" i="8"/>
  <c r="G39" i="7"/>
  <c r="Z49" i="1"/>
  <c r="U382" i="8" s="1"/>
  <c r="G37" i="7"/>
  <c r="O44" i="8"/>
  <c r="I22" i="2"/>
  <c r="I19" i="2"/>
  <c r="I18" i="2"/>
  <c r="G40" i="7"/>
  <c r="J18" i="16"/>
  <c r="I36" i="7"/>
  <c r="Y125" i="8"/>
  <c r="Z48" i="1"/>
  <c r="S382" i="8" s="1"/>
  <c r="K44" i="8"/>
  <c r="K21" i="2"/>
  <c r="K24" i="2" s="1"/>
  <c r="L22" i="16"/>
  <c r="N22" i="16" s="1"/>
  <c r="G69" i="7"/>
  <c r="G36" i="7"/>
  <c r="W125" i="8"/>
  <c r="K41" i="2"/>
  <c r="K40" i="2"/>
  <c r="R51" i="1"/>
  <c r="AI391" i="8"/>
  <c r="AJ391" i="8" s="1"/>
  <c r="B51" i="8"/>
  <c r="T75" i="1" l="1"/>
  <c r="N23" i="16"/>
  <c r="Z73" i="1"/>
  <c r="U383" i="8" s="1"/>
  <c r="U447" i="8" s="1"/>
  <c r="H25" i="16"/>
  <c r="L18" i="16"/>
  <c r="O54" i="8"/>
  <c r="O293" i="8"/>
  <c r="O291" i="8"/>
  <c r="O289" i="8"/>
  <c r="O287" i="8"/>
  <c r="O427" i="8"/>
  <c r="O49" i="8"/>
  <c r="O175" i="8"/>
  <c r="O177" i="8"/>
  <c r="O179" i="8"/>
  <c r="O84" i="8"/>
  <c r="O55" i="8"/>
  <c r="O300" i="8"/>
  <c r="O294" i="8"/>
  <c r="O292" i="8"/>
  <c r="O290" i="8"/>
  <c r="O288" i="8"/>
  <c r="O426" i="8"/>
  <c r="O48" i="8"/>
  <c r="O176" i="8"/>
  <c r="O178" i="8"/>
  <c r="O180" i="8"/>
  <c r="O174" i="8"/>
  <c r="O303" i="8"/>
  <c r="O411" i="8" s="1"/>
  <c r="C73" i="6" s="1"/>
  <c r="O188" i="8"/>
  <c r="S174" i="8"/>
  <c r="S176" i="8"/>
  <c r="S178" i="8"/>
  <c r="S180" i="8"/>
  <c r="S300" i="8"/>
  <c r="S294" i="8"/>
  <c r="S292" i="8"/>
  <c r="S290" i="8"/>
  <c r="S288" i="8"/>
  <c r="S427" i="8"/>
  <c r="S49" i="8"/>
  <c r="S175" i="8"/>
  <c r="S177" i="8"/>
  <c r="S179" i="8"/>
  <c r="S84" i="8"/>
  <c r="S54" i="8"/>
  <c r="S293" i="8"/>
  <c r="S291" i="8"/>
  <c r="S289" i="8"/>
  <c r="S287" i="8"/>
  <c r="S426" i="8"/>
  <c r="S48" i="8"/>
  <c r="S55" i="8"/>
  <c r="S303" i="8"/>
  <c r="S411" i="8" s="1"/>
  <c r="C75" i="6" s="1"/>
  <c r="S188" i="8"/>
  <c r="U429" i="8"/>
  <c r="U85" i="8"/>
  <c r="M427" i="8"/>
  <c r="M49" i="8"/>
  <c r="M54" i="8"/>
  <c r="M174" i="8"/>
  <c r="M426" i="8"/>
  <c r="M48" i="8"/>
  <c r="M55" i="8"/>
  <c r="M300" i="8"/>
  <c r="M294" i="8"/>
  <c r="M292" i="8"/>
  <c r="M290" i="8"/>
  <c r="M288" i="8"/>
  <c r="M176" i="8"/>
  <c r="M178" i="8"/>
  <c r="M180" i="8"/>
  <c r="M293" i="8"/>
  <c r="M179" i="8"/>
  <c r="M287" i="8"/>
  <c r="M177" i="8"/>
  <c r="M84" i="8"/>
  <c r="M289" i="8"/>
  <c r="M175" i="8"/>
  <c r="M291" i="8"/>
  <c r="M188" i="8"/>
  <c r="M303" i="8"/>
  <c r="M411" i="8" s="1"/>
  <c r="C72" i="6" s="1"/>
  <c r="U426" i="8"/>
  <c r="U48" i="8"/>
  <c r="U55" i="8"/>
  <c r="U427" i="8"/>
  <c r="U49" i="8"/>
  <c r="U54" i="8"/>
  <c r="U293" i="8"/>
  <c r="U291" i="8"/>
  <c r="U289" i="8"/>
  <c r="U287" i="8"/>
  <c r="U175" i="8"/>
  <c r="U177" i="8"/>
  <c r="U179" i="8"/>
  <c r="U84" i="8"/>
  <c r="U174" i="8"/>
  <c r="U292" i="8"/>
  <c r="U180" i="8"/>
  <c r="U300" i="8"/>
  <c r="U294" i="8"/>
  <c r="U178" i="8"/>
  <c r="U288" i="8"/>
  <c r="U176" i="8"/>
  <c r="U290" i="8"/>
  <c r="U303" i="8"/>
  <c r="U411" i="8" s="1"/>
  <c r="C76" i="6" s="1"/>
  <c r="U188" i="8"/>
  <c r="Q293" i="8"/>
  <c r="Q291" i="8"/>
  <c r="Q289" i="8"/>
  <c r="Q287" i="8"/>
  <c r="Q176" i="8"/>
  <c r="Q178" i="8"/>
  <c r="Q180" i="8"/>
  <c r="Q174" i="8"/>
  <c r="Q55" i="8"/>
  <c r="Q300" i="8"/>
  <c r="Q294" i="8"/>
  <c r="Q292" i="8"/>
  <c r="Q290" i="8"/>
  <c r="Q288" i="8"/>
  <c r="Q175" i="8"/>
  <c r="Q177" i="8"/>
  <c r="Q179" i="8"/>
  <c r="Q84" i="8"/>
  <c r="Q426" i="8"/>
  <c r="Q48" i="8"/>
  <c r="Q54" i="8"/>
  <c r="Q49" i="8"/>
  <c r="Q427" i="8"/>
  <c r="Q188" i="8"/>
  <c r="Q303" i="8"/>
  <c r="Q411" i="8" s="1"/>
  <c r="C74" i="6" s="1"/>
  <c r="AI122" i="8"/>
  <c r="E38" i="7"/>
  <c r="C74" i="7"/>
  <c r="AG181" i="8"/>
  <c r="AG168" i="8"/>
  <c r="AI157" i="8"/>
  <c r="AG295" i="8"/>
  <c r="AG281" i="8"/>
  <c r="AI281" i="8" s="1"/>
  <c r="AI268" i="8"/>
  <c r="AI123" i="8"/>
  <c r="AG57" i="8"/>
  <c r="E39" i="7"/>
  <c r="AI455" i="8"/>
  <c r="AI367" i="8"/>
  <c r="AI124" i="8"/>
  <c r="E69" i="7"/>
  <c r="E40" i="7"/>
  <c r="AE44" i="8"/>
  <c r="AI71" i="8"/>
  <c r="Q24" i="7"/>
  <c r="E24" i="7" s="1"/>
  <c r="AI86" i="8"/>
  <c r="AG51" i="8"/>
  <c r="AG42" i="8"/>
  <c r="AI34" i="8"/>
  <c r="E37" i="7"/>
  <c r="AI111" i="8"/>
  <c r="AG31" i="8"/>
  <c r="AI31" i="8" s="1"/>
  <c r="AI27" i="8"/>
  <c r="Q31" i="7"/>
  <c r="E31" i="7" s="1"/>
  <c r="AI103" i="8"/>
  <c r="Q36" i="7"/>
  <c r="E36" i="7" s="1"/>
  <c r="AG125" i="8"/>
  <c r="AI125" i="8" s="1"/>
  <c r="AI120" i="8"/>
  <c r="AI121" i="8"/>
  <c r="AG105" i="8"/>
  <c r="AG24" i="8"/>
  <c r="AI24" i="8" s="1"/>
  <c r="AI19" i="8"/>
  <c r="T51" i="1"/>
  <c r="V71" i="1"/>
  <c r="X71" i="1" s="1"/>
  <c r="Z71" i="1" s="1"/>
  <c r="Q383" i="8" s="1"/>
  <c r="J21" i="16"/>
  <c r="L21" i="16" s="1"/>
  <c r="N21" i="16" s="1"/>
  <c r="Q384" i="8" s="1"/>
  <c r="K44" i="2"/>
  <c r="AI454" i="8"/>
  <c r="AI453" i="8"/>
  <c r="AI345" i="8"/>
  <c r="G33" i="7"/>
  <c r="AI110" i="8"/>
  <c r="AI456" i="8"/>
  <c r="G28" i="7"/>
  <c r="E28" i="7" s="1"/>
  <c r="AI100" i="8"/>
  <c r="J20" i="16"/>
  <c r="L20" i="16" s="1"/>
  <c r="N20" i="16" s="1"/>
  <c r="V51" i="1"/>
  <c r="M27" i="7"/>
  <c r="AC105" i="8"/>
  <c r="S381" i="8"/>
  <c r="V72" i="1"/>
  <c r="X72" i="1" s="1"/>
  <c r="Z72" i="1" s="1"/>
  <c r="S383" i="8" s="1"/>
  <c r="I27" i="7"/>
  <c r="Y105" i="8"/>
  <c r="K33" i="7"/>
  <c r="O33" i="7"/>
  <c r="M50" i="7"/>
  <c r="M63" i="7"/>
  <c r="M51" i="7"/>
  <c r="M64" i="7"/>
  <c r="AI112" i="8"/>
  <c r="AI452" i="8"/>
  <c r="G32" i="7"/>
  <c r="E32" i="7" s="1"/>
  <c r="AI104" i="8"/>
  <c r="S384" i="8"/>
  <c r="V68" i="1"/>
  <c r="X68" i="1" s="1"/>
  <c r="K381" i="8"/>
  <c r="I21" i="2"/>
  <c r="I24" i="2" s="1"/>
  <c r="I33" i="7"/>
  <c r="K27" i="7"/>
  <c r="AA105" i="8"/>
  <c r="G27" i="7"/>
  <c r="AI99" i="8"/>
  <c r="W105" i="8"/>
  <c r="J19" i="16"/>
  <c r="L19" i="16" s="1"/>
  <c r="N19" i="16" s="1"/>
  <c r="M33" i="7"/>
  <c r="V70" i="1"/>
  <c r="X70" i="1" s="1"/>
  <c r="Z70" i="1" s="1"/>
  <c r="O383" i="8" s="1"/>
  <c r="O381" i="8"/>
  <c r="O27" i="7"/>
  <c r="AE105" i="8"/>
  <c r="AI224" i="8"/>
  <c r="AI458" i="8"/>
  <c r="G29" i="7"/>
  <c r="E29" i="7" s="1"/>
  <c r="AI101" i="8"/>
  <c r="U384" i="8"/>
  <c r="O64" i="7"/>
  <c r="O51" i="7"/>
  <c r="O63" i="7"/>
  <c r="O50" i="7"/>
  <c r="V69" i="1"/>
  <c r="X69" i="1" s="1"/>
  <c r="Z69" i="1" s="1"/>
  <c r="M383" i="8" s="1"/>
  <c r="M381" i="8"/>
  <c r="AI168" i="8" l="1"/>
  <c r="U434" i="8"/>
  <c r="U445" i="8"/>
  <c r="U87" i="8"/>
  <c r="U436" i="8"/>
  <c r="U70" i="8"/>
  <c r="U72" i="8"/>
  <c r="U63" i="8"/>
  <c r="O51" i="8"/>
  <c r="Q85" i="8"/>
  <c r="Q87" i="8"/>
  <c r="Q72" i="8"/>
  <c r="Q70" i="8"/>
  <c r="Q434" i="8"/>
  <c r="Q436" i="8"/>
  <c r="Q429" i="8"/>
  <c r="Q63" i="8"/>
  <c r="Q445" i="8"/>
  <c r="Q447" i="8"/>
  <c r="U82" i="8"/>
  <c r="U431" i="8"/>
  <c r="U67" i="8"/>
  <c r="U443" i="8"/>
  <c r="U302" i="8"/>
  <c r="U413" i="8" s="1"/>
  <c r="U187" i="8"/>
  <c r="O63" i="8"/>
  <c r="O445" i="8"/>
  <c r="O447" i="8"/>
  <c r="O434" i="8"/>
  <c r="O436" i="8"/>
  <c r="O429" i="8"/>
  <c r="O85" i="8"/>
  <c r="O87" i="8"/>
  <c r="O72" i="8"/>
  <c r="O70" i="8"/>
  <c r="S72" i="8"/>
  <c r="S70" i="8"/>
  <c r="S85" i="8"/>
  <c r="S87" i="8"/>
  <c r="S445" i="8"/>
  <c r="S447" i="8"/>
  <c r="S63" i="8"/>
  <c r="S434" i="8"/>
  <c r="S436" i="8"/>
  <c r="S429" i="8"/>
  <c r="M445" i="8"/>
  <c r="M447" i="8"/>
  <c r="M63" i="8"/>
  <c r="M72" i="8"/>
  <c r="M70" i="8"/>
  <c r="M434" i="8"/>
  <c r="M436" i="8"/>
  <c r="M429" i="8"/>
  <c r="M85" i="8"/>
  <c r="M87" i="8"/>
  <c r="S443" i="8"/>
  <c r="S82" i="8"/>
  <c r="S431" i="8"/>
  <c r="S67" i="8"/>
  <c r="S302" i="8"/>
  <c r="S413" i="8" s="1"/>
  <c r="S187" i="8"/>
  <c r="Q443" i="8"/>
  <c r="Q431" i="8"/>
  <c r="Q67" i="8"/>
  <c r="Q82" i="8"/>
  <c r="Q302" i="8"/>
  <c r="Q413" i="8" s="1"/>
  <c r="C93" i="6" s="1"/>
  <c r="Q187" i="8"/>
  <c r="Q181" i="8"/>
  <c r="U181" i="8"/>
  <c r="O181" i="8"/>
  <c r="M181" i="8"/>
  <c r="S181" i="8"/>
  <c r="O57" i="8"/>
  <c r="U295" i="8"/>
  <c r="M295" i="8"/>
  <c r="S295" i="8"/>
  <c r="Q295" i="8"/>
  <c r="O295" i="8"/>
  <c r="AG44" i="8"/>
  <c r="AI44" i="8" s="1"/>
  <c r="AI42" i="8"/>
  <c r="Q51" i="8"/>
  <c r="Q57" i="8"/>
  <c r="M51" i="8"/>
  <c r="M57" i="8"/>
  <c r="E27" i="7"/>
  <c r="U51" i="8"/>
  <c r="S57" i="8"/>
  <c r="O384" i="8"/>
  <c r="K50" i="7"/>
  <c r="K63" i="7"/>
  <c r="K51" i="7"/>
  <c r="K64" i="7"/>
  <c r="AI105" i="8"/>
  <c r="U57" i="8"/>
  <c r="J25" i="16"/>
  <c r="V75" i="1"/>
  <c r="Q50" i="7"/>
  <c r="Q51" i="7"/>
  <c r="Q63" i="7"/>
  <c r="Q64" i="7"/>
  <c r="L25" i="16"/>
  <c r="N18" i="16"/>
  <c r="X51" i="1"/>
  <c r="Z44" i="1"/>
  <c r="E33" i="7"/>
  <c r="M384" i="8"/>
  <c r="AI381" i="8"/>
  <c r="AJ381" i="8" s="1"/>
  <c r="S51" i="8"/>
  <c r="M82" i="8" l="1"/>
  <c r="M431" i="8"/>
  <c r="M67" i="8"/>
  <c r="M443" i="8"/>
  <c r="M302" i="8"/>
  <c r="M413" i="8" s="1"/>
  <c r="M187" i="8"/>
  <c r="O431" i="8"/>
  <c r="O67" i="8"/>
  <c r="O82" i="8"/>
  <c r="O443" i="8"/>
  <c r="O302" i="8"/>
  <c r="O413" i="8" s="1"/>
  <c r="O187" i="8"/>
  <c r="AI386" i="8"/>
  <c r="N25" i="16"/>
  <c r="K384" i="8"/>
  <c r="C95" i="6"/>
  <c r="C94" i="6"/>
  <c r="Z51" i="1"/>
  <c r="K382" i="8"/>
  <c r="Z68" i="1"/>
  <c r="X75" i="1"/>
  <c r="K175" i="8" l="1"/>
  <c r="AI175" i="8" s="1"/>
  <c r="K177" i="8"/>
  <c r="AI177" i="8" s="1"/>
  <c r="K179" i="8"/>
  <c r="AI179" i="8" s="1"/>
  <c r="K84" i="8"/>
  <c r="AI84" i="8" s="1"/>
  <c r="K293" i="8"/>
  <c r="AI293" i="8" s="1"/>
  <c r="K291" i="8"/>
  <c r="AI291" i="8" s="1"/>
  <c r="K289" i="8"/>
  <c r="AI289" i="8" s="1"/>
  <c r="K287" i="8"/>
  <c r="K426" i="8"/>
  <c r="AI426" i="8" s="1"/>
  <c r="K48" i="8"/>
  <c r="K174" i="8"/>
  <c r="K176" i="8"/>
  <c r="AI176" i="8" s="1"/>
  <c r="K178" i="8"/>
  <c r="AI178" i="8" s="1"/>
  <c r="K180" i="8"/>
  <c r="AI180" i="8" s="1"/>
  <c r="K55" i="8"/>
  <c r="AI55" i="8" s="1"/>
  <c r="K300" i="8"/>
  <c r="AI300" i="8" s="1"/>
  <c r="K294" i="8"/>
  <c r="AI294" i="8" s="1"/>
  <c r="K292" i="8"/>
  <c r="AI292" i="8" s="1"/>
  <c r="K290" i="8"/>
  <c r="AI290" i="8" s="1"/>
  <c r="K288" i="8"/>
  <c r="AI288" i="8" s="1"/>
  <c r="K427" i="8"/>
  <c r="AI427" i="8" s="1"/>
  <c r="K49" i="8"/>
  <c r="AI49" i="8" s="1"/>
  <c r="K54" i="8"/>
  <c r="K188" i="8"/>
  <c r="AI188" i="8" s="1"/>
  <c r="K303" i="8"/>
  <c r="K443" i="8"/>
  <c r="AI443" i="8" s="1"/>
  <c r="K82" i="8"/>
  <c r="K431" i="8"/>
  <c r="AI431" i="8" s="1"/>
  <c r="K67" i="8"/>
  <c r="AI67" i="8" s="1"/>
  <c r="K302" i="8"/>
  <c r="K187" i="8"/>
  <c r="AI187" i="8" s="1"/>
  <c r="AI382" i="8"/>
  <c r="AJ382" i="8" s="1"/>
  <c r="C91" i="6"/>
  <c r="AI384" i="8"/>
  <c r="AJ384" i="8" s="1"/>
  <c r="K383" i="8"/>
  <c r="Z75" i="1"/>
  <c r="C92" i="6"/>
  <c r="K434" i="8" l="1"/>
  <c r="AI434" i="8" s="1"/>
  <c r="K436" i="8"/>
  <c r="AI436" i="8" s="1"/>
  <c r="K429" i="8"/>
  <c r="AI429" i="8" s="1"/>
  <c r="K72" i="8"/>
  <c r="AI72" i="8" s="1"/>
  <c r="K70" i="8"/>
  <c r="AI70" i="8" s="1"/>
  <c r="K85" i="8"/>
  <c r="AI85" i="8" s="1"/>
  <c r="K87" i="8"/>
  <c r="AI87" i="8" s="1"/>
  <c r="K445" i="8"/>
  <c r="AI445" i="8" s="1"/>
  <c r="K447" i="8"/>
  <c r="AI447" i="8" s="1"/>
  <c r="K63" i="8"/>
  <c r="K413" i="8"/>
  <c r="AI425" i="8"/>
  <c r="K181" i="8"/>
  <c r="AI174" i="8"/>
  <c r="AI287" i="8"/>
  <c r="K295" i="8"/>
  <c r="AI295" i="8" s="1"/>
  <c r="AI383" i="8"/>
  <c r="AJ383" i="8" s="1"/>
  <c r="AI82" i="8"/>
  <c r="K411" i="8"/>
  <c r="AI303" i="8"/>
  <c r="K51" i="8"/>
  <c r="AI51" i="8" s="1"/>
  <c r="AI47" i="8"/>
  <c r="AI302" i="8"/>
  <c r="K57" i="8"/>
  <c r="AI57" i="8" s="1"/>
  <c r="AI54" i="8"/>
  <c r="AI181" i="8" l="1"/>
  <c r="AI385" i="8"/>
  <c r="C71" i="6"/>
  <c r="C78" i="6" s="1"/>
  <c r="AI411" i="8"/>
  <c r="K412" i="8" s="1"/>
  <c r="C90" i="6"/>
  <c r="C97" i="6" s="1"/>
  <c r="AI413" i="8"/>
  <c r="K414" i="8" s="1"/>
  <c r="AI63" i="8"/>
  <c r="K306" i="8" l="1"/>
  <c r="K307" i="8"/>
  <c r="K305" i="8"/>
  <c r="K301" i="8"/>
  <c r="K299" i="8"/>
  <c r="K298" i="8"/>
  <c r="K190" i="8"/>
  <c r="K191" i="8"/>
  <c r="K185" i="8"/>
  <c r="K186" i="8"/>
  <c r="K81" i="8"/>
  <c r="K442" i="8"/>
  <c r="K432" i="8"/>
  <c r="K444" i="8"/>
  <c r="K68" i="8"/>
  <c r="K83" i="8"/>
  <c r="E90" i="6"/>
  <c r="M412" i="8"/>
  <c r="Q412" i="8"/>
  <c r="U412" i="8"/>
  <c r="O412" i="8"/>
  <c r="S412" i="8"/>
  <c r="Q414" i="8"/>
  <c r="S414" i="8"/>
  <c r="U414" i="8"/>
  <c r="O414" i="8"/>
  <c r="M414" i="8"/>
  <c r="U307" i="8" l="1"/>
  <c r="U305" i="8"/>
  <c r="U306" i="8"/>
  <c r="S307" i="8"/>
  <c r="S305" i="8"/>
  <c r="S306" i="8"/>
  <c r="Q306" i="8"/>
  <c r="Q307" i="8"/>
  <c r="Q305" i="8"/>
  <c r="O306" i="8"/>
  <c r="O307" i="8"/>
  <c r="O305" i="8"/>
  <c r="M306" i="8"/>
  <c r="M307" i="8"/>
  <c r="M305" i="8"/>
  <c r="Q301" i="8"/>
  <c r="Q299" i="8"/>
  <c r="Q298" i="8"/>
  <c r="S299" i="8"/>
  <c r="S298" i="8"/>
  <c r="S301" i="8"/>
  <c r="M301" i="8"/>
  <c r="M299" i="8"/>
  <c r="M298" i="8"/>
  <c r="O301" i="8"/>
  <c r="O299" i="8"/>
  <c r="O298" i="8"/>
  <c r="U298" i="8"/>
  <c r="U301" i="8"/>
  <c r="U299" i="8"/>
  <c r="M190" i="8"/>
  <c r="M191" i="8"/>
  <c r="O190" i="8"/>
  <c r="O191" i="8"/>
  <c r="S190" i="8"/>
  <c r="S191" i="8"/>
  <c r="Q190" i="8"/>
  <c r="Q191" i="8"/>
  <c r="U190" i="8"/>
  <c r="U191" i="8"/>
  <c r="Q185" i="8"/>
  <c r="Q186" i="8"/>
  <c r="M185" i="8"/>
  <c r="M186" i="8"/>
  <c r="O185" i="8"/>
  <c r="O186" i="8"/>
  <c r="S186" i="8"/>
  <c r="S185" i="8"/>
  <c r="U186" i="8"/>
  <c r="U185" i="8"/>
  <c r="Q81" i="8"/>
  <c r="Q442" i="8"/>
  <c r="S81" i="8"/>
  <c r="S442" i="8"/>
  <c r="S432" i="8"/>
  <c r="S444" i="8"/>
  <c r="O432" i="8"/>
  <c r="O444" i="8"/>
  <c r="U444" i="8"/>
  <c r="U432" i="8"/>
  <c r="Q432" i="8"/>
  <c r="Q444" i="8"/>
  <c r="M81" i="8"/>
  <c r="M442" i="8"/>
  <c r="M432" i="8"/>
  <c r="M444" i="8"/>
  <c r="O81" i="8"/>
  <c r="O442" i="8"/>
  <c r="U81" i="8"/>
  <c r="U442" i="8"/>
  <c r="Q68" i="8"/>
  <c r="Q397" i="8" s="1"/>
  <c r="Q83" i="8"/>
  <c r="M68" i="8"/>
  <c r="M397" i="8" s="1"/>
  <c r="M83" i="8"/>
  <c r="S68" i="8"/>
  <c r="S397" i="8" s="1"/>
  <c r="S83" i="8"/>
  <c r="O68" i="8"/>
  <c r="O397" i="8" s="1"/>
  <c r="O83" i="8"/>
  <c r="U68" i="8"/>
  <c r="U397" i="8" s="1"/>
  <c r="U83" i="8"/>
  <c r="E95" i="6"/>
  <c r="E73" i="6"/>
  <c r="E71" i="6"/>
  <c r="K399" i="8"/>
  <c r="AI412" i="8"/>
  <c r="AJ412" i="8" s="1"/>
  <c r="E94" i="6"/>
  <c r="E76" i="6"/>
  <c r="E91" i="6"/>
  <c r="E93" i="6"/>
  <c r="E74" i="6"/>
  <c r="AI414" i="8"/>
  <c r="AJ414" i="8" s="1"/>
  <c r="E92" i="6"/>
  <c r="E75" i="6"/>
  <c r="E72" i="6"/>
  <c r="O399" i="8" l="1"/>
  <c r="C40" i="5" s="1"/>
  <c r="AI299" i="8"/>
  <c r="AI186" i="8"/>
  <c r="AI185" i="8"/>
  <c r="Q399" i="8"/>
  <c r="C41" i="5" s="1"/>
  <c r="M399" i="8"/>
  <c r="C39" i="5" s="1"/>
  <c r="U399" i="8"/>
  <c r="C43" i="5" s="1"/>
  <c r="S399" i="8"/>
  <c r="C42" i="5" s="1"/>
  <c r="E97" i="6"/>
  <c r="AI191" i="8"/>
  <c r="AI306" i="8"/>
  <c r="AI305" i="8"/>
  <c r="AI190" i="8"/>
  <c r="AI442" i="8"/>
  <c r="AI81" i="8"/>
  <c r="AI301" i="8"/>
  <c r="AI307" i="8"/>
  <c r="C18" i="5"/>
  <c r="AI444" i="8"/>
  <c r="E78" i="6"/>
  <c r="C16" i="5"/>
  <c r="C17" i="5"/>
  <c r="C15" i="5"/>
  <c r="C19" i="5"/>
  <c r="AI83" i="8"/>
  <c r="AI68" i="8"/>
  <c r="K397" i="8"/>
  <c r="AI432" i="8"/>
  <c r="AI298" i="8"/>
  <c r="C14" i="5" l="1"/>
  <c r="C38" i="5"/>
  <c r="T120" i="2" l="1"/>
  <c r="T119" i="2"/>
  <c r="E124" i="2" l="1"/>
  <c r="I118" i="2" s="1"/>
  <c r="E81" i="2"/>
  <c r="I120" i="2" l="1"/>
  <c r="AA390" i="8" s="1"/>
  <c r="W390" i="8"/>
  <c r="I123" i="2"/>
  <c r="AG390" i="8" s="1"/>
  <c r="I121" i="2"/>
  <c r="AC390" i="8" s="1"/>
  <c r="I122" i="2"/>
  <c r="AE390" i="8" s="1"/>
  <c r="I119" i="2"/>
  <c r="Y390" i="8" s="1"/>
  <c r="AE308" i="8" l="1"/>
  <c r="O60" i="7" s="1"/>
  <c r="AE254" i="8"/>
  <c r="AE314" i="8"/>
  <c r="AE192" i="8"/>
  <c r="O47" i="7" s="1"/>
  <c r="AE198" i="8"/>
  <c r="AE448" i="8"/>
  <c r="AE88" i="8"/>
  <c r="O25" i="7" s="1"/>
  <c r="AE433" i="8"/>
  <c r="AE69" i="8"/>
  <c r="O20" i="7" s="1"/>
  <c r="Y254" i="8"/>
  <c r="Y314" i="8"/>
  <c r="Y308" i="8"/>
  <c r="I60" i="7" s="1"/>
  <c r="Y192" i="8"/>
  <c r="I47" i="7" s="1"/>
  <c r="Y198" i="8"/>
  <c r="Y88" i="8"/>
  <c r="I25" i="7" s="1"/>
  <c r="Y448" i="8"/>
  <c r="Y69" i="8"/>
  <c r="I20" i="7" s="1"/>
  <c r="Y433" i="8"/>
  <c r="AC314" i="8"/>
  <c r="AC308" i="8"/>
  <c r="M60" i="7" s="1"/>
  <c r="AC254" i="8"/>
  <c r="AC192" i="8"/>
  <c r="M47" i="7" s="1"/>
  <c r="AC198" i="8"/>
  <c r="AC448" i="8"/>
  <c r="AC88" i="8"/>
  <c r="M25" i="7" s="1"/>
  <c r="AC433" i="8"/>
  <c r="AC69" i="8"/>
  <c r="M20" i="7" s="1"/>
  <c r="AG254" i="8"/>
  <c r="AG314" i="8"/>
  <c r="AG308" i="8"/>
  <c r="Q60" i="7" s="1"/>
  <c r="AG192" i="8"/>
  <c r="Q47" i="7" s="1"/>
  <c r="AG198" i="8"/>
  <c r="AG448" i="8"/>
  <c r="AG88" i="8"/>
  <c r="Q25" i="7" s="1"/>
  <c r="AG69" i="8"/>
  <c r="Q20" i="7" s="1"/>
  <c r="AG433" i="8"/>
  <c r="AA314" i="8"/>
  <c r="AA308" i="8"/>
  <c r="K60" i="7" s="1"/>
  <c r="AA254" i="8"/>
  <c r="AA192" i="8"/>
  <c r="K47" i="7" s="1"/>
  <c r="AA198" i="8"/>
  <c r="AA448" i="8"/>
  <c r="AA88" i="8"/>
  <c r="K25" i="7" s="1"/>
  <c r="AA69" i="8"/>
  <c r="K20" i="7" s="1"/>
  <c r="AA433" i="8"/>
  <c r="W314" i="8"/>
  <c r="W254" i="8"/>
  <c r="W88" i="8"/>
  <c r="W192" i="8"/>
  <c r="W69" i="8"/>
  <c r="W308" i="8"/>
  <c r="W433" i="8"/>
  <c r="W198" i="8"/>
  <c r="W448" i="8"/>
  <c r="I124" i="2"/>
  <c r="AI390" i="8"/>
  <c r="AJ390" i="8" s="1"/>
  <c r="AI433" i="8" l="1"/>
  <c r="AI254" i="8"/>
  <c r="AI448" i="8"/>
  <c r="AI88" i="8"/>
  <c r="G25" i="7"/>
  <c r="E25" i="7" s="1"/>
  <c r="G60" i="7"/>
  <c r="AI308" i="8"/>
  <c r="G47" i="7"/>
  <c r="AI192" i="8"/>
  <c r="G20" i="7"/>
  <c r="AI69" i="8"/>
  <c r="E20" i="7" l="1"/>
  <c r="E47" i="7"/>
  <c r="E60" i="7"/>
  <c r="G81" i="2" l="1"/>
  <c r="G83" i="2" l="1"/>
  <c r="I80" i="2" s="1"/>
  <c r="I81" i="2" l="1"/>
  <c r="Y388" i="8" s="1"/>
  <c r="W388" i="8"/>
  <c r="G68" i="2"/>
  <c r="I61" i="2" s="1"/>
  <c r="Y311" i="8" l="1"/>
  <c r="I63" i="7" s="1"/>
  <c r="Y195" i="8"/>
  <c r="I50" i="7" s="1"/>
  <c r="Y312" i="8"/>
  <c r="I64" i="7" s="1"/>
  <c r="Y196" i="8"/>
  <c r="I51" i="7" s="1"/>
  <c r="W195" i="8"/>
  <c r="W311" i="8"/>
  <c r="W196" i="8"/>
  <c r="W312" i="8"/>
  <c r="I63" i="2"/>
  <c r="AA387" i="8" s="1"/>
  <c r="I64" i="2"/>
  <c r="AC387" i="8" s="1"/>
  <c r="I83" i="2"/>
  <c r="AI388" i="8"/>
  <c r="AJ388" i="8" s="1"/>
  <c r="I65" i="2"/>
  <c r="AE387" i="8" s="1"/>
  <c r="I62" i="2"/>
  <c r="Y387" i="8" s="1"/>
  <c r="I66" i="2"/>
  <c r="AG387" i="8" s="1"/>
  <c r="Y309" i="8" l="1"/>
  <c r="Y438" i="8"/>
  <c r="Y89" i="8"/>
  <c r="Y399" i="8" s="1"/>
  <c r="Y193" i="8"/>
  <c r="I48" i="7" s="1"/>
  <c r="Y74" i="8"/>
  <c r="I23" i="7" s="1"/>
  <c r="Y449" i="8"/>
  <c r="Y313" i="8"/>
  <c r="I65" i="7" s="1"/>
  <c r="Y310" i="8"/>
  <c r="I62" i="7" s="1"/>
  <c r="Y437" i="8"/>
  <c r="Y194" i="8"/>
  <c r="I49" i="7" s="1"/>
  <c r="Y197" i="8"/>
  <c r="I52" i="7" s="1"/>
  <c r="Y73" i="8"/>
  <c r="AE194" i="8"/>
  <c r="O49" i="7" s="1"/>
  <c r="AE197" i="8"/>
  <c r="O52" i="7" s="1"/>
  <c r="AE313" i="8"/>
  <c r="O65" i="7" s="1"/>
  <c r="AE310" i="8"/>
  <c r="O62" i="7" s="1"/>
  <c r="AE73" i="8"/>
  <c r="AE74" i="8"/>
  <c r="O23" i="7" s="1"/>
  <c r="AE438" i="8"/>
  <c r="AE89" i="8"/>
  <c r="AE399" i="8" s="1"/>
  <c r="AE193" i="8"/>
  <c r="AE309" i="8"/>
  <c r="AE449" i="8"/>
  <c r="AE437" i="8"/>
  <c r="AC309" i="8"/>
  <c r="M61" i="7" s="1"/>
  <c r="AC313" i="8"/>
  <c r="M65" i="7" s="1"/>
  <c r="AC310" i="8"/>
  <c r="M62" i="7" s="1"/>
  <c r="AC438" i="8"/>
  <c r="AC89" i="8"/>
  <c r="AC399" i="8" s="1"/>
  <c r="AC193" i="8"/>
  <c r="M48" i="7" s="1"/>
  <c r="AC73" i="8"/>
  <c r="M22" i="7" s="1"/>
  <c r="AC437" i="8"/>
  <c r="AC449" i="8"/>
  <c r="AC194" i="8"/>
  <c r="M49" i="7" s="1"/>
  <c r="AC197" i="8"/>
  <c r="M52" i="7" s="1"/>
  <c r="AC74" i="8"/>
  <c r="M23" i="7" s="1"/>
  <c r="AG313" i="8"/>
  <c r="Q65" i="7" s="1"/>
  <c r="AG310" i="8"/>
  <c r="Q62" i="7" s="1"/>
  <c r="AG437" i="8"/>
  <c r="AG194" i="8"/>
  <c r="Q49" i="7" s="1"/>
  <c r="AG197" i="8"/>
  <c r="Q52" i="7" s="1"/>
  <c r="AG73" i="8"/>
  <c r="AG309" i="8"/>
  <c r="AG438" i="8"/>
  <c r="AG89" i="8"/>
  <c r="AG399" i="8" s="1"/>
  <c r="AG193" i="8"/>
  <c r="AG74" i="8"/>
  <c r="Q23" i="7" s="1"/>
  <c r="AG449" i="8"/>
  <c r="AA74" i="8"/>
  <c r="K23" i="7" s="1"/>
  <c r="AA438" i="8"/>
  <c r="AA89" i="8"/>
  <c r="AA399" i="8" s="1"/>
  <c r="AA193" i="8"/>
  <c r="K48" i="7" s="1"/>
  <c r="AA313" i="8"/>
  <c r="K65" i="7" s="1"/>
  <c r="AA310" i="8"/>
  <c r="K62" i="7" s="1"/>
  <c r="AA449" i="8"/>
  <c r="AA73" i="8"/>
  <c r="K22" i="7" s="1"/>
  <c r="AA197" i="8"/>
  <c r="K52" i="7" s="1"/>
  <c r="AA437" i="8"/>
  <c r="AA194" i="8"/>
  <c r="K49" i="7" s="1"/>
  <c r="AA309" i="8"/>
  <c r="K61" i="7" s="1"/>
  <c r="G63" i="7"/>
  <c r="E63" i="7" s="1"/>
  <c r="AI311" i="8"/>
  <c r="G51" i="7"/>
  <c r="E51" i="7" s="1"/>
  <c r="AI196" i="8"/>
  <c r="AI312" i="8"/>
  <c r="G64" i="7"/>
  <c r="E64" i="7" s="1"/>
  <c r="W387" i="8"/>
  <c r="I68" i="2"/>
  <c r="AI195" i="8"/>
  <c r="G50" i="7"/>
  <c r="E50" i="7" s="1"/>
  <c r="W193" i="8" l="1"/>
  <c r="W73" i="8"/>
  <c r="W309" i="8"/>
  <c r="W449" i="8"/>
  <c r="AI449" i="8" s="1"/>
  <c r="W74" i="8"/>
  <c r="W437" i="8"/>
  <c r="AI437" i="8" s="1"/>
  <c r="W194" i="8"/>
  <c r="W197" i="8"/>
  <c r="W313" i="8"/>
  <c r="W310" i="8"/>
  <c r="W438" i="8"/>
  <c r="AI438" i="8" s="1"/>
  <c r="W89" i="8"/>
  <c r="W399" i="8" s="1"/>
  <c r="AC397" i="8"/>
  <c r="C24" i="5" s="1"/>
  <c r="AA397" i="8"/>
  <c r="C23" i="5" s="1"/>
  <c r="M26" i="7"/>
  <c r="K26" i="7"/>
  <c r="Q48" i="7"/>
  <c r="C47" i="5"/>
  <c r="C48" i="5"/>
  <c r="I22" i="7"/>
  <c r="Y397" i="8"/>
  <c r="AI387" i="8"/>
  <c r="AJ387" i="8" s="1"/>
  <c r="AI198" i="8"/>
  <c r="AI314" i="8"/>
  <c r="O22" i="7"/>
  <c r="AE397" i="8"/>
  <c r="I61" i="7"/>
  <c r="Q26" i="7"/>
  <c r="Q22" i="7"/>
  <c r="AG397" i="8"/>
  <c r="O48" i="7"/>
  <c r="I26" i="7"/>
  <c r="Q61" i="7"/>
  <c r="O26" i="7"/>
  <c r="O61" i="7"/>
  <c r="G52" i="7" l="1"/>
  <c r="E52" i="7" s="1"/>
  <c r="AI197" i="8"/>
  <c r="G65" i="7"/>
  <c r="E65" i="7" s="1"/>
  <c r="AI313" i="8"/>
  <c r="C25" i="5"/>
  <c r="G26" i="7"/>
  <c r="E26" i="7" s="1"/>
  <c r="AI89" i="8"/>
  <c r="G23" i="7"/>
  <c r="E23" i="7" s="1"/>
  <c r="AI74" i="8"/>
  <c r="C49" i="5"/>
  <c r="C46" i="5"/>
  <c r="C50" i="5"/>
  <c r="AI310" i="8"/>
  <c r="G62" i="7"/>
  <c r="E62" i="7" s="1"/>
  <c r="C26" i="5"/>
  <c r="AI309" i="8"/>
  <c r="G61" i="7"/>
  <c r="G22" i="7"/>
  <c r="AI73" i="8"/>
  <c r="W397" i="8"/>
  <c r="G49" i="7"/>
  <c r="E49" i="7" s="1"/>
  <c r="AI194" i="8"/>
  <c r="AI193" i="8"/>
  <c r="G48" i="7"/>
  <c r="C22" i="5"/>
  <c r="C45" i="5" l="1"/>
  <c r="C51" i="5" s="1"/>
  <c r="AI399" i="8"/>
  <c r="E22" i="7"/>
  <c r="E48" i="7"/>
  <c r="C21" i="5"/>
  <c r="C27" i="5" s="1"/>
  <c r="AI397" i="8"/>
  <c r="W398" i="8" s="1"/>
  <c r="E61" i="7"/>
  <c r="W400" i="8" l="1"/>
  <c r="W450" i="8" s="1"/>
  <c r="K400" i="8"/>
  <c r="W315" i="8"/>
  <c r="W316" i="8"/>
  <c r="W200" i="8"/>
  <c r="W199" i="8"/>
  <c r="W428" i="8"/>
  <c r="W440" i="8"/>
  <c r="W439" i="8"/>
  <c r="W62" i="8"/>
  <c r="W75" i="8"/>
  <c r="W76" i="8"/>
  <c r="O398" i="8"/>
  <c r="U398" i="8"/>
  <c r="M398" i="8"/>
  <c r="S398" i="8"/>
  <c r="K398" i="8"/>
  <c r="Q398" i="8"/>
  <c r="AA398" i="8"/>
  <c r="AC398" i="8"/>
  <c r="AE398" i="8"/>
  <c r="AG398" i="8"/>
  <c r="Y398" i="8"/>
  <c r="Q400" i="8"/>
  <c r="U400" i="8"/>
  <c r="M400" i="8"/>
  <c r="O400" i="8"/>
  <c r="S400" i="8"/>
  <c r="AC400" i="8"/>
  <c r="AA400" i="8"/>
  <c r="AE400" i="8"/>
  <c r="AG400" i="8"/>
  <c r="Y400" i="8"/>
  <c r="W441" i="8" l="1"/>
  <c r="W91" i="8"/>
  <c r="W80" i="8"/>
  <c r="W451" i="8"/>
  <c r="W90" i="8"/>
  <c r="Q316" i="8"/>
  <c r="Q315" i="8"/>
  <c r="AA316" i="8"/>
  <c r="AA315" i="8"/>
  <c r="K316" i="8"/>
  <c r="K315" i="8"/>
  <c r="S315" i="8"/>
  <c r="S316" i="8"/>
  <c r="Y315" i="8"/>
  <c r="Y316" i="8"/>
  <c r="M316" i="8"/>
  <c r="M315" i="8"/>
  <c r="U315" i="8"/>
  <c r="U316" i="8"/>
  <c r="AE316" i="8"/>
  <c r="AE315" i="8"/>
  <c r="O316" i="8"/>
  <c r="O315" i="8"/>
  <c r="AG316" i="8"/>
  <c r="AG315" i="8"/>
  <c r="AC316" i="8"/>
  <c r="AC315" i="8"/>
  <c r="O200" i="8"/>
  <c r="O199" i="8"/>
  <c r="AC199" i="8"/>
  <c r="AC200" i="8"/>
  <c r="AA199" i="8"/>
  <c r="AA200" i="8"/>
  <c r="Q200" i="8"/>
  <c r="Q199" i="8"/>
  <c r="K199" i="8"/>
  <c r="K200" i="8"/>
  <c r="S200" i="8"/>
  <c r="S199" i="8"/>
  <c r="Y200" i="8"/>
  <c r="Y199" i="8"/>
  <c r="M199" i="8"/>
  <c r="M200" i="8"/>
  <c r="AE199" i="8"/>
  <c r="AE200" i="8"/>
  <c r="AG199" i="8"/>
  <c r="AG200" i="8"/>
  <c r="U200" i="8"/>
  <c r="U199" i="8"/>
  <c r="AC451" i="8"/>
  <c r="AC450" i="8"/>
  <c r="AC441" i="8"/>
  <c r="AE428" i="8"/>
  <c r="AE440" i="8"/>
  <c r="AE439" i="8"/>
  <c r="O428" i="8"/>
  <c r="O440" i="8"/>
  <c r="O439" i="8"/>
  <c r="AC428" i="8"/>
  <c r="AC440" i="8"/>
  <c r="AC439" i="8"/>
  <c r="K450" i="8"/>
  <c r="K441" i="8"/>
  <c r="K451" i="8"/>
  <c r="Y428" i="8"/>
  <c r="Y439" i="8"/>
  <c r="Y440" i="8"/>
  <c r="AA450" i="8"/>
  <c r="AA441" i="8"/>
  <c r="AA451" i="8"/>
  <c r="M428" i="8"/>
  <c r="M439" i="8"/>
  <c r="M440" i="8"/>
  <c r="S441" i="8"/>
  <c r="S451" i="8"/>
  <c r="S450" i="8"/>
  <c r="M450" i="8"/>
  <c r="M451" i="8"/>
  <c r="M441" i="8"/>
  <c r="U428" i="8"/>
  <c r="U439" i="8"/>
  <c r="U440" i="8"/>
  <c r="AA428" i="8"/>
  <c r="AA440" i="8"/>
  <c r="AA439" i="8"/>
  <c r="Y450" i="8"/>
  <c r="Y441" i="8"/>
  <c r="Y451" i="8"/>
  <c r="K428" i="8"/>
  <c r="K440" i="8"/>
  <c r="K439" i="8"/>
  <c r="AE441" i="8"/>
  <c r="AE451" i="8"/>
  <c r="AE450" i="8"/>
  <c r="AG428" i="8"/>
  <c r="AG439" i="8"/>
  <c r="AG440" i="8"/>
  <c r="O450" i="8"/>
  <c r="O451" i="8"/>
  <c r="O441" i="8"/>
  <c r="Q428" i="8"/>
  <c r="Q440" i="8"/>
  <c r="Q439" i="8"/>
  <c r="U441" i="8"/>
  <c r="U451" i="8"/>
  <c r="U450" i="8"/>
  <c r="AG450" i="8"/>
  <c r="AG441" i="8"/>
  <c r="AG451" i="8"/>
  <c r="Q441" i="8"/>
  <c r="Q451" i="8"/>
  <c r="Q450" i="8"/>
  <c r="S428" i="8"/>
  <c r="S439" i="8"/>
  <c r="S440" i="8"/>
  <c r="AA80" i="8"/>
  <c r="AA91" i="8"/>
  <c r="AA90" i="8"/>
  <c r="S80" i="8"/>
  <c r="S90" i="8"/>
  <c r="S91" i="8"/>
  <c r="K80" i="8"/>
  <c r="K91" i="8"/>
  <c r="K90" i="8"/>
  <c r="AC80" i="8"/>
  <c r="AC90" i="8"/>
  <c r="AC91" i="8"/>
  <c r="O80" i="8"/>
  <c r="O91" i="8"/>
  <c r="O90" i="8"/>
  <c r="M80" i="8"/>
  <c r="M91" i="8"/>
  <c r="M90" i="8"/>
  <c r="Y80" i="8"/>
  <c r="Y90" i="8"/>
  <c r="Y91" i="8"/>
  <c r="Q80" i="8"/>
  <c r="Q91" i="8"/>
  <c r="Q90" i="8"/>
  <c r="U80" i="8"/>
  <c r="U90" i="8"/>
  <c r="U91" i="8"/>
  <c r="AG80" i="8"/>
  <c r="AG91" i="8"/>
  <c r="AG90" i="8"/>
  <c r="AE80" i="8"/>
  <c r="AE91" i="8"/>
  <c r="AE90" i="8"/>
  <c r="U62" i="8"/>
  <c r="U75" i="8"/>
  <c r="U76" i="8"/>
  <c r="M62" i="8"/>
  <c r="M76" i="8"/>
  <c r="M75" i="8"/>
  <c r="AE62" i="8"/>
  <c r="AE76" i="8"/>
  <c r="AE75" i="8"/>
  <c r="O62" i="8"/>
  <c r="O76" i="8"/>
  <c r="O75" i="8"/>
  <c r="S62" i="8"/>
  <c r="S75" i="8"/>
  <c r="S76" i="8"/>
  <c r="AG62" i="8"/>
  <c r="AG76" i="8"/>
  <c r="AG75" i="8"/>
  <c r="AC62" i="8"/>
  <c r="AC76" i="8"/>
  <c r="AC75" i="8"/>
  <c r="AA62" i="8"/>
  <c r="AA76" i="8"/>
  <c r="AA75" i="8"/>
  <c r="Q62" i="8"/>
  <c r="Q76" i="8"/>
  <c r="Q75" i="8"/>
  <c r="Y62" i="8"/>
  <c r="Y75" i="8"/>
  <c r="Y76" i="8"/>
  <c r="K62" i="8"/>
  <c r="K76" i="8"/>
  <c r="K75" i="8"/>
  <c r="AI400" i="8"/>
  <c r="AJ400" i="8" s="1"/>
  <c r="E38" i="5"/>
  <c r="E50" i="5"/>
  <c r="E42" i="5"/>
  <c r="E43" i="5"/>
  <c r="E26" i="5"/>
  <c r="E17" i="5"/>
  <c r="E19" i="5"/>
  <c r="E49" i="5"/>
  <c r="E40" i="5"/>
  <c r="E41" i="5"/>
  <c r="E25" i="5"/>
  <c r="E14" i="5"/>
  <c r="AI398" i="8"/>
  <c r="AJ398" i="8" s="1"/>
  <c r="E16" i="5"/>
  <c r="E47" i="5"/>
  <c r="E45" i="5"/>
  <c r="E24" i="5"/>
  <c r="E18" i="5"/>
  <c r="E21" i="5"/>
  <c r="E46" i="5"/>
  <c r="E48" i="5"/>
  <c r="E39" i="5"/>
  <c r="E22" i="5"/>
  <c r="E23" i="5"/>
  <c r="E15" i="5"/>
  <c r="Y201" i="8" l="1"/>
  <c r="Y77" i="8"/>
  <c r="AC317" i="8"/>
  <c r="W201" i="8"/>
  <c r="AG77" i="8"/>
  <c r="Q317" i="8"/>
  <c r="Y317" i="8"/>
  <c r="AA77" i="8"/>
  <c r="W92" i="8"/>
  <c r="AE317" i="8"/>
  <c r="M92" i="8"/>
  <c r="W77" i="8"/>
  <c r="AC77" i="8"/>
  <c r="O317" i="8"/>
  <c r="O77" i="8"/>
  <c r="O92" i="8"/>
  <c r="U317" i="8"/>
  <c r="U201" i="8"/>
  <c r="M77" i="8"/>
  <c r="AA92" i="8"/>
  <c r="AG201" i="8"/>
  <c r="Q77" i="8"/>
  <c r="AG317" i="8"/>
  <c r="U92" i="8"/>
  <c r="S92" i="8"/>
  <c r="M317" i="8"/>
  <c r="AA317" i="8"/>
  <c r="AC92" i="8"/>
  <c r="S201" i="8"/>
  <c r="AC201" i="8"/>
  <c r="AI428" i="8"/>
  <c r="AI439" i="8"/>
  <c r="AI76" i="8"/>
  <c r="AE201" i="8"/>
  <c r="AI451" i="8"/>
  <c r="AI200" i="8"/>
  <c r="AI316" i="8"/>
  <c r="AE92" i="8"/>
  <c r="AG92" i="8"/>
  <c r="AI91" i="8"/>
  <c r="AI441" i="8"/>
  <c r="S317" i="8"/>
  <c r="M201" i="8"/>
  <c r="AA201" i="8"/>
  <c r="Y92" i="8"/>
  <c r="S77" i="8"/>
  <c r="K77" i="8"/>
  <c r="AI62" i="8"/>
  <c r="K201" i="8"/>
  <c r="AI199" i="8"/>
  <c r="E27" i="5"/>
  <c r="AE77" i="8"/>
  <c r="Q92" i="8"/>
  <c r="U77" i="8"/>
  <c r="Q201" i="8"/>
  <c r="E51" i="5"/>
  <c r="AI80" i="8"/>
  <c r="K92" i="8"/>
  <c r="W317" i="8"/>
  <c r="O201" i="8"/>
  <c r="AI440" i="8"/>
  <c r="K317" i="8"/>
  <c r="AI315" i="8"/>
  <c r="AI75" i="8"/>
  <c r="AI450" i="8"/>
  <c r="AI90" i="8"/>
  <c r="AA94" i="8" l="1"/>
  <c r="Y94" i="8"/>
  <c r="AG94" i="8"/>
  <c r="M94" i="8"/>
  <c r="O94" i="8"/>
  <c r="U94" i="8"/>
  <c r="W94" i="8"/>
  <c r="S94" i="8"/>
  <c r="AC94" i="8"/>
  <c r="Q94" i="8"/>
  <c r="AI317" i="8"/>
  <c r="AI201" i="8"/>
  <c r="K94" i="8"/>
  <c r="AI92" i="8"/>
  <c r="AI77" i="8"/>
  <c r="AE94" i="8"/>
  <c r="AI94" i="8" l="1"/>
  <c r="K35" i="7" l="1"/>
  <c r="O35" i="7"/>
  <c r="Q35" i="7"/>
  <c r="M35" i="7"/>
  <c r="I35" i="7"/>
  <c r="G35" i="7"/>
  <c r="I114" i="8"/>
  <c r="I113" i="8" s="1"/>
  <c r="E35" i="7" l="1"/>
  <c r="AI114" i="8"/>
  <c r="K113" i="8"/>
  <c r="K115" i="8" s="1"/>
  <c r="K401" i="8" s="1"/>
  <c r="M113" i="8"/>
  <c r="M115" i="8" s="1"/>
  <c r="M401" i="8" s="1"/>
  <c r="C66" i="5" s="1"/>
  <c r="O113" i="8"/>
  <c r="O115" i="8" s="1"/>
  <c r="O401" i="8" s="1"/>
  <c r="C67" i="5" s="1"/>
  <c r="S113" i="8"/>
  <c r="S115" i="8" s="1"/>
  <c r="S401" i="8" s="1"/>
  <c r="U113" i="8"/>
  <c r="U115" i="8" s="1"/>
  <c r="U401" i="8" s="1"/>
  <c r="C70" i="5" s="1"/>
  <c r="Q113" i="8"/>
  <c r="Q115" i="8" s="1"/>
  <c r="Q401" i="8" s="1"/>
  <c r="C68" i="5" s="1"/>
  <c r="AG113" i="8"/>
  <c r="AG115" i="8" s="1"/>
  <c r="Y113" i="8"/>
  <c r="Y115" i="8" s="1"/>
  <c r="W113" i="8"/>
  <c r="AE113" i="8"/>
  <c r="AE115" i="8" s="1"/>
  <c r="AA113" i="8"/>
  <c r="AA115" i="8" s="1"/>
  <c r="AC113" i="8"/>
  <c r="AC115" i="8" s="1"/>
  <c r="I115" i="8"/>
  <c r="I152" i="8" s="1"/>
  <c r="C69" i="5" l="1"/>
  <c r="C65" i="5"/>
  <c r="B4" i="23"/>
  <c r="H4" i="23" s="1"/>
  <c r="I244" i="8"/>
  <c r="B153" i="8"/>
  <c r="AG401" i="8"/>
  <c r="AE401" i="8"/>
  <c r="AC401" i="8"/>
  <c r="AA401" i="8"/>
  <c r="Y401" i="8"/>
  <c r="W115" i="8"/>
  <c r="AI113" i="8"/>
  <c r="C74" i="5" l="1"/>
  <c r="I251" i="8"/>
  <c r="I261" i="8" s="1"/>
  <c r="B244" i="8"/>
  <c r="C75" i="5"/>
  <c r="C76" i="5"/>
  <c r="W401" i="8"/>
  <c r="AI115" i="8"/>
  <c r="C73" i="5"/>
  <c r="C77" i="5"/>
  <c r="C72" i="5" l="1"/>
  <c r="C78" i="5" s="1"/>
  <c r="AI401" i="8"/>
  <c r="W402" i="8" s="1"/>
  <c r="W229" i="8" l="1"/>
  <c r="U402" i="8"/>
  <c r="U229" i="8" s="1"/>
  <c r="M402" i="8"/>
  <c r="M229" i="8" s="1"/>
  <c r="O402" i="8"/>
  <c r="O229" i="8" s="1"/>
  <c r="Q402" i="8"/>
  <c r="Q229" i="8" s="1"/>
  <c r="S402" i="8"/>
  <c r="S229" i="8" s="1"/>
  <c r="K402" i="8"/>
  <c r="K229" i="8" s="1"/>
  <c r="Y402" i="8"/>
  <c r="Y229" i="8" s="1"/>
  <c r="AC402" i="8"/>
  <c r="AC229" i="8" s="1"/>
  <c r="AA402" i="8"/>
  <c r="AA229" i="8" s="1"/>
  <c r="AG402" i="8"/>
  <c r="AG229" i="8" s="1"/>
  <c r="AE402" i="8"/>
  <c r="AE229" i="8" s="1"/>
  <c r="W134" i="8" l="1"/>
  <c r="W142" i="8"/>
  <c r="W464" i="8"/>
  <c r="W469" i="8"/>
  <c r="W205" i="8"/>
  <c r="W461" i="8"/>
  <c r="W213" i="8"/>
  <c r="W219" i="8"/>
  <c r="E72" i="5"/>
  <c r="W140" i="8"/>
  <c r="W467" i="8"/>
  <c r="W207" i="8"/>
  <c r="W218" i="8"/>
  <c r="W131" i="8"/>
  <c r="W147" i="8"/>
  <c r="W465" i="8"/>
  <c r="W209" i="8"/>
  <c r="W217" i="8"/>
  <c r="W130" i="8"/>
  <c r="W146" i="8"/>
  <c r="W463" i="8"/>
  <c r="W211" i="8"/>
  <c r="W228" i="8"/>
  <c r="W230" i="8"/>
  <c r="W135" i="8"/>
  <c r="W462" i="8"/>
  <c r="W470" i="8"/>
  <c r="W206" i="8"/>
  <c r="W321" i="8"/>
  <c r="W133" i="8"/>
  <c r="W468" i="8"/>
  <c r="W472" i="8"/>
  <c r="W210" i="8"/>
  <c r="W326" i="8"/>
  <c r="W141" i="8"/>
  <c r="W471" i="8"/>
  <c r="W466" i="8"/>
  <c r="W212" i="8"/>
  <c r="W330" i="8"/>
  <c r="W322" i="8"/>
  <c r="G66" i="7" s="1"/>
  <c r="W324" i="8"/>
  <c r="W223" i="8"/>
  <c r="W225" i="8" s="1"/>
  <c r="W323" i="8"/>
  <c r="W208" i="8"/>
  <c r="W255" i="8"/>
  <c r="W325" i="8"/>
  <c r="W338" i="8"/>
  <c r="W340" i="8"/>
  <c r="W337" i="8"/>
  <c r="W339" i="8"/>
  <c r="W328" i="8"/>
  <c r="W344" i="8"/>
  <c r="W346" i="8"/>
  <c r="W327" i="8"/>
  <c r="W363" i="8"/>
  <c r="W329" i="8"/>
  <c r="W365" i="8"/>
  <c r="AI229" i="8"/>
  <c r="K365" i="8"/>
  <c r="K363" i="8"/>
  <c r="Q365" i="8"/>
  <c r="Q363" i="8"/>
  <c r="S365" i="8"/>
  <c r="S363" i="8"/>
  <c r="AE365" i="8"/>
  <c r="AE363" i="8"/>
  <c r="O365" i="8"/>
  <c r="O363" i="8"/>
  <c r="Y365" i="8"/>
  <c r="Y363" i="8"/>
  <c r="AG365" i="8"/>
  <c r="AG363" i="8"/>
  <c r="M365" i="8"/>
  <c r="M363" i="8"/>
  <c r="AA365" i="8"/>
  <c r="AA363" i="8"/>
  <c r="U365" i="8"/>
  <c r="U363" i="8"/>
  <c r="AC365" i="8"/>
  <c r="AC363" i="8"/>
  <c r="K346" i="8"/>
  <c r="K344" i="8"/>
  <c r="Y346" i="8"/>
  <c r="Y344" i="8"/>
  <c r="AE346" i="8"/>
  <c r="AE344" i="8"/>
  <c r="O346" i="8"/>
  <c r="O344" i="8"/>
  <c r="AC346" i="8"/>
  <c r="AC344" i="8"/>
  <c r="S344" i="8"/>
  <c r="S346" i="8"/>
  <c r="Q346" i="8"/>
  <c r="Q344" i="8"/>
  <c r="AG346" i="8"/>
  <c r="AG344" i="8"/>
  <c r="M346" i="8"/>
  <c r="M344" i="8"/>
  <c r="AA346" i="8"/>
  <c r="AA344" i="8"/>
  <c r="U346" i="8"/>
  <c r="U344" i="8"/>
  <c r="K340" i="8"/>
  <c r="K338" i="8"/>
  <c r="K339" i="8"/>
  <c r="K337" i="8"/>
  <c r="S339" i="8"/>
  <c r="S337" i="8"/>
  <c r="S340" i="8"/>
  <c r="S338" i="8"/>
  <c r="Q340" i="8"/>
  <c r="Q338" i="8"/>
  <c r="Q339" i="8"/>
  <c r="Q337" i="8"/>
  <c r="AE340" i="8"/>
  <c r="AE338" i="8"/>
  <c r="AE337" i="8"/>
  <c r="AE339" i="8"/>
  <c r="O340" i="8"/>
  <c r="O338" i="8"/>
  <c r="O337" i="8"/>
  <c r="O339" i="8"/>
  <c r="AG340" i="8"/>
  <c r="AG338" i="8"/>
  <c r="AG339" i="8"/>
  <c r="AG337" i="8"/>
  <c r="M340" i="8"/>
  <c r="M338" i="8"/>
  <c r="M339" i="8"/>
  <c r="M337" i="8"/>
  <c r="AA340" i="8"/>
  <c r="AA338" i="8"/>
  <c r="AA339" i="8"/>
  <c r="AA337" i="8"/>
  <c r="AC340" i="8"/>
  <c r="AC338" i="8"/>
  <c r="AC339" i="8"/>
  <c r="AC337" i="8"/>
  <c r="U339" i="8"/>
  <c r="U337" i="8"/>
  <c r="U340" i="8"/>
  <c r="U338" i="8"/>
  <c r="Y339" i="8"/>
  <c r="Y337" i="8"/>
  <c r="Y340" i="8"/>
  <c r="Y338" i="8"/>
  <c r="S324" i="8"/>
  <c r="S328" i="8"/>
  <c r="S326" i="8"/>
  <c r="S329" i="8"/>
  <c r="S327" i="8"/>
  <c r="S325" i="8"/>
  <c r="S323" i="8"/>
  <c r="S330" i="8"/>
  <c r="S322" i="8"/>
  <c r="O330" i="8"/>
  <c r="O328" i="8"/>
  <c r="O326" i="8"/>
  <c r="O324" i="8"/>
  <c r="O322" i="8"/>
  <c r="O329" i="8"/>
  <c r="O327" i="8"/>
  <c r="O325" i="8"/>
  <c r="O323" i="8"/>
  <c r="M330" i="8"/>
  <c r="M328" i="8"/>
  <c r="M326" i="8"/>
  <c r="M324" i="8"/>
  <c r="M322" i="8"/>
  <c r="M329" i="8"/>
  <c r="M327" i="8"/>
  <c r="M325" i="8"/>
  <c r="M323" i="8"/>
  <c r="AC330" i="8"/>
  <c r="AC328" i="8"/>
  <c r="AC326" i="8"/>
  <c r="AC324" i="8"/>
  <c r="AC322" i="8"/>
  <c r="M66" i="7" s="1"/>
  <c r="AC329" i="8"/>
  <c r="AC327" i="8"/>
  <c r="AC325" i="8"/>
  <c r="AC323" i="8"/>
  <c r="Q330" i="8"/>
  <c r="Q328" i="8"/>
  <c r="Q326" i="8"/>
  <c r="Q324" i="8"/>
  <c r="Q322" i="8"/>
  <c r="Q329" i="8"/>
  <c r="Q327" i="8"/>
  <c r="Q325" i="8"/>
  <c r="Q323" i="8"/>
  <c r="AE330" i="8"/>
  <c r="AE328" i="8"/>
  <c r="AE326" i="8"/>
  <c r="AE324" i="8"/>
  <c r="AE322" i="8"/>
  <c r="O66" i="7" s="1"/>
  <c r="AE329" i="8"/>
  <c r="AE327" i="8"/>
  <c r="AE325" i="8"/>
  <c r="AE323" i="8"/>
  <c r="U329" i="8"/>
  <c r="U327" i="8"/>
  <c r="U325" i="8"/>
  <c r="U323" i="8"/>
  <c r="U330" i="8"/>
  <c r="U328" i="8"/>
  <c r="U326" i="8"/>
  <c r="U324" i="8"/>
  <c r="U322" i="8"/>
  <c r="Y329" i="8"/>
  <c r="Y327" i="8"/>
  <c r="Y325" i="8"/>
  <c r="Y323" i="8"/>
  <c r="Y330" i="8"/>
  <c r="Y328" i="8"/>
  <c r="Y326" i="8"/>
  <c r="Y324" i="8"/>
  <c r="Y322" i="8"/>
  <c r="I66" i="7" s="1"/>
  <c r="AG330" i="8"/>
  <c r="AG328" i="8"/>
  <c r="AG326" i="8"/>
  <c r="AG324" i="8"/>
  <c r="AG322" i="8"/>
  <c r="Q66" i="7" s="1"/>
  <c r="AG329" i="8"/>
  <c r="AG327" i="8"/>
  <c r="AG325" i="8"/>
  <c r="AG323" i="8"/>
  <c r="AA323" i="8"/>
  <c r="AA325" i="8"/>
  <c r="AA330" i="8"/>
  <c r="AA328" i="8"/>
  <c r="AA326" i="8"/>
  <c r="AA324" i="8"/>
  <c r="AA322" i="8"/>
  <c r="AA327" i="8"/>
  <c r="AA329" i="8"/>
  <c r="K323" i="8"/>
  <c r="K330" i="8"/>
  <c r="K328" i="8"/>
  <c r="K326" i="8"/>
  <c r="K324" i="8"/>
  <c r="K322" i="8"/>
  <c r="K329" i="8"/>
  <c r="K327" i="8"/>
  <c r="K325" i="8"/>
  <c r="AA321" i="8"/>
  <c r="AC321" i="8"/>
  <c r="S321" i="8"/>
  <c r="Q321" i="8"/>
  <c r="AE321" i="8"/>
  <c r="O321" i="8"/>
  <c r="AG321" i="8"/>
  <c r="M321" i="8"/>
  <c r="U321" i="8"/>
  <c r="Y321" i="8"/>
  <c r="K321" i="8"/>
  <c r="Y230" i="8"/>
  <c r="Y255" i="8"/>
  <c r="K230" i="8"/>
  <c r="K255" i="8"/>
  <c r="Q230" i="8"/>
  <c r="Q255" i="8"/>
  <c r="S230" i="8"/>
  <c r="S255" i="8"/>
  <c r="AE230" i="8"/>
  <c r="AE255" i="8"/>
  <c r="O230" i="8"/>
  <c r="O255" i="8"/>
  <c r="AA230" i="8"/>
  <c r="AA255" i="8"/>
  <c r="AG230" i="8"/>
  <c r="AG255" i="8"/>
  <c r="M230" i="8"/>
  <c r="M255" i="8"/>
  <c r="U230" i="8"/>
  <c r="U255" i="8"/>
  <c r="AC230" i="8"/>
  <c r="AC255" i="8"/>
  <c r="Q223" i="8"/>
  <c r="Q225" i="8" s="1"/>
  <c r="Q228" i="8"/>
  <c r="AE223" i="8"/>
  <c r="AE225" i="8" s="1"/>
  <c r="AE228" i="8"/>
  <c r="O223" i="8"/>
  <c r="O225" i="8" s="1"/>
  <c r="O228" i="8"/>
  <c r="K223" i="8"/>
  <c r="K228" i="8"/>
  <c r="AG223" i="8"/>
  <c r="AG225" i="8" s="1"/>
  <c r="AG228" i="8"/>
  <c r="AA223" i="8"/>
  <c r="AA225" i="8" s="1"/>
  <c r="AA228" i="8"/>
  <c r="U223" i="8"/>
  <c r="U225" i="8" s="1"/>
  <c r="U228" i="8"/>
  <c r="S223" i="8"/>
  <c r="S225" i="8" s="1"/>
  <c r="S228" i="8"/>
  <c r="AC223" i="8"/>
  <c r="AC225" i="8" s="1"/>
  <c r="AC228" i="8"/>
  <c r="M223" i="8"/>
  <c r="M225" i="8" s="1"/>
  <c r="M228" i="8"/>
  <c r="Y223" i="8"/>
  <c r="Y225" i="8" s="1"/>
  <c r="Y228" i="8"/>
  <c r="S217" i="8"/>
  <c r="S218" i="8"/>
  <c r="S219" i="8"/>
  <c r="Y217" i="8"/>
  <c r="Y218" i="8"/>
  <c r="Y219" i="8"/>
  <c r="Q217" i="8"/>
  <c r="Q219" i="8"/>
  <c r="Q218" i="8"/>
  <c r="AE217" i="8"/>
  <c r="AE219" i="8"/>
  <c r="AE218" i="8"/>
  <c r="O217" i="8"/>
  <c r="O219" i="8"/>
  <c r="O218" i="8"/>
  <c r="AG217" i="8"/>
  <c r="AG219" i="8"/>
  <c r="AG218" i="8"/>
  <c r="M217" i="8"/>
  <c r="M219" i="8"/>
  <c r="M218" i="8"/>
  <c r="AA217" i="8"/>
  <c r="AA218" i="8"/>
  <c r="AA219" i="8"/>
  <c r="U217" i="8"/>
  <c r="U218" i="8"/>
  <c r="U219" i="8"/>
  <c r="K217" i="8"/>
  <c r="K219" i="8"/>
  <c r="K218" i="8"/>
  <c r="AC217" i="8"/>
  <c r="AC219" i="8"/>
  <c r="AC218" i="8"/>
  <c r="S212" i="8"/>
  <c r="S210" i="8"/>
  <c r="S208" i="8"/>
  <c r="S206" i="8"/>
  <c r="S211" i="8"/>
  <c r="S207" i="8"/>
  <c r="S213" i="8"/>
  <c r="S209" i="8"/>
  <c r="Y212" i="8"/>
  <c r="Y210" i="8"/>
  <c r="Y208" i="8"/>
  <c r="Y206" i="8"/>
  <c r="Y213" i="8"/>
  <c r="Y211" i="8"/>
  <c r="Y209" i="8"/>
  <c r="Y207" i="8"/>
  <c r="Q213" i="8"/>
  <c r="Q211" i="8"/>
  <c r="Q209" i="8"/>
  <c r="Q207" i="8"/>
  <c r="Q212" i="8"/>
  <c r="Q210" i="8"/>
  <c r="Q208" i="8"/>
  <c r="Q206" i="8"/>
  <c r="K212" i="8"/>
  <c r="K213" i="8"/>
  <c r="K211" i="8"/>
  <c r="K209" i="8"/>
  <c r="K207" i="8"/>
  <c r="K210" i="8"/>
  <c r="K208" i="8"/>
  <c r="K206" i="8"/>
  <c r="AE213" i="8"/>
  <c r="AE211" i="8"/>
  <c r="AE209" i="8"/>
  <c r="AE207" i="8"/>
  <c r="AE212" i="8"/>
  <c r="AE210" i="8"/>
  <c r="AE208" i="8"/>
  <c r="AE206" i="8"/>
  <c r="O213" i="8"/>
  <c r="O211" i="8"/>
  <c r="O209" i="8"/>
  <c r="O207" i="8"/>
  <c r="O212" i="8"/>
  <c r="O210" i="8"/>
  <c r="O208" i="8"/>
  <c r="O206" i="8"/>
  <c r="AG213" i="8"/>
  <c r="AG211" i="8"/>
  <c r="AG209" i="8"/>
  <c r="AG207" i="8"/>
  <c r="AG212" i="8"/>
  <c r="AG210" i="8"/>
  <c r="AG208" i="8"/>
  <c r="AG206" i="8"/>
  <c r="M213" i="8"/>
  <c r="M211" i="8"/>
  <c r="M209" i="8"/>
  <c r="M207" i="8"/>
  <c r="M212" i="8"/>
  <c r="M210" i="8"/>
  <c r="M208" i="8"/>
  <c r="M206" i="8"/>
  <c r="AA208" i="8"/>
  <c r="AA206" i="8"/>
  <c r="AA213" i="8"/>
  <c r="AA211" i="8"/>
  <c r="AA209" i="8"/>
  <c r="AA207" i="8"/>
  <c r="AA212" i="8"/>
  <c r="AA210" i="8"/>
  <c r="U212" i="8"/>
  <c r="U210" i="8"/>
  <c r="U208" i="8"/>
  <c r="U206" i="8"/>
  <c r="U213" i="8"/>
  <c r="U211" i="8"/>
  <c r="U209" i="8"/>
  <c r="U207" i="8"/>
  <c r="AC213" i="8"/>
  <c r="AC211" i="8"/>
  <c r="AC209" i="8"/>
  <c r="AC207" i="8"/>
  <c r="AC212" i="8"/>
  <c r="AC210" i="8"/>
  <c r="AC208" i="8"/>
  <c r="AC206" i="8"/>
  <c r="AA205" i="8"/>
  <c r="Y205" i="8"/>
  <c r="AG205" i="8"/>
  <c r="S205" i="8"/>
  <c r="K205" i="8"/>
  <c r="Q205" i="8"/>
  <c r="AE205" i="8"/>
  <c r="O205" i="8"/>
  <c r="M205" i="8"/>
  <c r="U205" i="8"/>
  <c r="AC205" i="8"/>
  <c r="Y468" i="8"/>
  <c r="Y462" i="8"/>
  <c r="Y470" i="8"/>
  <c r="Y461" i="8"/>
  <c r="Y463" i="8"/>
  <c r="Y465" i="8"/>
  <c r="Y467" i="8"/>
  <c r="Y469" i="8"/>
  <c r="Y471" i="8"/>
  <c r="Y464" i="8"/>
  <c r="Y466" i="8"/>
  <c r="Y472" i="8"/>
  <c r="K462" i="8"/>
  <c r="K464" i="8"/>
  <c r="K466" i="8"/>
  <c r="K468" i="8"/>
  <c r="K470" i="8"/>
  <c r="K472" i="8"/>
  <c r="K461" i="8"/>
  <c r="K463" i="8"/>
  <c r="K465" i="8"/>
  <c r="K467" i="8"/>
  <c r="K469" i="8"/>
  <c r="K471" i="8"/>
  <c r="S461" i="8"/>
  <c r="S463" i="8"/>
  <c r="S465" i="8"/>
  <c r="S467" i="8"/>
  <c r="S469" i="8"/>
  <c r="S471" i="8"/>
  <c r="S462" i="8"/>
  <c r="S464" i="8"/>
  <c r="S466" i="8"/>
  <c r="S468" i="8"/>
  <c r="S470" i="8"/>
  <c r="S472" i="8"/>
  <c r="Q465" i="8"/>
  <c r="Q471" i="8"/>
  <c r="Q463" i="8"/>
  <c r="Q467" i="8"/>
  <c r="Q462" i="8"/>
  <c r="Q464" i="8"/>
  <c r="Q466" i="8"/>
  <c r="Q468" i="8"/>
  <c r="Q470" i="8"/>
  <c r="Q472" i="8"/>
  <c r="Q461" i="8"/>
  <c r="Q469" i="8"/>
  <c r="AE463" i="8"/>
  <c r="AE462" i="8"/>
  <c r="AE464" i="8"/>
  <c r="AE466" i="8"/>
  <c r="AE468" i="8"/>
  <c r="AE470" i="8"/>
  <c r="AE472" i="8"/>
  <c r="AE461" i="8"/>
  <c r="AE471" i="8"/>
  <c r="AE465" i="8"/>
  <c r="AE469" i="8"/>
  <c r="AE467" i="8"/>
  <c r="O463" i="8"/>
  <c r="O469" i="8"/>
  <c r="O461" i="8"/>
  <c r="O467" i="8"/>
  <c r="O462" i="8"/>
  <c r="O464" i="8"/>
  <c r="O466" i="8"/>
  <c r="O468" i="8"/>
  <c r="O470" i="8"/>
  <c r="O472" i="8"/>
  <c r="O465" i="8"/>
  <c r="O471" i="8"/>
  <c r="AG461" i="8"/>
  <c r="AG465" i="8"/>
  <c r="AG469" i="8"/>
  <c r="AG462" i="8"/>
  <c r="AG464" i="8"/>
  <c r="AG466" i="8"/>
  <c r="AG468" i="8"/>
  <c r="AG470" i="8"/>
  <c r="AG472" i="8"/>
  <c r="AG467" i="8"/>
  <c r="AG471" i="8"/>
  <c r="AG463" i="8"/>
  <c r="M461" i="8"/>
  <c r="M471" i="8"/>
  <c r="M462" i="8"/>
  <c r="M464" i="8"/>
  <c r="M466" i="8"/>
  <c r="M468" i="8"/>
  <c r="M470" i="8"/>
  <c r="M472" i="8"/>
  <c r="M463" i="8"/>
  <c r="M467" i="8"/>
  <c r="M465" i="8"/>
  <c r="M469" i="8"/>
  <c r="U464" i="8"/>
  <c r="U461" i="8"/>
  <c r="U463" i="8"/>
  <c r="U465" i="8"/>
  <c r="U467" i="8"/>
  <c r="U469" i="8"/>
  <c r="U471" i="8"/>
  <c r="U470" i="8"/>
  <c r="U462" i="8"/>
  <c r="U468" i="8"/>
  <c r="U466" i="8"/>
  <c r="U472" i="8"/>
  <c r="AA462" i="8"/>
  <c r="AA464" i="8"/>
  <c r="AA466" i="8"/>
  <c r="AA468" i="8"/>
  <c r="AA470" i="8"/>
  <c r="AA472" i="8"/>
  <c r="AA461" i="8"/>
  <c r="AA463" i="8"/>
  <c r="AA465" i="8"/>
  <c r="AA467" i="8"/>
  <c r="AA469" i="8"/>
  <c r="AA471" i="8"/>
  <c r="AC467" i="8"/>
  <c r="AC462" i="8"/>
  <c r="AC464" i="8"/>
  <c r="AC466" i="8"/>
  <c r="AC468" i="8"/>
  <c r="AC470" i="8"/>
  <c r="AC472" i="8"/>
  <c r="AC469" i="8"/>
  <c r="AC461" i="8"/>
  <c r="AC465" i="8"/>
  <c r="AC471" i="8"/>
  <c r="AC463" i="8"/>
  <c r="Y146" i="8"/>
  <c r="Y147" i="8"/>
  <c r="K146" i="8"/>
  <c r="K147" i="8"/>
  <c r="Q146" i="8"/>
  <c r="Q147" i="8"/>
  <c r="AE146" i="8"/>
  <c r="AE147" i="8"/>
  <c r="O146" i="8"/>
  <c r="O147" i="8"/>
  <c r="AC146" i="8"/>
  <c r="AC147" i="8"/>
  <c r="AG146" i="8"/>
  <c r="AG147" i="8"/>
  <c r="M146" i="8"/>
  <c r="M147" i="8"/>
  <c r="S146" i="8"/>
  <c r="S147" i="8"/>
  <c r="AA146" i="8"/>
  <c r="AA147" i="8"/>
  <c r="U146" i="8"/>
  <c r="U147" i="8"/>
  <c r="Y140" i="8"/>
  <c r="Y142" i="8"/>
  <c r="Y141" i="8"/>
  <c r="K140" i="8"/>
  <c r="K141" i="8"/>
  <c r="K142" i="8"/>
  <c r="U140" i="8"/>
  <c r="U142" i="8"/>
  <c r="U141" i="8"/>
  <c r="S140" i="8"/>
  <c r="S142" i="8"/>
  <c r="S141" i="8"/>
  <c r="AA140" i="8"/>
  <c r="AA141" i="8"/>
  <c r="AA142" i="8"/>
  <c r="AE140" i="8"/>
  <c r="AE142" i="8"/>
  <c r="AE141" i="8"/>
  <c r="O140" i="8"/>
  <c r="O141" i="8"/>
  <c r="O142" i="8"/>
  <c r="Q140" i="8"/>
  <c r="Q142" i="8"/>
  <c r="Q141" i="8"/>
  <c r="AG140" i="8"/>
  <c r="AG142" i="8"/>
  <c r="AG141" i="8"/>
  <c r="M140" i="8"/>
  <c r="M141" i="8"/>
  <c r="M142" i="8"/>
  <c r="AC140" i="8"/>
  <c r="AC141" i="8"/>
  <c r="AC142" i="8"/>
  <c r="K133" i="8"/>
  <c r="K134" i="8"/>
  <c r="K135" i="8"/>
  <c r="AG133" i="8"/>
  <c r="AG134" i="8"/>
  <c r="AG135" i="8"/>
  <c r="S133" i="8"/>
  <c r="S135" i="8"/>
  <c r="S134" i="8"/>
  <c r="Q133" i="8"/>
  <c r="Q135" i="8"/>
  <c r="Q134" i="8"/>
  <c r="M133" i="8"/>
  <c r="M134" i="8"/>
  <c r="M135" i="8"/>
  <c r="Y133" i="8"/>
  <c r="Y135" i="8"/>
  <c r="Y134" i="8"/>
  <c r="AE133" i="8"/>
  <c r="AE134" i="8"/>
  <c r="AE135" i="8"/>
  <c r="O133" i="8"/>
  <c r="O134" i="8"/>
  <c r="O135" i="8"/>
  <c r="AA133" i="8"/>
  <c r="AA134" i="8"/>
  <c r="AA135" i="8"/>
  <c r="U133" i="8"/>
  <c r="U135" i="8"/>
  <c r="U134" i="8"/>
  <c r="AC133" i="8"/>
  <c r="AC134" i="8"/>
  <c r="AC135" i="8"/>
  <c r="S130" i="8"/>
  <c r="S131" i="8"/>
  <c r="K130" i="8"/>
  <c r="K131" i="8"/>
  <c r="Q130" i="8"/>
  <c r="Q131" i="8"/>
  <c r="AC130" i="8"/>
  <c r="AC131" i="8"/>
  <c r="O130" i="8"/>
  <c r="O131" i="8"/>
  <c r="AG130" i="8"/>
  <c r="AG131" i="8"/>
  <c r="M130" i="8"/>
  <c r="M131" i="8"/>
  <c r="Y130" i="8"/>
  <c r="Y131" i="8"/>
  <c r="AE130" i="8"/>
  <c r="AE131" i="8"/>
  <c r="AA130" i="8"/>
  <c r="AA131" i="8"/>
  <c r="U130" i="8"/>
  <c r="U131" i="8"/>
  <c r="E65" i="5"/>
  <c r="AI402" i="8"/>
  <c r="AJ402" i="8" s="1"/>
  <c r="G53" i="7"/>
  <c r="E73" i="5"/>
  <c r="G54" i="7"/>
  <c r="E75" i="5"/>
  <c r="E68" i="5"/>
  <c r="E76" i="5"/>
  <c r="E67" i="5"/>
  <c r="E77" i="5"/>
  <c r="E69" i="5"/>
  <c r="E66" i="5"/>
  <c r="K66" i="7"/>
  <c r="E74" i="5"/>
  <c r="E70" i="5"/>
  <c r="W148" i="8" l="1"/>
  <c r="W347" i="8"/>
  <c r="G67" i="7" s="1"/>
  <c r="W220" i="8"/>
  <c r="W214" i="8"/>
  <c r="W474" i="8"/>
  <c r="W403" i="8" s="1"/>
  <c r="W331" i="8"/>
  <c r="W333" i="8" s="1"/>
  <c r="Q331" i="8"/>
  <c r="Q333" i="8" s="1"/>
  <c r="AE331" i="8"/>
  <c r="AE333" i="8" s="1"/>
  <c r="K331" i="8"/>
  <c r="S331" i="8"/>
  <c r="S333" i="8" s="1"/>
  <c r="Y331" i="8"/>
  <c r="Y333" i="8" s="1"/>
  <c r="AC331" i="8"/>
  <c r="AC333" i="8" s="1"/>
  <c r="U331" i="8"/>
  <c r="U333" i="8" s="1"/>
  <c r="AA331" i="8"/>
  <c r="AA333" i="8" s="1"/>
  <c r="M331" i="8"/>
  <c r="M333" i="8" s="1"/>
  <c r="AG331" i="8"/>
  <c r="AG333" i="8" s="1"/>
  <c r="O331" i="8"/>
  <c r="O333" i="8" s="1"/>
  <c r="U148" i="8"/>
  <c r="Q347" i="8"/>
  <c r="Q54" i="7"/>
  <c r="AG347" i="8"/>
  <c r="Q67" i="7" s="1"/>
  <c r="Y347" i="8"/>
  <c r="I67" i="7" s="1"/>
  <c r="M148" i="8"/>
  <c r="S347" i="8"/>
  <c r="Y148" i="8"/>
  <c r="Q220" i="8"/>
  <c r="Y474" i="8"/>
  <c r="C102" i="5" s="1"/>
  <c r="Q474" i="8"/>
  <c r="Q403" i="8" s="1"/>
  <c r="C97" i="5" s="1"/>
  <c r="AA148" i="8"/>
  <c r="AI462" i="8"/>
  <c r="K474" i="8"/>
  <c r="AI461" i="8"/>
  <c r="AI230" i="8"/>
  <c r="AA347" i="8"/>
  <c r="K67" i="7" s="1"/>
  <c r="AG474" i="8"/>
  <c r="AG403" i="8" s="1"/>
  <c r="O220" i="8"/>
  <c r="AE220" i="8"/>
  <c r="Q148" i="8"/>
  <c r="AC148" i="8"/>
  <c r="AI365" i="8"/>
  <c r="AI218" i="8"/>
  <c r="AI255" i="8"/>
  <c r="K148" i="8"/>
  <c r="AI146" i="8"/>
  <c r="AI207" i="8"/>
  <c r="K53" i="7"/>
  <c r="AA214" i="8"/>
  <c r="M214" i="8"/>
  <c r="AI322" i="8"/>
  <c r="M474" i="8"/>
  <c r="M403" i="8" s="1"/>
  <c r="AI135" i="8"/>
  <c r="AI219" i="8"/>
  <c r="AI142" i="8"/>
  <c r="AI208" i="8"/>
  <c r="AI328" i="8"/>
  <c r="U347" i="8"/>
  <c r="S214" i="8"/>
  <c r="O53" i="7"/>
  <c r="AE214" i="8"/>
  <c r="O54" i="7"/>
  <c r="Q214" i="8"/>
  <c r="Q232" i="8" s="1"/>
  <c r="AC474" i="8"/>
  <c r="Y220" i="8"/>
  <c r="G57" i="7"/>
  <c r="AI131" i="8"/>
  <c r="AI210" i="8"/>
  <c r="AI327" i="8"/>
  <c r="AI228" i="8"/>
  <c r="AI337" i="8"/>
  <c r="AI133" i="8"/>
  <c r="K347" i="8"/>
  <c r="AI344" i="8"/>
  <c r="U220" i="8"/>
  <c r="AA220" i="8"/>
  <c r="M220" i="8"/>
  <c r="S148" i="8"/>
  <c r="AG214" i="8"/>
  <c r="Q53" i="7"/>
  <c r="O214" i="8"/>
  <c r="AE474" i="8"/>
  <c r="AC220" i="8"/>
  <c r="AI213" i="8"/>
  <c r="AI134" i="8"/>
  <c r="AI324" i="8"/>
  <c r="E78" i="5"/>
  <c r="AI472" i="8"/>
  <c r="AI329" i="8"/>
  <c r="U474" i="8"/>
  <c r="U403" i="8" s="1"/>
  <c r="K54" i="7"/>
  <c r="M347" i="8"/>
  <c r="S220" i="8"/>
  <c r="O347" i="8"/>
  <c r="O148" i="8"/>
  <c r="AE347" i="8"/>
  <c r="O67" i="7" s="1"/>
  <c r="AC347" i="8"/>
  <c r="M67" i="7" s="1"/>
  <c r="I53" i="7"/>
  <c r="Y214" i="8"/>
  <c r="AI321" i="8"/>
  <c r="AI338" i="8"/>
  <c r="K214" i="8"/>
  <c r="AI205" i="8"/>
  <c r="AI469" i="8"/>
  <c r="AI140" i="8"/>
  <c r="AI339" i="8"/>
  <c r="AI330" i="8"/>
  <c r="AI130" i="8"/>
  <c r="AA474" i="8"/>
  <c r="S474" i="8"/>
  <c r="AG220" i="8"/>
  <c r="AG148" i="8"/>
  <c r="O474" i="8"/>
  <c r="O403" i="8" s="1"/>
  <c r="AC214" i="8"/>
  <c r="M53" i="7"/>
  <c r="M54" i="7"/>
  <c r="I54" i="7"/>
  <c r="AI217" i="8"/>
  <c r="K220" i="8"/>
  <c r="AI206" i="8"/>
  <c r="AI223" i="8"/>
  <c r="K225" i="8"/>
  <c r="AI225" i="8" s="1"/>
  <c r="AI209" i="8"/>
  <c r="AI141" i="8"/>
  <c r="AI326" i="8"/>
  <c r="AI211" i="8"/>
  <c r="U214" i="8"/>
  <c r="U232" i="8" s="1"/>
  <c r="AE148" i="8"/>
  <c r="E66" i="7"/>
  <c r="AI340" i="8"/>
  <c r="AI363" i="8"/>
  <c r="AI212" i="8"/>
  <c r="AI323" i="8"/>
  <c r="AI325" i="8"/>
  <c r="AC232" i="8" l="1"/>
  <c r="O232" i="8"/>
  <c r="AA232" i="8"/>
  <c r="W232" i="8"/>
  <c r="AE232" i="8"/>
  <c r="M232" i="8"/>
  <c r="AG232" i="8"/>
  <c r="K232" i="8"/>
  <c r="Y232" i="8"/>
  <c r="S232" i="8"/>
  <c r="H9" i="21" s="1"/>
  <c r="C101" i="5"/>
  <c r="W405" i="8"/>
  <c r="Q405" i="8"/>
  <c r="C124" i="5" s="1"/>
  <c r="Y405" i="8"/>
  <c r="C129" i="5" s="1"/>
  <c r="Q57" i="7"/>
  <c r="S405" i="8"/>
  <c r="C125" i="5" s="1"/>
  <c r="AG405" i="8"/>
  <c r="C133" i="5" s="1"/>
  <c r="Y403" i="8"/>
  <c r="E54" i="7"/>
  <c r="M405" i="8"/>
  <c r="C122" i="5" s="1"/>
  <c r="M57" i="7"/>
  <c r="AC405" i="8"/>
  <c r="C131" i="5" s="1"/>
  <c r="E67" i="7"/>
  <c r="AA405" i="8"/>
  <c r="C130" i="5" s="1"/>
  <c r="F9" i="21"/>
  <c r="O405" i="8"/>
  <c r="C123" i="5" s="1"/>
  <c r="AI347" i="8"/>
  <c r="AI331" i="8"/>
  <c r="K333" i="8"/>
  <c r="C106" i="5"/>
  <c r="C96" i="5"/>
  <c r="AA403" i="8"/>
  <c r="C103" i="5"/>
  <c r="AI474" i="8"/>
  <c r="K403" i="8"/>
  <c r="I57" i="7"/>
  <c r="AC403" i="8"/>
  <c r="C104" i="5"/>
  <c r="AE405" i="8"/>
  <c r="AI148" i="8"/>
  <c r="AE403" i="8"/>
  <c r="C105" i="5"/>
  <c r="C98" i="5"/>
  <c r="S403" i="8"/>
  <c r="AI214" i="8"/>
  <c r="C95" i="5"/>
  <c r="AI220" i="8"/>
  <c r="C99" i="5"/>
  <c r="E53" i="7"/>
  <c r="O57" i="7"/>
  <c r="U405" i="8"/>
  <c r="K57" i="7"/>
  <c r="C128" i="5" l="1"/>
  <c r="E57" i="7"/>
  <c r="C132" i="5"/>
  <c r="C126" i="5"/>
  <c r="AI232" i="8"/>
  <c r="AI333" i="8"/>
  <c r="K405" i="8"/>
  <c r="C94" i="5"/>
  <c r="C107" i="5" s="1"/>
  <c r="AI403" i="8"/>
  <c r="W404" i="8" s="1"/>
  <c r="K404" i="8" l="1"/>
  <c r="K238" i="8" s="1"/>
  <c r="W238" i="8"/>
  <c r="AA404" i="8"/>
  <c r="S404" i="8"/>
  <c r="Q404" i="8"/>
  <c r="Q238" i="8" s="1"/>
  <c r="AG404" i="8"/>
  <c r="AG238" i="8" s="1"/>
  <c r="M404" i="8"/>
  <c r="M238" i="8" s="1"/>
  <c r="U404" i="8"/>
  <c r="U238" i="8" s="1"/>
  <c r="O404" i="8"/>
  <c r="O238" i="8" s="1"/>
  <c r="Y404" i="8"/>
  <c r="Y238" i="8" s="1"/>
  <c r="AC404" i="8"/>
  <c r="AC238" i="8" s="1"/>
  <c r="AE404" i="8"/>
  <c r="AE238" i="8" s="1"/>
  <c r="AI405" i="8"/>
  <c r="W406" i="8" s="1"/>
  <c r="C121" i="5"/>
  <c r="C134" i="5" s="1"/>
  <c r="K478" i="8" l="1"/>
  <c r="E94" i="5"/>
  <c r="K136" i="8"/>
  <c r="S478" i="8"/>
  <c r="S238" i="8"/>
  <c r="AA478" i="8"/>
  <c r="AA238" i="8"/>
  <c r="K42" i="7" s="1"/>
  <c r="AG136" i="8"/>
  <c r="AG478" i="8"/>
  <c r="AE136" i="8"/>
  <c r="AE478" i="8"/>
  <c r="Q136" i="8"/>
  <c r="Q478" i="8"/>
  <c r="AC136" i="8"/>
  <c r="AC478" i="8"/>
  <c r="Y136" i="8"/>
  <c r="Y478" i="8"/>
  <c r="W136" i="8"/>
  <c r="W478" i="8"/>
  <c r="U136" i="8"/>
  <c r="U478" i="8"/>
  <c r="O136" i="8"/>
  <c r="O478" i="8"/>
  <c r="M136" i="8"/>
  <c r="M478" i="8"/>
  <c r="E98" i="5"/>
  <c r="S136" i="8"/>
  <c r="E103" i="5"/>
  <c r="AA136" i="8"/>
  <c r="K41" i="7" s="1"/>
  <c r="AA406" i="8"/>
  <c r="AG406" i="8"/>
  <c r="Y406" i="8"/>
  <c r="O406" i="8"/>
  <c r="Q406" i="8"/>
  <c r="S406" i="8"/>
  <c r="M406" i="8"/>
  <c r="AC406" i="8"/>
  <c r="AE406" i="8"/>
  <c r="U406" i="8"/>
  <c r="E95" i="5"/>
  <c r="I42" i="7"/>
  <c r="E102" i="5"/>
  <c r="E96" i="5"/>
  <c r="E105" i="5"/>
  <c r="O42" i="7"/>
  <c r="E99" i="5"/>
  <c r="E106" i="5"/>
  <c r="Q42" i="7"/>
  <c r="E97" i="5"/>
  <c r="K406" i="8"/>
  <c r="G42" i="7"/>
  <c r="E101" i="5"/>
  <c r="M42" i="7"/>
  <c r="E104" i="5"/>
  <c r="AI404" i="8"/>
  <c r="AJ404" i="8" s="1"/>
  <c r="O366" i="8" l="1"/>
  <c r="O368" i="8"/>
  <c r="Y366" i="8"/>
  <c r="Y368" i="8"/>
  <c r="Q366" i="8"/>
  <c r="Q368" i="8"/>
  <c r="AG366" i="8"/>
  <c r="AG368" i="8"/>
  <c r="AE366" i="8"/>
  <c r="AE368" i="8"/>
  <c r="AA366" i="8"/>
  <c r="AA368" i="8"/>
  <c r="S366" i="8"/>
  <c r="S368" i="8"/>
  <c r="K366" i="8"/>
  <c r="K368" i="8"/>
  <c r="U366" i="8"/>
  <c r="U368" i="8"/>
  <c r="AC366" i="8"/>
  <c r="AC368" i="8"/>
  <c r="W366" i="8"/>
  <c r="W368" i="8"/>
  <c r="M366" i="8"/>
  <c r="M368" i="8"/>
  <c r="AC336" i="8"/>
  <c r="AC341" i="8" s="1"/>
  <c r="AC354" i="8"/>
  <c r="AC352" i="8"/>
  <c r="AC355" i="8"/>
  <c r="AC353" i="8"/>
  <c r="S336" i="8"/>
  <c r="S341" i="8" s="1"/>
  <c r="S352" i="8"/>
  <c r="S355" i="8"/>
  <c r="S353" i="8"/>
  <c r="S354" i="8"/>
  <c r="K336" i="8"/>
  <c r="K354" i="8"/>
  <c r="K352" i="8"/>
  <c r="K355" i="8"/>
  <c r="K353" i="8"/>
  <c r="Q336" i="8"/>
  <c r="Q341" i="8" s="1"/>
  <c r="Q354" i="8"/>
  <c r="Q352" i="8"/>
  <c r="Q355" i="8"/>
  <c r="Q353" i="8"/>
  <c r="AA336" i="8"/>
  <c r="AA341" i="8" s="1"/>
  <c r="AA353" i="8"/>
  <c r="AA355" i="8"/>
  <c r="AA354" i="8"/>
  <c r="AA352" i="8"/>
  <c r="O336" i="8"/>
  <c r="O341" i="8" s="1"/>
  <c r="O354" i="8"/>
  <c r="O352" i="8"/>
  <c r="O355" i="8"/>
  <c r="O353" i="8"/>
  <c r="Y336" i="8"/>
  <c r="Y341" i="8" s="1"/>
  <c r="Y355" i="8"/>
  <c r="Y353" i="8"/>
  <c r="Y354" i="8"/>
  <c r="Y352" i="8"/>
  <c r="U336" i="8"/>
  <c r="U341" i="8" s="1"/>
  <c r="U355" i="8"/>
  <c r="U353" i="8"/>
  <c r="U354" i="8"/>
  <c r="U352" i="8"/>
  <c r="AG336" i="8"/>
  <c r="AG341" i="8" s="1"/>
  <c r="AG354" i="8"/>
  <c r="AG352" i="8"/>
  <c r="AG355" i="8"/>
  <c r="AG353" i="8"/>
  <c r="AE336" i="8"/>
  <c r="AE341" i="8" s="1"/>
  <c r="AE354" i="8"/>
  <c r="AE352" i="8"/>
  <c r="AE355" i="8"/>
  <c r="AE353" i="8"/>
  <c r="W336" i="8"/>
  <c r="W341" i="8" s="1"/>
  <c r="W355" i="8"/>
  <c r="W353" i="8"/>
  <c r="W354" i="8"/>
  <c r="W352" i="8"/>
  <c r="M336" i="8"/>
  <c r="M341" i="8" s="1"/>
  <c r="M354" i="8"/>
  <c r="M352" i="8"/>
  <c r="M355" i="8"/>
  <c r="M353" i="8"/>
  <c r="K44" i="7"/>
  <c r="E107" i="5"/>
  <c r="AI136" i="8"/>
  <c r="AI238" i="8"/>
  <c r="AI478" i="8"/>
  <c r="E42" i="7"/>
  <c r="O41" i="7"/>
  <c r="O44" i="7" s="1"/>
  <c r="I41" i="7"/>
  <c r="I44" i="7" s="1"/>
  <c r="E129" i="5"/>
  <c r="E124" i="5"/>
  <c r="E126" i="5"/>
  <c r="E133" i="5"/>
  <c r="G41" i="7"/>
  <c r="E123" i="5"/>
  <c r="E121" i="5"/>
  <c r="AI406" i="8"/>
  <c r="AJ406" i="8" s="1"/>
  <c r="E132" i="5"/>
  <c r="E130" i="5"/>
  <c r="E131" i="5"/>
  <c r="E128" i="5"/>
  <c r="E122" i="5"/>
  <c r="M41" i="7"/>
  <c r="M44" i="7" s="1"/>
  <c r="Q41" i="7"/>
  <c r="Q44" i="7" s="1"/>
  <c r="E125" i="5"/>
  <c r="S369" i="8" l="1"/>
  <c r="Y357" i="8"/>
  <c r="Y359" i="8" s="1"/>
  <c r="AI354" i="8"/>
  <c r="AG357" i="8"/>
  <c r="AG359" i="8" s="1"/>
  <c r="S357" i="8"/>
  <c r="S359" i="8" s="1"/>
  <c r="Q369" i="8"/>
  <c r="K341" i="8"/>
  <c r="AI341" i="8" s="1"/>
  <c r="AI336" i="8"/>
  <c r="AI366" i="8"/>
  <c r="K369" i="8"/>
  <c r="O369" i="8"/>
  <c r="M68" i="7"/>
  <c r="M71" i="7" s="1"/>
  <c r="M74" i="7" s="1"/>
  <c r="M77" i="7" s="1"/>
  <c r="M82" i="7" s="1"/>
  <c r="AC369" i="8"/>
  <c r="M357" i="8"/>
  <c r="M359" i="8" s="1"/>
  <c r="K357" i="8"/>
  <c r="AI352" i="8"/>
  <c r="M369" i="8"/>
  <c r="AI368" i="8"/>
  <c r="O357" i="8"/>
  <c r="O359" i="8" s="1"/>
  <c r="AI355" i="8"/>
  <c r="U357" i="8"/>
  <c r="U359" i="8" s="1"/>
  <c r="I68" i="7"/>
  <c r="I71" i="7" s="1"/>
  <c r="I74" i="7" s="1"/>
  <c r="I77" i="7" s="1"/>
  <c r="I82" i="7" s="1"/>
  <c r="Y369" i="8"/>
  <c r="K68" i="7"/>
  <c r="K71" i="7" s="1"/>
  <c r="K74" i="7" s="1"/>
  <c r="K77" i="7" s="1"/>
  <c r="K82" i="7" s="1"/>
  <c r="AA369" i="8"/>
  <c r="G68" i="7"/>
  <c r="W369" i="8"/>
  <c r="E41" i="7"/>
  <c r="E44" i="7" s="1"/>
  <c r="G44" i="7"/>
  <c r="O68" i="7"/>
  <c r="O71" i="7" s="1"/>
  <c r="O74" i="7" s="1"/>
  <c r="O77" i="7" s="1"/>
  <c r="O82" i="7" s="1"/>
  <c r="AE369" i="8"/>
  <c r="AC357" i="8"/>
  <c r="AC359" i="8" s="1"/>
  <c r="W357" i="8"/>
  <c r="W359" i="8" s="1"/>
  <c r="AA357" i="8"/>
  <c r="AA359" i="8" s="1"/>
  <c r="AE357" i="8"/>
  <c r="AE359" i="8" s="1"/>
  <c r="AI353" i="8"/>
  <c r="E134" i="5"/>
  <c r="Q68" i="7"/>
  <c r="Q71" i="7" s="1"/>
  <c r="Q74" i="7" s="1"/>
  <c r="Q77" i="7" s="1"/>
  <c r="Q82" i="7" s="1"/>
  <c r="AG369" i="8"/>
  <c r="U369" i="8"/>
  <c r="Q357" i="8"/>
  <c r="Q359" i="8" s="1"/>
  <c r="AG371" i="8" l="1"/>
  <c r="AG407" i="8" s="1"/>
  <c r="C27" i="6" s="1"/>
  <c r="Y371" i="8"/>
  <c r="Y407" i="8" s="1"/>
  <c r="C23" i="6" s="1"/>
  <c r="S371" i="8"/>
  <c r="S407" i="8" s="1"/>
  <c r="Q371" i="8"/>
  <c r="Q407" i="8" s="1"/>
  <c r="AC371" i="8"/>
  <c r="AC407" i="8" s="1"/>
  <c r="C25" i="6" s="1"/>
  <c r="W371" i="8"/>
  <c r="W407" i="8" s="1"/>
  <c r="E68" i="7"/>
  <c r="E71" i="7" s="1"/>
  <c r="E74" i="7" s="1"/>
  <c r="G71" i="7"/>
  <c r="G74" i="7" s="1"/>
  <c r="G77" i="7" s="1"/>
  <c r="O371" i="8"/>
  <c r="AA371" i="8"/>
  <c r="AA407" i="8" s="1"/>
  <c r="M371" i="8"/>
  <c r="AI369" i="8"/>
  <c r="U371" i="8"/>
  <c r="AE371" i="8"/>
  <c r="AE407" i="8" s="1"/>
  <c r="AI357" i="8"/>
  <c r="K359" i="8"/>
  <c r="AI359" i="8" s="1"/>
  <c r="C22" i="6" l="1"/>
  <c r="N36" i="11"/>
  <c r="N81" i="11" s="1"/>
  <c r="K371" i="8"/>
  <c r="K407" i="8" s="1"/>
  <c r="L36" i="11"/>
  <c r="L81" i="11" s="1"/>
  <c r="C24" i="6"/>
  <c r="C19" i="6"/>
  <c r="J36" i="11"/>
  <c r="O407" i="8"/>
  <c r="G82" i="7"/>
  <c r="E77" i="7"/>
  <c r="P36" i="11"/>
  <c r="U407" i="8"/>
  <c r="C18" i="6"/>
  <c r="C26" i="6"/>
  <c r="H36" i="11"/>
  <c r="M407" i="8"/>
  <c r="AI371" i="8" l="1"/>
  <c r="F36" i="11"/>
  <c r="C17" i="6"/>
  <c r="J81" i="11"/>
  <c r="C16" i="6"/>
  <c r="C20" i="6"/>
  <c r="P81" i="11"/>
  <c r="C15" i="6"/>
  <c r="AI407" i="8"/>
  <c r="W408" i="8" s="1"/>
  <c r="H81" i="11"/>
  <c r="O408" i="8" l="1"/>
  <c r="O248" i="8" s="1"/>
  <c r="F81" i="11"/>
  <c r="D36" i="11"/>
  <c r="P43" i="11" s="1"/>
  <c r="P27" i="11" s="1"/>
  <c r="K408" i="8"/>
  <c r="K248" i="8" s="1"/>
  <c r="C29" i="6"/>
  <c r="E19" i="6" s="1"/>
  <c r="M408" i="8"/>
  <c r="U408" i="8"/>
  <c r="AC408" i="8"/>
  <c r="AG408" i="8"/>
  <c r="Y408" i="8"/>
  <c r="AE408" i="8"/>
  <c r="S408" i="8"/>
  <c r="Q408" i="8"/>
  <c r="AA408" i="8"/>
  <c r="D81" i="11" l="1"/>
  <c r="H88" i="11" s="1"/>
  <c r="H72" i="11" s="1"/>
  <c r="F43" i="11"/>
  <c r="F27" i="11" s="1"/>
  <c r="O240" i="8"/>
  <c r="O236" i="8"/>
  <c r="E17" i="6"/>
  <c r="O246" i="8"/>
  <c r="S246" i="8"/>
  <c r="H13" i="21" s="1"/>
  <c r="S248" i="8"/>
  <c r="H15" i="21" s="1"/>
  <c r="Y246" i="8"/>
  <c r="Y248" i="8"/>
  <c r="AG246" i="8"/>
  <c r="AG248" i="8"/>
  <c r="Q246" i="8"/>
  <c r="F13" i="21" s="1"/>
  <c r="Q248" i="8"/>
  <c r="F15" i="21" s="1"/>
  <c r="M246" i="8"/>
  <c r="M248" i="8"/>
  <c r="AE246" i="8"/>
  <c r="AE248" i="8"/>
  <c r="W246" i="8"/>
  <c r="W248" i="8"/>
  <c r="AC246" i="8"/>
  <c r="AC248" i="8"/>
  <c r="AA246" i="8"/>
  <c r="AA248" i="8"/>
  <c r="U246" i="8"/>
  <c r="U248" i="8"/>
  <c r="K240" i="8"/>
  <c r="K246" i="8"/>
  <c r="AG236" i="8"/>
  <c r="AG240" i="8"/>
  <c r="AC236" i="8"/>
  <c r="AC240" i="8"/>
  <c r="AA236" i="8"/>
  <c r="AA240" i="8"/>
  <c r="U236" i="8"/>
  <c r="U240" i="8"/>
  <c r="Q236" i="8"/>
  <c r="Q240" i="8"/>
  <c r="M236" i="8"/>
  <c r="M240" i="8"/>
  <c r="S236" i="8"/>
  <c r="S240" i="8"/>
  <c r="AE236" i="8"/>
  <c r="AE240" i="8"/>
  <c r="W236" i="8"/>
  <c r="W240" i="8"/>
  <c r="Y236" i="8"/>
  <c r="Y240" i="8"/>
  <c r="K236" i="8"/>
  <c r="E15" i="6"/>
  <c r="L43" i="11"/>
  <c r="L27" i="11" s="1"/>
  <c r="Q36" i="11"/>
  <c r="H43" i="11"/>
  <c r="H27" i="11" s="1"/>
  <c r="N43" i="11"/>
  <c r="N27" i="11" s="1"/>
  <c r="O43" i="11"/>
  <c r="J43" i="11"/>
  <c r="J27" i="11" s="1"/>
  <c r="E20" i="6"/>
  <c r="E16" i="6"/>
  <c r="P88" i="11"/>
  <c r="P72" i="11" s="1"/>
  <c r="E24" i="6"/>
  <c r="E26" i="6"/>
  <c r="AI408" i="8"/>
  <c r="AJ408" i="8" s="1"/>
  <c r="L88" i="11"/>
  <c r="L72" i="11" s="1"/>
  <c r="N88" i="11"/>
  <c r="N72" i="11" s="1"/>
  <c r="E23" i="6"/>
  <c r="E27" i="6"/>
  <c r="E18" i="6"/>
  <c r="E22" i="6"/>
  <c r="J88" i="11"/>
  <c r="J72" i="11" s="1"/>
  <c r="Q81" i="11"/>
  <c r="E25" i="6"/>
  <c r="F88" i="11" l="1"/>
  <c r="F72" i="11" s="1"/>
  <c r="Q72" i="11" s="1"/>
  <c r="O409" i="8"/>
  <c r="C44" i="6" s="1"/>
  <c r="K409" i="8"/>
  <c r="C42" i="6" s="1"/>
  <c r="Q27" i="11"/>
  <c r="Q43" i="11"/>
  <c r="U409" i="8"/>
  <c r="C47" i="6" s="1"/>
  <c r="M409" i="8"/>
  <c r="C43" i="6" s="1"/>
  <c r="AI240" i="8"/>
  <c r="AI248" i="8"/>
  <c r="AI246" i="8"/>
  <c r="E29" i="6"/>
  <c r="AI236" i="8"/>
  <c r="S409" i="8"/>
  <c r="Y409" i="8"/>
  <c r="AC409" i="8"/>
  <c r="AE409" i="8"/>
  <c r="Q409" i="8"/>
  <c r="AG409" i="8"/>
  <c r="AA409" i="8"/>
  <c r="W409" i="8"/>
  <c r="Q88" i="11" l="1"/>
  <c r="C53" i="6"/>
  <c r="C54" i="6"/>
  <c r="C45" i="6"/>
  <c r="C50" i="6"/>
  <c r="C52" i="6"/>
  <c r="AI409" i="8"/>
  <c r="AC410" i="8" s="1"/>
  <c r="AC257" i="8" s="1"/>
  <c r="C49" i="6"/>
  <c r="C51" i="6"/>
  <c r="C46" i="6"/>
  <c r="W410" i="8" l="1"/>
  <c r="W257" i="8" s="1"/>
  <c r="AC138" i="8"/>
  <c r="AC143" i="8" s="1"/>
  <c r="AC150" i="8" s="1"/>
  <c r="AC152" i="8" s="1"/>
  <c r="AC241" i="8"/>
  <c r="AC239" i="8"/>
  <c r="AC237" i="8"/>
  <c r="C56" i="6"/>
  <c r="Y410" i="8"/>
  <c r="Y257" i="8" s="1"/>
  <c r="Q410" i="8"/>
  <c r="Q257" i="8" s="1"/>
  <c r="Q258" i="8" s="1"/>
  <c r="AA410" i="8"/>
  <c r="AA257" i="8" s="1"/>
  <c r="AC258" i="8"/>
  <c r="E52" i="6"/>
  <c r="AG410" i="8"/>
  <c r="AG257" i="8" s="1"/>
  <c r="M410" i="8"/>
  <c r="M257" i="8" s="1"/>
  <c r="O410" i="8"/>
  <c r="O257" i="8" s="1"/>
  <c r="K410" i="8"/>
  <c r="K257" i="8" s="1"/>
  <c r="U410" i="8"/>
  <c r="U257" i="8" s="1"/>
  <c r="S410" i="8"/>
  <c r="S257" i="8" s="1"/>
  <c r="AE410" i="8"/>
  <c r="AE257" i="8" s="1"/>
  <c r="Y241" i="8" l="1"/>
  <c r="Y239" i="8"/>
  <c r="Y237" i="8"/>
  <c r="O138" i="8"/>
  <c r="O143" i="8" s="1"/>
  <c r="O150" i="8" s="1"/>
  <c r="O152" i="8" s="1"/>
  <c r="O241" i="8"/>
  <c r="O239" i="8"/>
  <c r="O237" i="8"/>
  <c r="AA258" i="8"/>
  <c r="AA241" i="8"/>
  <c r="AA239" i="8"/>
  <c r="AA237" i="8"/>
  <c r="M138" i="8"/>
  <c r="M143" i="8" s="1"/>
  <c r="M150" i="8" s="1"/>
  <c r="M152" i="8" s="1"/>
  <c r="M241" i="8"/>
  <c r="M239" i="8"/>
  <c r="M237" i="8"/>
  <c r="Q138" i="8"/>
  <c r="Q143" i="8" s="1"/>
  <c r="Q150" i="8" s="1"/>
  <c r="Q152" i="8" s="1"/>
  <c r="Q241" i="8"/>
  <c r="Q239" i="8"/>
  <c r="Q237" i="8"/>
  <c r="AG138" i="8"/>
  <c r="AG143" i="8" s="1"/>
  <c r="AG150" i="8" s="1"/>
  <c r="AG152" i="8" s="1"/>
  <c r="AG241" i="8"/>
  <c r="AG239" i="8"/>
  <c r="AG237" i="8"/>
  <c r="AE138" i="8"/>
  <c r="AE143" i="8" s="1"/>
  <c r="AE150" i="8" s="1"/>
  <c r="AE152" i="8" s="1"/>
  <c r="AE241" i="8"/>
  <c r="AE239" i="8"/>
  <c r="AE237" i="8"/>
  <c r="U138" i="8"/>
  <c r="U143" i="8" s="1"/>
  <c r="U150" i="8" s="1"/>
  <c r="U152" i="8" s="1"/>
  <c r="U241" i="8"/>
  <c r="U239" i="8"/>
  <c r="U237" i="8"/>
  <c r="W138" i="8"/>
  <c r="W143" i="8" s="1"/>
  <c r="W150" i="8" s="1"/>
  <c r="W152" i="8" s="1"/>
  <c r="W241" i="8"/>
  <c r="W239" i="8"/>
  <c r="W237" i="8"/>
  <c r="S138" i="8"/>
  <c r="S143" i="8" s="1"/>
  <c r="S150" i="8" s="1"/>
  <c r="S152" i="8" s="1"/>
  <c r="S237" i="8"/>
  <c r="S239" i="8"/>
  <c r="S241" i="8"/>
  <c r="K138" i="8"/>
  <c r="K241" i="8"/>
  <c r="K239" i="8"/>
  <c r="K237" i="8"/>
  <c r="E45" i="6"/>
  <c r="E51" i="6"/>
  <c r="AA138" i="8"/>
  <c r="AA143" i="8" s="1"/>
  <c r="AA150" i="8" s="1"/>
  <c r="AA152" i="8" s="1"/>
  <c r="Y138" i="8"/>
  <c r="Y143" i="8" s="1"/>
  <c r="Y150" i="8" s="1"/>
  <c r="Y152" i="8" s="1"/>
  <c r="E50" i="6"/>
  <c r="Y258" i="8"/>
  <c r="L19" i="11"/>
  <c r="L21" i="11" s="1"/>
  <c r="AG258" i="8"/>
  <c r="E54" i="6"/>
  <c r="S258" i="8"/>
  <c r="E46" i="6"/>
  <c r="W258" i="8"/>
  <c r="E49" i="6"/>
  <c r="AC242" i="8"/>
  <c r="AC244" i="8" s="1"/>
  <c r="AC251" i="8" s="1"/>
  <c r="AC261" i="8" s="1"/>
  <c r="X61" i="10" s="1"/>
  <c r="AF61" i="10" s="1"/>
  <c r="E43" i="6"/>
  <c r="M258" i="8"/>
  <c r="AI410" i="8"/>
  <c r="AJ410" i="8" s="1"/>
  <c r="E42" i="6"/>
  <c r="AE258" i="8"/>
  <c r="E53" i="6"/>
  <c r="U258" i="8"/>
  <c r="E47" i="6"/>
  <c r="O258" i="8"/>
  <c r="E44" i="6"/>
  <c r="J19" i="11" l="1"/>
  <c r="J21" i="11" s="1"/>
  <c r="Q242" i="8"/>
  <c r="F11" i="21" s="1"/>
  <c r="F17" i="21" s="1"/>
  <c r="F19" i="21" s="1"/>
  <c r="F23" i="21" s="1"/>
  <c r="AA242" i="8"/>
  <c r="AA244" i="8" s="1"/>
  <c r="AA251" i="8" s="1"/>
  <c r="AA261" i="8" s="1"/>
  <c r="X60" i="10" s="1"/>
  <c r="AD60" i="10" s="1"/>
  <c r="AD64" i="10" s="1"/>
  <c r="Y242" i="8"/>
  <c r="Y244" i="8" s="1"/>
  <c r="Y251" i="8" s="1"/>
  <c r="Y261" i="8" s="1"/>
  <c r="X59" i="10" s="1"/>
  <c r="AB59" i="10" s="1"/>
  <c r="L64" i="11"/>
  <c r="L66" i="11" s="1"/>
  <c r="H19" i="11"/>
  <c r="H21" i="11" s="1"/>
  <c r="O242" i="8"/>
  <c r="O244" i="8" s="1"/>
  <c r="P19" i="11"/>
  <c r="P21" i="11" s="1"/>
  <c r="AG242" i="8"/>
  <c r="AG244" i="8" s="1"/>
  <c r="AG251" i="8" s="1"/>
  <c r="AG261" i="8" s="1"/>
  <c r="X63" i="10" s="1"/>
  <c r="AJ63" i="10" s="1"/>
  <c r="Q10" i="7" s="1"/>
  <c r="Q14" i="7" s="1"/>
  <c r="E56" i="6"/>
  <c r="N19" i="11"/>
  <c r="N21" i="11" s="1"/>
  <c r="U242" i="8"/>
  <c r="U244" i="8" s="1"/>
  <c r="U251" i="8" s="1"/>
  <c r="U261" i="8" s="1"/>
  <c r="X54" i="10" s="1"/>
  <c r="AJ54" i="10" s="1"/>
  <c r="AJ55" i="10" s="1"/>
  <c r="AI237" i="8"/>
  <c r="K242" i="8"/>
  <c r="AE242" i="8"/>
  <c r="AE244" i="8" s="1"/>
  <c r="AE251" i="8" s="1"/>
  <c r="AE261" i="8" s="1"/>
  <c r="X62" i="10" s="1"/>
  <c r="AH62" i="10" s="1"/>
  <c r="M10" i="7"/>
  <c r="M14" i="7" s="1"/>
  <c r="AF64" i="10"/>
  <c r="AI241" i="8"/>
  <c r="W242" i="8"/>
  <c r="W244" i="8" s="1"/>
  <c r="W251" i="8" s="1"/>
  <c r="W261" i="8" s="1"/>
  <c r="X58" i="10" s="1"/>
  <c r="S242" i="8"/>
  <c r="AI239" i="8"/>
  <c r="M242" i="8"/>
  <c r="M244" i="8" s="1"/>
  <c r="AI257" i="8"/>
  <c r="K258" i="8"/>
  <c r="AI138" i="8"/>
  <c r="K143" i="8"/>
  <c r="J64" i="11" l="1"/>
  <c r="J66" i="11" s="1"/>
  <c r="Q244" i="8"/>
  <c r="Q251" i="8" s="1"/>
  <c r="Q261" i="8" s="1"/>
  <c r="X52" i="10" s="1"/>
  <c r="AF52" i="10" s="1"/>
  <c r="AF55" i="10" s="1"/>
  <c r="AF67" i="10" s="1"/>
  <c r="AF73" i="10" s="1"/>
  <c r="D22" i="10" s="1"/>
  <c r="P64" i="11"/>
  <c r="P66" i="11" s="1"/>
  <c r="H64" i="11"/>
  <c r="H66" i="11" s="1"/>
  <c r="K10" i="7"/>
  <c r="K14" i="7" s="1"/>
  <c r="AB64" i="10"/>
  <c r="I10" i="7"/>
  <c r="I14" i="7" s="1"/>
  <c r="N64" i="11"/>
  <c r="N66" i="11" s="1"/>
  <c r="P23" i="11"/>
  <c r="P68" i="11" s="1"/>
  <c r="AJ64" i="10"/>
  <c r="AJ67" i="10" s="1"/>
  <c r="AJ73" i="10" s="1"/>
  <c r="D26" i="10" s="1"/>
  <c r="O10" i="7"/>
  <c r="O14" i="7" s="1"/>
  <c r="AH64" i="10"/>
  <c r="AI242" i="8"/>
  <c r="AI258" i="8"/>
  <c r="F19" i="11"/>
  <c r="S244" i="8"/>
  <c r="H11" i="21"/>
  <c r="H17" i="21" s="1"/>
  <c r="H19" i="21" s="1"/>
  <c r="H23" i="21" s="1"/>
  <c r="X64" i="10"/>
  <c r="Z58" i="10"/>
  <c r="J23" i="11"/>
  <c r="J68" i="11" s="1"/>
  <c r="O251" i="8"/>
  <c r="O261" i="8" s="1"/>
  <c r="X51" i="10" s="1"/>
  <c r="AD51" i="10" s="1"/>
  <c r="AD55" i="10" s="1"/>
  <c r="AD67" i="10" s="1"/>
  <c r="AD73" i="10" s="1"/>
  <c r="D20" i="10" s="1"/>
  <c r="AI143" i="8"/>
  <c r="K150" i="8"/>
  <c r="M251" i="8"/>
  <c r="M261" i="8" s="1"/>
  <c r="X50" i="10" s="1"/>
  <c r="AB50" i="10" s="1"/>
  <c r="AB55" i="10" s="1"/>
  <c r="H23" i="11"/>
  <c r="H68" i="11" s="1"/>
  <c r="J70" i="11" l="1"/>
  <c r="J74" i="11" s="1"/>
  <c r="L23" i="11"/>
  <c r="L68" i="11" s="1"/>
  <c r="L70" i="11" s="1"/>
  <c r="P70" i="11"/>
  <c r="P74" i="11" s="1"/>
  <c r="H70" i="11"/>
  <c r="H74" i="11" s="1"/>
  <c r="AB67" i="10"/>
  <c r="AB73" i="10" s="1"/>
  <c r="D18" i="10" s="1"/>
  <c r="P25" i="11"/>
  <c r="P29" i="11" s="1"/>
  <c r="S251" i="8"/>
  <c r="S261" i="8" s="1"/>
  <c r="X53" i="10" s="1"/>
  <c r="AH53" i="10" s="1"/>
  <c r="AH55" i="10" s="1"/>
  <c r="AH67" i="10" s="1"/>
  <c r="AH73" i="10" s="1"/>
  <c r="D24" i="10" s="1"/>
  <c r="N23" i="11"/>
  <c r="G10" i="7"/>
  <c r="Z64" i="10"/>
  <c r="H25" i="11"/>
  <c r="K152" i="8"/>
  <c r="AI150" i="8"/>
  <c r="F21" i="11"/>
  <c r="F64" i="11"/>
  <c r="D19" i="11"/>
  <c r="J25" i="11"/>
  <c r="L25" i="11" l="1"/>
  <c r="L29" i="11" s="1"/>
  <c r="L74" i="11"/>
  <c r="F66" i="11"/>
  <c r="D64" i="11"/>
  <c r="D66" i="11" s="1"/>
  <c r="Q19" i="11"/>
  <c r="D21" i="11"/>
  <c r="AI152" i="8"/>
  <c r="K244" i="8"/>
  <c r="E10" i="7"/>
  <c r="G14" i="7"/>
  <c r="J29" i="11"/>
  <c r="H29" i="11"/>
  <c r="N68" i="11"/>
  <c r="N70" i="11" s="1"/>
  <c r="N25" i="11"/>
  <c r="K251" i="8" l="1"/>
  <c r="AI244" i="8"/>
  <c r="F23" i="11"/>
  <c r="F68" i="11"/>
  <c r="N74" i="11"/>
  <c r="Q21" i="11"/>
  <c r="N29" i="11"/>
  <c r="Q64" i="11"/>
  <c r="Q66" i="11"/>
  <c r="D68" i="11" l="1"/>
  <c r="D70" i="11" s="1"/>
  <c r="D23" i="11"/>
  <c r="F25" i="11"/>
  <c r="F70" i="11"/>
  <c r="K261" i="8"/>
  <c r="AI251" i="8"/>
  <c r="AI261" i="8" l="1"/>
  <c r="X49" i="10"/>
  <c r="Q70" i="11"/>
  <c r="F74" i="11"/>
  <c r="F29" i="11"/>
  <c r="Q23" i="11"/>
  <c r="D25" i="11"/>
  <c r="D78" i="11"/>
  <c r="D83" i="11" s="1"/>
  <c r="D85" i="11" s="1"/>
  <c r="D74" i="11"/>
  <c r="Q68" i="11"/>
  <c r="F89" i="11" l="1"/>
  <c r="Q74" i="11"/>
  <c r="P89" i="11"/>
  <c r="P76" i="11" s="1"/>
  <c r="P78" i="11" s="1"/>
  <c r="P83" i="11" s="1"/>
  <c r="P85" i="11" s="1"/>
  <c r="J89" i="11"/>
  <c r="J76" i="11" s="1"/>
  <c r="J78" i="11" s="1"/>
  <c r="J83" i="11" s="1"/>
  <c r="J85" i="11" s="1"/>
  <c r="H89" i="11"/>
  <c r="H76" i="11" s="1"/>
  <c r="H78" i="11" s="1"/>
  <c r="H83" i="11" s="1"/>
  <c r="H85" i="11" s="1"/>
  <c r="L89" i="11"/>
  <c r="L76" i="11" s="1"/>
  <c r="L78" i="11" s="1"/>
  <c r="L83" i="11" s="1"/>
  <c r="L85" i="11" s="1"/>
  <c r="N89" i="11"/>
  <c r="N76" i="11" s="1"/>
  <c r="N78" i="11" s="1"/>
  <c r="N83" i="11" s="1"/>
  <c r="N85" i="11" s="1"/>
  <c r="X55" i="10"/>
  <c r="X67" i="10" s="1"/>
  <c r="X73" i="10" s="1"/>
  <c r="Z49" i="10"/>
  <c r="Z55" i="10" s="1"/>
  <c r="Z67" i="10" s="1"/>
  <c r="Z73" i="10" s="1"/>
  <c r="D16" i="10" s="1"/>
  <c r="Q25" i="11"/>
  <c r="D29" i="11"/>
  <c r="F44" i="11" s="1"/>
  <c r="D33" i="11"/>
  <c r="D38" i="11" l="1"/>
  <c r="D40" i="11" s="1"/>
  <c r="O44" i="11"/>
  <c r="Q29" i="11"/>
  <c r="P44" i="11"/>
  <c r="P31" i="11" s="1"/>
  <c r="P33" i="11" s="1"/>
  <c r="P38" i="11" s="1"/>
  <c r="L44" i="11"/>
  <c r="L31" i="11" s="1"/>
  <c r="L33" i="11" s="1"/>
  <c r="L38" i="11" s="1"/>
  <c r="H44" i="11"/>
  <c r="H31" i="11" s="1"/>
  <c r="H33" i="11" s="1"/>
  <c r="H38" i="11" s="1"/>
  <c r="J44" i="11"/>
  <c r="J31" i="11" s="1"/>
  <c r="J33" i="11" s="1"/>
  <c r="J38" i="11" s="1"/>
  <c r="N44" i="11"/>
  <c r="N31" i="11" s="1"/>
  <c r="N33" i="11" s="1"/>
  <c r="N38" i="11" s="1"/>
  <c r="Q89" i="11"/>
  <c r="F76" i="11"/>
  <c r="D28" i="10"/>
  <c r="F16" i="10" s="1"/>
  <c r="N40" i="11" l="1"/>
  <c r="J40" i="11"/>
  <c r="H40" i="11"/>
  <c r="P40" i="11"/>
  <c r="L40" i="11"/>
  <c r="F31" i="11"/>
  <c r="Q44" i="11"/>
  <c r="D33" i="10"/>
  <c r="F22" i="10"/>
  <c r="F20" i="10"/>
  <c r="F18" i="10"/>
  <c r="F26" i="10"/>
  <c r="F24" i="10"/>
  <c r="Q76" i="11"/>
  <c r="F78" i="11"/>
  <c r="F28" i="10" l="1"/>
  <c r="F83" i="11"/>
  <c r="F85" i="11" s="1"/>
  <c r="Q78" i="11"/>
  <c r="Q31" i="11"/>
  <c r="F33" i="11"/>
  <c r="F38" i="11" l="1"/>
  <c r="F40" i="11" s="1"/>
  <c r="Q33" i="11"/>
</calcChain>
</file>

<file path=xl/sharedStrings.xml><?xml version="1.0" encoding="utf-8"?>
<sst xmlns="http://schemas.openxmlformats.org/spreadsheetml/2006/main" count="1988" uniqueCount="850">
  <si>
    <t>Increase</t>
  </si>
  <si>
    <t>Percent</t>
  </si>
  <si>
    <t>Cost of Service</t>
  </si>
  <si>
    <t xml:space="preserve"> Schedule A</t>
  </si>
  <si>
    <t>Under Present Rates</t>
  </si>
  <si>
    <t>Amount</t>
  </si>
  <si>
    <t>Other Operating Revenues</t>
  </si>
  <si>
    <t xml:space="preserve">      Total</t>
  </si>
  <si>
    <t>SUMMARY OF COST OF SERVICE BY SERVICE CLASSIFICATION</t>
  </si>
  <si>
    <t>Cost Function</t>
  </si>
  <si>
    <t>(Schedule E)</t>
  </si>
  <si>
    <t>Gas Costs</t>
  </si>
  <si>
    <t xml:space="preserve">         Total</t>
  </si>
  <si>
    <t>O&amp;M other than A&amp;G</t>
  </si>
  <si>
    <t xml:space="preserve">               Subtotal</t>
  </si>
  <si>
    <t>Number of bills</t>
  </si>
  <si>
    <t>UNDER PRESENT RATES</t>
  </si>
  <si>
    <t>Schedule C</t>
  </si>
  <si>
    <t>DEVELOPMENT OF RATE OF RETURN BY SERVICE CLASSIFICATION</t>
  </si>
  <si>
    <t>UNDER PROPOSED RATES</t>
  </si>
  <si>
    <t xml:space="preserve">Item </t>
  </si>
  <si>
    <t xml:space="preserve">       and Transportation</t>
  </si>
  <si>
    <t xml:space="preserve"> 2. Other Revenues</t>
  </si>
  <si>
    <t xml:space="preserve"> 3. Total Operating Revenues</t>
  </si>
  <si>
    <t xml:space="preserve"> 4. Less: Operating Expenses</t>
  </si>
  <si>
    <t xml:space="preserve"> 5. Return and Income Taxes</t>
  </si>
  <si>
    <t xml:space="preserve"> 6. Less: Interest Expense</t>
  </si>
  <si>
    <t xml:space="preserve"> 7. Taxable Income</t>
  </si>
  <si>
    <t xml:space="preserve"> 8. Less: Income Taxes</t>
  </si>
  <si>
    <t xml:space="preserve"> 9. Net Return (Ln 5 - Ln 8)</t>
  </si>
  <si>
    <t xml:space="preserve">10. Original Cost Measure </t>
  </si>
  <si>
    <t xml:space="preserve">       of Value (Factor 15.)</t>
  </si>
  <si>
    <t>11. Rate of Return, Percent</t>
  </si>
  <si>
    <t>12. Relative Rate of Return</t>
  </si>
  <si>
    <t>FACTOR FOR LINE 6</t>
  </si>
  <si>
    <t>FACTOR FOR LINE 8</t>
  </si>
  <si>
    <t>( $ in Thousands )</t>
  </si>
  <si>
    <t>Other Property on Customer Premises</t>
  </si>
  <si>
    <t>Customer Deposits</t>
  </si>
  <si>
    <t>OPERATION &amp; MAINTENANCE EXPENSE</t>
  </si>
  <si>
    <t>MANUFACTURED GAS PRODUCTION EXPENSES</t>
  </si>
  <si>
    <t>Total Gas Raw Materials Expenses</t>
  </si>
  <si>
    <t>725 - 736</t>
  </si>
  <si>
    <t>Manufactured Gas Production Expenses</t>
  </si>
  <si>
    <t>740 - 742</t>
  </si>
  <si>
    <t>Total Production Expense</t>
  </si>
  <si>
    <t>OTHER GAS SUPPLY EXPENSES</t>
  </si>
  <si>
    <t>Natural Gas City Gate Purchases</t>
  </si>
  <si>
    <t>Other Gas Purchases</t>
  </si>
  <si>
    <t>Purchases Gas Cost Adjustments</t>
  </si>
  <si>
    <t>Gas Withdrawn from Storage-Debit</t>
  </si>
  <si>
    <t>Gas Supply Operation Expenses</t>
  </si>
  <si>
    <t>DISTRIBUTION EXPENSES</t>
  </si>
  <si>
    <t>Operations Expense</t>
  </si>
  <si>
    <t>Operation Supervision and Engineering</t>
  </si>
  <si>
    <t>Distribution Load Dispatching</t>
  </si>
  <si>
    <t>Mains and Services Expenses</t>
  </si>
  <si>
    <t>Measuring and Regulating Station Expenses-General</t>
  </si>
  <si>
    <t>Measuring and Regulating Station Expenses-Industrial</t>
  </si>
  <si>
    <t>Measuring and Regulating Station Expenses-City Gate</t>
  </si>
  <si>
    <t>Meter and House Regulator Expenses</t>
  </si>
  <si>
    <t>Customer Installations Expenses</t>
  </si>
  <si>
    <t>Other Expenses</t>
  </si>
  <si>
    <t>Rents</t>
  </si>
  <si>
    <t>Total Distribution Operation Expenses</t>
  </si>
  <si>
    <t>Maintenance Expense</t>
  </si>
  <si>
    <t xml:space="preserve">Maintenance Supervision and Engineering </t>
  </si>
  <si>
    <t>Maintenance of Structures and Improvements</t>
  </si>
  <si>
    <t>Maintenance of Mains</t>
  </si>
  <si>
    <t>Maintenance of Measuring &amp; Reg. Station Equip.-Genl.</t>
  </si>
  <si>
    <t>Maintenance of Measuring &amp; Reg. Station Equip.-Indtrl.</t>
  </si>
  <si>
    <t>Maintenance of Measuring &amp; Reg. Station Equip.-City G</t>
  </si>
  <si>
    <t>Maintenance of Services</t>
  </si>
  <si>
    <t>Maintenance of Meters &amp; House Regulators</t>
  </si>
  <si>
    <t>Maintenance of Other Equipment</t>
  </si>
  <si>
    <t>Total Distribution Maintenance Expenses</t>
  </si>
  <si>
    <t>Total Distribution Expense</t>
  </si>
  <si>
    <t>CUSTOMER ACCOUNTS EXPENSES</t>
  </si>
  <si>
    <t>Meter Reading Expenses</t>
  </si>
  <si>
    <t>Customer Records &amp; Collection Expenses</t>
  </si>
  <si>
    <t>Miscellaneous Customer Accounts Expenses</t>
  </si>
  <si>
    <t>Customer Account Operations Expenses</t>
  </si>
  <si>
    <t>CUSTOMER SERVICE &amp; INFORM. EXPENSES</t>
  </si>
  <si>
    <t>Customer Assistance Expenses</t>
  </si>
  <si>
    <t>Miscellaneous Customer Service &amp; Informational Exp.</t>
  </si>
  <si>
    <t>Total Cust. Service &amp; Inform. Operations Exp</t>
  </si>
  <si>
    <t>Demonstrating and Selling Expenses</t>
  </si>
  <si>
    <t>Advertising Expenses</t>
  </si>
  <si>
    <t>Miscellaneous Sales Expenses</t>
  </si>
  <si>
    <t>Total Operation Sales Expenses</t>
  </si>
  <si>
    <t>ADMINISTRATIVE AND GENERAL EXPENSES</t>
  </si>
  <si>
    <t>Administrative and General Salaries</t>
  </si>
  <si>
    <t>Office Supplies and Expenses</t>
  </si>
  <si>
    <t>Outside Service Employed</t>
  </si>
  <si>
    <t>Property Insurance</t>
  </si>
  <si>
    <t>Injuries and Damages</t>
  </si>
  <si>
    <t xml:space="preserve">Employee Pensions and Benefits </t>
  </si>
  <si>
    <t>Regulatory Commission Expenses</t>
  </si>
  <si>
    <t>Miscellaneous General Expenses</t>
  </si>
  <si>
    <t>Miscellaneous Intercompany Charges</t>
  </si>
  <si>
    <t>Total A &amp; G Operation Expenses</t>
  </si>
  <si>
    <t>Maintenance of General Plant</t>
  </si>
  <si>
    <t>Total A &amp; G Expense</t>
  </si>
  <si>
    <t>Total Gas Operation and Maintenance Expenses</t>
  </si>
  <si>
    <t>740-742</t>
  </si>
  <si>
    <t>725-736</t>
  </si>
  <si>
    <t xml:space="preserve">Supervision And Engineering       </t>
  </si>
  <si>
    <t xml:space="preserve">Distribution Load Dispatching     </t>
  </si>
  <si>
    <t xml:space="preserve">Mains And Services Expenses       </t>
  </si>
  <si>
    <t xml:space="preserve">M &amp; R Station Expenses -General   </t>
  </si>
  <si>
    <t>M &amp; R Station Expenses - City Gate Station</t>
  </si>
  <si>
    <t>Meter And House Regulator Expenses</t>
  </si>
  <si>
    <t xml:space="preserve">Customer Installation Expenses    </t>
  </si>
  <si>
    <t xml:space="preserve">Other Expenses                    </t>
  </si>
  <si>
    <t xml:space="preserve">Structures &amp; Improvements         </t>
  </si>
  <si>
    <t xml:space="preserve">M &amp; R Equip - General             </t>
  </si>
  <si>
    <t>M &amp; R Equip - Ind</t>
  </si>
  <si>
    <t>M &amp; R Equip - CG Check Station</t>
  </si>
  <si>
    <t xml:space="preserve">Services                          </t>
  </si>
  <si>
    <t xml:space="preserve">Meters &amp; House Regulators         </t>
  </si>
  <si>
    <t xml:space="preserve">Meter Reading Expenses            </t>
  </si>
  <si>
    <t xml:space="preserve">Customer Records &amp; Coll Expenses  </t>
  </si>
  <si>
    <t xml:space="preserve">Customer Assistance Expenses      </t>
  </si>
  <si>
    <t>Demonstrating And Selling Expenses</t>
  </si>
  <si>
    <t xml:space="preserve">Administrative &amp; General Salaries </t>
  </si>
  <si>
    <t xml:space="preserve">Office Supplies And Expenses      </t>
  </si>
  <si>
    <t xml:space="preserve">Maintenance of General Plant      </t>
  </si>
  <si>
    <t>COMPARISON OF COST OF SERVICE WITH REVENUES UNDER PRESENT AND PROPOSED RATES</t>
  </si>
  <si>
    <t>Direct Customer Costs</t>
  </si>
  <si>
    <t xml:space="preserve">  Employee Pensions and Benefits    </t>
  </si>
  <si>
    <t>Factors are based on the weighting of the factors derived from average daily throughput volumes and</t>
  </si>
  <si>
    <t>Factors are based on the result of allocating the original cost measure of value,</t>
  </si>
  <si>
    <t>FACTOR 16.  ALLOCATION OF REGULATORY COMMISSION EXPENSES,</t>
  </si>
  <si>
    <t>ASSESSMENTS AND OTHER REVENUES.</t>
  </si>
  <si>
    <t>Factors are based on the allocation of total operation and maintenance direct labor</t>
  </si>
  <si>
    <t>Factors are based on the allocation of the original cost less depreciation excluding the</t>
  </si>
  <si>
    <t>items being allocated, as follows:</t>
  </si>
  <si>
    <t xml:space="preserve">     O &amp; M Expenses:</t>
  </si>
  <si>
    <t xml:space="preserve">      Rate Base</t>
  </si>
  <si>
    <t xml:space="preserve">     Taxes and Return</t>
  </si>
  <si>
    <t>@</t>
  </si>
  <si>
    <t>Total Direct Customer Costs</t>
  </si>
  <si>
    <t>Direct Costs per bill</t>
  </si>
  <si>
    <t xml:space="preserve">     Subtotal O &amp; M Expenses</t>
  </si>
  <si>
    <t xml:space="preserve">  Subtotal Depreciation</t>
  </si>
  <si>
    <t xml:space="preserve">      Subtotal Rate Base</t>
  </si>
  <si>
    <t>Fully Allocated Customer Costs</t>
  </si>
  <si>
    <t>Customer Cost per bill</t>
  </si>
  <si>
    <t xml:space="preserve"> 1. Revenues From Tariff Sales</t>
  </si>
  <si>
    <t>TOTAL COST OF SERVICE RELATED TO</t>
  </si>
  <si>
    <t xml:space="preserve">    TARIFF SALES AND TRANSPORTATION</t>
  </si>
  <si>
    <t>FACTOR 14.  ALLOCATION OF ORGANIZATION, FRANCHISES AND CONSENTS,</t>
  </si>
  <si>
    <t>MISCELLANEOUS INTANGIBLE PLANT AND OTHER RATE BASE ELEMENTS.</t>
  </si>
  <si>
    <t>DIRECT LABOR EXPENSE</t>
  </si>
  <si>
    <t>Depreciation Expense</t>
  </si>
  <si>
    <t>Mains</t>
  </si>
  <si>
    <t>Measuring &amp; Regulating Equipment - General</t>
  </si>
  <si>
    <t>Measuring &amp; Regulating Equipment - City Gate</t>
  </si>
  <si>
    <t>Services</t>
  </si>
  <si>
    <t>House Regulators</t>
  </si>
  <si>
    <t>House Regulator Installations</t>
  </si>
  <si>
    <t>Industrial Measuring &amp; Regulating Equipment</t>
  </si>
  <si>
    <t>Miscellaneous Equipment</t>
  </si>
  <si>
    <t>Total Plant</t>
  </si>
  <si>
    <t>Supervision</t>
  </si>
  <si>
    <t>Supervision - Engineering and Labor</t>
  </si>
  <si>
    <t>Other Equipment</t>
  </si>
  <si>
    <t>FACTORS FOR ALLOCATING COST OF SERVICE TO SERVICE CLASSIFICATIONS</t>
  </si>
  <si>
    <t>Service</t>
  </si>
  <si>
    <t>Classification</t>
  </si>
  <si>
    <t>(1)</t>
  </si>
  <si>
    <t>Volumetric</t>
  </si>
  <si>
    <t>Residential</t>
  </si>
  <si>
    <t xml:space="preserve">    Total</t>
  </si>
  <si>
    <t>SUMMARY OF PRO FORMA VOLUMES BY CLASSIFICATION</t>
  </si>
  <si>
    <t>Total</t>
  </si>
  <si>
    <t>Average</t>
  </si>
  <si>
    <t>Allocation</t>
  </si>
  <si>
    <t>(2)</t>
  </si>
  <si>
    <t>Pro Forma</t>
  </si>
  <si>
    <t>Volumes</t>
  </si>
  <si>
    <t>(Mcf)</t>
  </si>
  <si>
    <t>Weighted</t>
  </si>
  <si>
    <t>Factor</t>
  </si>
  <si>
    <t>FACTOR 1</t>
  </si>
  <si>
    <t>Maximum Day</t>
  </si>
  <si>
    <t>Extra Demand</t>
  </si>
  <si>
    <t>(4)</t>
  </si>
  <si>
    <t>Full</t>
  </si>
  <si>
    <t>Tariff</t>
  </si>
  <si>
    <t>Transport.</t>
  </si>
  <si>
    <t>(3)</t>
  </si>
  <si>
    <t>FACTOR 2&amp;3</t>
  </si>
  <si>
    <t>Throughput</t>
  </si>
  <si>
    <t>(6)</t>
  </si>
  <si>
    <t>Customer</t>
  </si>
  <si>
    <t>Average Daily</t>
  </si>
  <si>
    <t>Original</t>
  </si>
  <si>
    <t>(5)</t>
  </si>
  <si>
    <t>Number of</t>
  </si>
  <si>
    <t>Factors are based on distribution operation expenses other than those being allocated.</t>
  </si>
  <si>
    <t>FACTOR 13.  ALLOCATION OF LABOR RELATED TAXES AND BENEFITS.</t>
  </si>
  <si>
    <t>Operation</t>
  </si>
  <si>
    <t>Expense</t>
  </si>
  <si>
    <t>Operation &amp;</t>
  </si>
  <si>
    <t>Maintenance</t>
  </si>
  <si>
    <t>Expenses</t>
  </si>
  <si>
    <t>Total Labor</t>
  </si>
  <si>
    <t>Cost Less</t>
  </si>
  <si>
    <t>Depreciation</t>
  </si>
  <si>
    <t>FACTOR 15.  ALLOCATION OF RETURN AND TAXES.</t>
  </si>
  <si>
    <t>Cost of</t>
  </si>
  <si>
    <t>CALCULATION OF CUSTOMER COSTS PER BILL BY SERVICE CLASSIFICATION</t>
  </si>
  <si>
    <t xml:space="preserve">   </t>
  </si>
  <si>
    <t xml:space="preserve">                                    </t>
  </si>
  <si>
    <t xml:space="preserve">Total Operation                     </t>
  </si>
  <si>
    <t xml:space="preserve">Total Maintenance                   </t>
  </si>
  <si>
    <t xml:space="preserve">Total Other Gas Supply Expenses     </t>
  </si>
  <si>
    <t xml:space="preserve">  Administrative &amp; General Salaries </t>
  </si>
  <si>
    <t xml:space="preserve">  Property Damage Insurance         </t>
  </si>
  <si>
    <t xml:space="preserve">  Regulatory Commission Expenses    </t>
  </si>
  <si>
    <t xml:space="preserve">  Miscellaneous General Expenses    </t>
  </si>
  <si>
    <t xml:space="preserve">Total Natural Gas Production Expenses </t>
  </si>
  <si>
    <t>NATURAL GAS PRODUCTION EXPENSES</t>
  </si>
  <si>
    <t>Other Gas Supply Expenses</t>
  </si>
  <si>
    <t xml:space="preserve">DISTRIBUTION EXPENSES                 </t>
  </si>
  <si>
    <t xml:space="preserve">Total Distribution Expenses           </t>
  </si>
  <si>
    <t>CUSTOMER ACCOUNTING EXPENSES</t>
  </si>
  <si>
    <t xml:space="preserve">Total Customer Accounting Expenses    </t>
  </si>
  <si>
    <t>CUSTOMER SERVICE AND INFORMATION EXPENSES</t>
  </si>
  <si>
    <t>Total Customer Service &amp; Info Expenses</t>
  </si>
  <si>
    <t>SALES EXPENSES</t>
  </si>
  <si>
    <t xml:space="preserve">Total Sales Expenses                  </t>
  </si>
  <si>
    <t xml:space="preserve">ADMINISTRATIVE AND GENERAL EXPENSES   </t>
  </si>
  <si>
    <t>OPERATION AND MAINTENANCE EXPENSES</t>
  </si>
  <si>
    <t>DISTRIBUTION PLANT</t>
  </si>
  <si>
    <t xml:space="preserve">Total Distribution Plant              </t>
  </si>
  <si>
    <t>GENERAL PLANT</t>
  </si>
  <si>
    <t xml:space="preserve">Total General Plant                   </t>
  </si>
  <si>
    <t xml:space="preserve">Total Taxes Other Than Income         </t>
  </si>
  <si>
    <t xml:space="preserve">Total Operating Expenses                </t>
  </si>
  <si>
    <t>Total Utility Plant in Service</t>
  </si>
  <si>
    <t xml:space="preserve">TAXES OTHER THAN INCOME TAXES     </t>
  </si>
  <si>
    <t>INCOME TAXES</t>
  </si>
  <si>
    <t>OPERATING INCOME AVAILABLE FOR RETURN</t>
  </si>
  <si>
    <t>TOTAL COST OF SERVICE</t>
  </si>
  <si>
    <t>Total Operation and Maintenance Expenses</t>
  </si>
  <si>
    <t xml:space="preserve"> </t>
  </si>
  <si>
    <t>Volumetric Costs</t>
  </si>
  <si>
    <t>Customer Costs</t>
  </si>
  <si>
    <t>OTHER RATE BASE ELEMENTS</t>
  </si>
  <si>
    <t>Factor 2</t>
  </si>
  <si>
    <t>Basis for #11</t>
  </si>
  <si>
    <t>Basis for #12</t>
  </si>
  <si>
    <t>Account</t>
  </si>
  <si>
    <t xml:space="preserve">Total Administrative &amp; General Expenses   </t>
  </si>
  <si>
    <t>Basis for #13</t>
  </si>
  <si>
    <t>Basis for #14</t>
  </si>
  <si>
    <t xml:space="preserve">                                     </t>
  </si>
  <si>
    <t xml:space="preserve">    Total Nondepreciable Plant       </t>
  </si>
  <si>
    <t xml:space="preserve">Materials &amp; Supplies            </t>
  </si>
  <si>
    <t xml:space="preserve">Gas Storage Inventory           </t>
  </si>
  <si>
    <t xml:space="preserve">Cash Working Capital            </t>
  </si>
  <si>
    <t xml:space="preserve">Deferred Taxes                  </t>
  </si>
  <si>
    <t xml:space="preserve">  Total Other Rate Base Elements</t>
  </si>
  <si>
    <t>Basis for #15</t>
  </si>
  <si>
    <t>Basis for #16</t>
  </si>
  <si>
    <t>Less: Other Revenues</t>
  </si>
  <si>
    <t>Basis for #17</t>
  </si>
  <si>
    <t>Ref.</t>
  </si>
  <si>
    <t xml:space="preserve">  Maintenance of General Plant      </t>
  </si>
  <si>
    <t xml:space="preserve">  Injuries and Damages</t>
  </si>
  <si>
    <t xml:space="preserve">   Total Direct Labor Expense</t>
  </si>
  <si>
    <t>Factor 3</t>
  </si>
  <si>
    <t>Revised:</t>
  </si>
  <si>
    <t xml:space="preserve">  Miscellaneous Company Charges</t>
  </si>
  <si>
    <t xml:space="preserve">  Other</t>
  </si>
  <si>
    <t>M &amp; R Station Expenses - Industrial</t>
  </si>
  <si>
    <t xml:space="preserve">INTANGIBLE PLANT                 </t>
  </si>
  <si>
    <t>Rate TS</t>
  </si>
  <si>
    <t>Factors are based on the allocation of operation and maintenance expenses.</t>
  </si>
  <si>
    <t>LFD</t>
  </si>
  <si>
    <t>XD</t>
  </si>
  <si>
    <t>DS</t>
  </si>
  <si>
    <t xml:space="preserve">Structures And Improvements      </t>
  </si>
  <si>
    <t xml:space="preserve">Services                         </t>
  </si>
  <si>
    <t xml:space="preserve">Meters                           </t>
  </si>
  <si>
    <t xml:space="preserve">Meter Installations              </t>
  </si>
  <si>
    <t xml:space="preserve">Other Equipment                  </t>
  </si>
  <si>
    <t xml:space="preserve">Office Furniture And Equipment   </t>
  </si>
  <si>
    <t xml:space="preserve">Transportation Equipment         </t>
  </si>
  <si>
    <t xml:space="preserve">Tools, Shop And Garage Equipment </t>
  </si>
  <si>
    <t xml:space="preserve">Power Operated Equipment         </t>
  </si>
  <si>
    <t xml:space="preserve">Communication Equipment          </t>
  </si>
  <si>
    <t xml:space="preserve">Capital Stock                   </t>
  </si>
  <si>
    <t>Payroll Related Tax</t>
  </si>
  <si>
    <t xml:space="preserve">Public Utility Reality Tax      </t>
  </si>
  <si>
    <t>6A</t>
  </si>
  <si>
    <t xml:space="preserve">    Services</t>
  </si>
  <si>
    <t>RATE BASE</t>
  </si>
  <si>
    <t>Gas Delivered to Storage-Credit</t>
  </si>
  <si>
    <t>Factor 3A</t>
  </si>
  <si>
    <t>Factor 2A</t>
  </si>
  <si>
    <t>Factors are based on the maximum day extra demand throughput for each classification.</t>
  </si>
  <si>
    <t>M &amp; R Equip - Industrial</t>
  </si>
  <si>
    <t>M &amp; R Equip - City Gate</t>
  </si>
  <si>
    <t xml:space="preserve">Uncollectible Accounts            </t>
  </si>
  <si>
    <t xml:space="preserve">Miscellaneous Cust Accts Expenses </t>
  </si>
  <si>
    <t xml:space="preserve">Advertising Expenses              </t>
  </si>
  <si>
    <t>N</t>
  </si>
  <si>
    <t>Rate N</t>
  </si>
  <si>
    <t>Rate DS</t>
  </si>
  <si>
    <t>Rate LFD</t>
  </si>
  <si>
    <t>Rate XD</t>
  </si>
  <si>
    <t>Rate R</t>
  </si>
  <si>
    <t xml:space="preserve">   Rate R</t>
  </si>
  <si>
    <t xml:space="preserve">  Rate R</t>
  </si>
  <si>
    <t xml:space="preserve">  Rate N</t>
  </si>
  <si>
    <t xml:space="preserve">  Rate DS</t>
  </si>
  <si>
    <t xml:space="preserve">  Rate LFD</t>
  </si>
  <si>
    <r>
      <t>Mains And Services Expenses</t>
    </r>
    <r>
      <rPr>
        <sz val="10.45"/>
        <rFont val="Arial"/>
        <family val="2"/>
      </rPr>
      <t xml:space="preserve"> </t>
    </r>
  </si>
  <si>
    <t>Customers</t>
  </si>
  <si>
    <t>6B</t>
  </si>
  <si>
    <t xml:space="preserve">   Rate N</t>
  </si>
  <si>
    <t xml:space="preserve">   Rate DS</t>
  </si>
  <si>
    <t xml:space="preserve">   Rate LFD</t>
  </si>
  <si>
    <t>7A</t>
  </si>
  <si>
    <t>SALES</t>
  </si>
  <si>
    <t>THRU-MAX</t>
  </si>
  <si>
    <t>THRU-AVE</t>
  </si>
  <si>
    <t>THRU MAX-AVE</t>
  </si>
  <si>
    <t>5A</t>
  </si>
  <si>
    <t>MAINS</t>
  </si>
  <si>
    <t>METERS</t>
  </si>
  <si>
    <t>IND METERS</t>
  </si>
  <si>
    <t>BILLS</t>
  </si>
  <si>
    <t>SALES BILLS</t>
  </si>
  <si>
    <t>METER READ</t>
  </si>
  <si>
    <t>RATE R</t>
  </si>
  <si>
    <t>COMPOSITES</t>
  </si>
  <si>
    <t>RATE N</t>
  </si>
  <si>
    <t>RATE DS</t>
  </si>
  <si>
    <t>RATE LFD</t>
  </si>
  <si>
    <t>RATE XD</t>
  </si>
  <si>
    <t>Factor 5</t>
  </si>
  <si>
    <t>Payroll Taxes</t>
  </si>
  <si>
    <t>*</t>
  </si>
  <si>
    <t>* Customer cost portion of account.</t>
  </si>
  <si>
    <t>Deferred Taxes</t>
  </si>
  <si>
    <t>FACTOR 6A. ALLOCATION OF COSTS ASSOCIATED WITH HOUSE REGULATORS</t>
  </si>
  <si>
    <t>HOUSE REG</t>
  </si>
  <si>
    <t>(4)=(3)-(2)</t>
  </si>
  <si>
    <t xml:space="preserve">  Outside Services Employed - Other</t>
  </si>
  <si>
    <t>Cash Working Capital - Purchased Gas Related</t>
  </si>
  <si>
    <t>Factor 7</t>
  </si>
  <si>
    <t>Factor 7A</t>
  </si>
  <si>
    <t xml:space="preserve">     Total Customer Costs </t>
  </si>
  <si>
    <t xml:space="preserve">     Total Volumetric Costs</t>
  </si>
  <si>
    <t>Cust. Adv</t>
  </si>
  <si>
    <t>PRODUCTION AND GATHERING</t>
  </si>
  <si>
    <t>Total Production &amp; Gathering Operation Expenses</t>
  </si>
  <si>
    <t>Total Production &amp; Gathering Maintenance Expenses</t>
  </si>
  <si>
    <t>750 - 760</t>
  </si>
  <si>
    <t>761 - 769</t>
  </si>
  <si>
    <t>Total Natrual Gas Production Expenses</t>
  </si>
  <si>
    <t>Natural Gas Storage, Terminating &amp; Processing Expense</t>
  </si>
  <si>
    <t>Underground Storage Expense</t>
  </si>
  <si>
    <t>Transmission Expense</t>
  </si>
  <si>
    <t>Total Transmission Operation Expenses</t>
  </si>
  <si>
    <t>Total Transmission Maintenance Expenses</t>
  </si>
  <si>
    <t>Informational and Instructional Advertising</t>
  </si>
  <si>
    <t>Production and Gathering</t>
  </si>
  <si>
    <t xml:space="preserve">  Total Production Expenses</t>
  </si>
  <si>
    <t>Total Natural Gas Storage Expense</t>
  </si>
  <si>
    <t>TRANSMISSION EXPENSE</t>
  </si>
  <si>
    <t>850 - 860</t>
  </si>
  <si>
    <t>861 - 867</t>
  </si>
  <si>
    <t>Total Transmission Expense</t>
  </si>
  <si>
    <t>750-760</t>
  </si>
  <si>
    <t>Rent</t>
  </si>
  <si>
    <t>Land Rights of Way</t>
  </si>
  <si>
    <t>County and Municipal Taxes</t>
  </si>
  <si>
    <t>Public Utility Assessment</t>
  </si>
  <si>
    <t>DA</t>
  </si>
  <si>
    <t>Miscellaneous</t>
  </si>
  <si>
    <t>Extra</t>
  </si>
  <si>
    <t>Capacity</t>
  </si>
  <si>
    <t>FACTOR 5.  ALLOCATION OF COSTS ASSOCIATED WITH SMALL DISTRIBUTION MAINS.</t>
  </si>
  <si>
    <t xml:space="preserve">  Mains - Small</t>
  </si>
  <si>
    <t xml:space="preserve">  Mains - Large</t>
  </si>
  <si>
    <t>Mains - Small</t>
  </si>
  <si>
    <t>Mains - Large</t>
  </si>
  <si>
    <t xml:space="preserve">    Mains - Small</t>
  </si>
  <si>
    <t xml:space="preserve">    Mains - Large</t>
  </si>
  <si>
    <t xml:space="preserve">FACTOR 6C. ALLOCATION OF COSTS ASSOCIATED WITH SERVICES. </t>
  </si>
  <si>
    <t>6C</t>
  </si>
  <si>
    <t>Basis for #10</t>
  </si>
  <si>
    <t>FACTOR 10.  ALLOCATION OF DISTRIBUTION OPERATION OTHER EXPENSES AND RENT.</t>
  </si>
  <si>
    <t>FACTOR 11.  ALLOCATION OF DISTRIBUTION MAINTENANCE OTHER EXPENSES.</t>
  </si>
  <si>
    <t>Factors are based on distribution maintenance expenses other than those being allocated.</t>
  </si>
  <si>
    <t>FACTOR 9 (DA).  ALLOCATION OF CUSTOMER ASSISTANCE EXPENSES.</t>
  </si>
  <si>
    <t xml:space="preserve">      These costs are directly assigned to the Residential Classification.</t>
  </si>
  <si>
    <t>814-823</t>
  </si>
  <si>
    <t>OTHER STORAGE EXPENSE</t>
  </si>
  <si>
    <t>OTHER STORAGE EXPENSES</t>
  </si>
  <si>
    <t>850-860</t>
  </si>
  <si>
    <t>861-867</t>
  </si>
  <si>
    <t>Compressor Station Fuel and Power (Major Only)</t>
  </si>
  <si>
    <t>Maintenance of Compressor Station Equipment</t>
  </si>
  <si>
    <t>Construction and Maintenance</t>
  </si>
  <si>
    <t>Miscellaneous Taxes</t>
  </si>
  <si>
    <t>Employee Benefits and Pensions</t>
  </si>
  <si>
    <t>Investment Tax Credit</t>
  </si>
  <si>
    <t>Measuring &amp; Regulating Equipment - SCADA</t>
  </si>
  <si>
    <t>Interruptible</t>
  </si>
  <si>
    <t xml:space="preserve">  Interruptible</t>
  </si>
  <si>
    <t>Peak Day</t>
  </si>
  <si>
    <t>2A</t>
  </si>
  <si>
    <t xml:space="preserve">   Rate IS/IL</t>
  </si>
  <si>
    <t>Pro Forma Margin Revenues,</t>
  </si>
  <si>
    <t>Daily Throughput</t>
  </si>
  <si>
    <t>Average Daily Throughput</t>
  </si>
  <si>
    <t>Daily PGC</t>
  </si>
  <si>
    <t>Reconnection Charges</t>
  </si>
  <si>
    <t>Other Miscellaneous Revenues</t>
  </si>
  <si>
    <t>IS</t>
  </si>
  <si>
    <t>DEPRECIATION AND AMORTIZATION EXPENSE</t>
  </si>
  <si>
    <t xml:space="preserve">Total Depreciation &amp; Amortization Expense              </t>
  </si>
  <si>
    <t>Firm</t>
  </si>
  <si>
    <t>Factors are based on the pro forma average daily PGC sales volumes for each service</t>
  </si>
  <si>
    <t xml:space="preserve">  classification.</t>
  </si>
  <si>
    <t xml:space="preserve">Delivery </t>
  </si>
  <si>
    <t>Factors are based on the weighting of the factors derived from average daily throughput volumes</t>
  </si>
  <si>
    <t xml:space="preserve"> volumes and from maximum day extra capacity demand for each service classification, as follows:</t>
  </si>
  <si>
    <t>Factor 4</t>
  </si>
  <si>
    <t xml:space="preserve">  MAINS ALLOCATION.</t>
  </si>
  <si>
    <t>Factors are based on the maximum day extra demand throughput for each classification,</t>
  </si>
  <si>
    <t xml:space="preserve">  excluding XD and Interruptible classifications. </t>
  </si>
  <si>
    <t>and from maximum day extra capacity demand for each service classification, as follows:</t>
  </si>
  <si>
    <t>FACTOR 12.  ALLOCATION OF ADMINISTRATIVE AND GENERAL EXPENSES.</t>
  </si>
  <si>
    <t>Miscellaneous Customer Service Exp.</t>
  </si>
  <si>
    <t>Industrial M &amp; R Equipment</t>
  </si>
  <si>
    <t>Factors are based on the number of customers for each classification, as follows.</t>
  </si>
  <si>
    <t>Total Excluding Gas Costs</t>
  </si>
  <si>
    <t>expense to service classifications as shown on the following page.</t>
  </si>
  <si>
    <t>(4)=(3)x</t>
  </si>
  <si>
    <t>(6)=(5)x</t>
  </si>
  <si>
    <t>5B</t>
  </si>
  <si>
    <t>WITHOUT GAS COSTS</t>
  </si>
  <si>
    <t>from maximum day extra capacity demand for each service classification, as follows:</t>
  </si>
  <si>
    <t>4A</t>
  </si>
  <si>
    <t>THRU MAX-AVE - M&amp;R</t>
  </si>
  <si>
    <t>Rate XD Firm</t>
  </si>
  <si>
    <t>Rate XD-Firm</t>
  </si>
  <si>
    <t xml:space="preserve">   Rate XD Firm</t>
  </si>
  <si>
    <t>(7)=(4)+(6)</t>
  </si>
  <si>
    <t xml:space="preserve">  Mains - Direct Assign</t>
  </si>
  <si>
    <t>Mains - Direct Assign</t>
  </si>
  <si>
    <t>Basis for #18</t>
  </si>
  <si>
    <t>Total Production Labor and Expenses</t>
  </si>
  <si>
    <t>Total Gas Fuels Expenses</t>
  </si>
  <si>
    <t>Total Products Extraction Operation Expenses</t>
  </si>
  <si>
    <t>Total Products Extraction Maintenance Expenses</t>
  </si>
  <si>
    <t>770 - 783</t>
  </si>
  <si>
    <t>784 - 791</t>
  </si>
  <si>
    <t>Gas Used for Operations</t>
  </si>
  <si>
    <t>Natural Gas Transmission Line Purchases</t>
  </si>
  <si>
    <t>Liquefied Natural Gas Purchases</t>
  </si>
  <si>
    <t>Exchange Gas</t>
  </si>
  <si>
    <t>Purchased Gas Expenses</t>
  </si>
  <si>
    <t>800 - 803</t>
  </si>
  <si>
    <t>Total Production &amp; Gathering Operation Exps.</t>
  </si>
  <si>
    <t>Total Production &amp; Gathering Maintenance Exps.</t>
  </si>
  <si>
    <t>Total Products Extraction Maintenance Exps.</t>
  </si>
  <si>
    <t>Operating Supervision and Engineering</t>
  </si>
  <si>
    <t>Operation Labor and Expenses</t>
  </si>
  <si>
    <t>Other Operations Expense</t>
  </si>
  <si>
    <t>842 - 842.3</t>
  </si>
  <si>
    <t>Compressor Station Labor and Expenses</t>
  </si>
  <si>
    <t>STRUCTURES AND IMPROVEMENTS</t>
  </si>
  <si>
    <t>MAINS - PLASTIC</t>
  </si>
  <si>
    <t>HOUSE REGULATORS</t>
  </si>
  <si>
    <t>HOUSE REGULATOR INSTALLATIONS</t>
  </si>
  <si>
    <t>TOTAL DISTRIBUTION PLANT</t>
  </si>
  <si>
    <t>STRUCTURES AND IMPROVEMENTS - LEASED PROPERTY</t>
  </si>
  <si>
    <t>OFFICE FURNITURE AND EQUIPMENT - FURNITURE</t>
  </si>
  <si>
    <t>OFFICE FURNITURE AND EQUIPMENT - EQUIPMENT</t>
  </si>
  <si>
    <t>TRANSPORTATION EQUIPMENT - CARS</t>
  </si>
  <si>
    <t>TOOLS, SHOP AND GARAGE EQUIPMENT</t>
  </si>
  <si>
    <t>POWER OPERATED EQUIPMENT</t>
  </si>
  <si>
    <t>COMMUNICATION EQUIPMENT</t>
  </si>
  <si>
    <t>MISCELLANEOUS EQUIPMENT</t>
  </si>
  <si>
    <t>TOTAL GENERAL PLANT</t>
  </si>
  <si>
    <t>TOTAL DEPRECIABLE GAS PLANT</t>
  </si>
  <si>
    <t>NONDEPRECIABLE PLANT</t>
  </si>
  <si>
    <t>TOTAL NONDEPRECIABLE PLANT</t>
  </si>
  <si>
    <t>TOTAL GAS PLANT</t>
  </si>
  <si>
    <t>COMMON PLANT</t>
  </si>
  <si>
    <t>ORGANIZATION (NONDEPRECIABLE)</t>
  </si>
  <si>
    <t>TOTAL COMMON PLANT</t>
  </si>
  <si>
    <t>INFORMATION SERVICES (IS)</t>
  </si>
  <si>
    <t>TOTAL INFORMATION SERVICES</t>
  </si>
  <si>
    <t>TOTAL PLANT IN SERVICE</t>
  </si>
  <si>
    <t>GRAND TOTAL</t>
  </si>
  <si>
    <t>Total Expense</t>
  </si>
  <si>
    <t>Labor Amount</t>
  </si>
  <si>
    <t>Future Accruals</t>
  </si>
  <si>
    <t>Taxes Other Than Income</t>
  </si>
  <si>
    <t>PURTA Taxes</t>
  </si>
  <si>
    <t>Capital Stock</t>
  </si>
  <si>
    <t>PA &amp; Local Use taxes</t>
  </si>
  <si>
    <t>Social Security</t>
  </si>
  <si>
    <t>FUTA</t>
  </si>
  <si>
    <t>SUTA</t>
  </si>
  <si>
    <t>PUC Assessment</t>
  </si>
  <si>
    <t>Dollars in Thousands</t>
  </si>
  <si>
    <t xml:space="preserve">Total </t>
  </si>
  <si>
    <t>Dollars</t>
  </si>
  <si>
    <t>Manufactured Gas Plant Site Remediation</t>
  </si>
  <si>
    <t>Total Common Plant</t>
  </si>
  <si>
    <t>Office Furniture and Equipment</t>
  </si>
  <si>
    <t>Transportation Equipment</t>
  </si>
  <si>
    <t>Structures and Improvements</t>
  </si>
  <si>
    <t>Office Furniture and Equip. - New CIS Software</t>
  </si>
  <si>
    <t>Total Information Services</t>
  </si>
  <si>
    <t xml:space="preserve">Franchises And Consents       </t>
  </si>
  <si>
    <t>Land and Land Rights</t>
  </si>
  <si>
    <t xml:space="preserve">Land </t>
  </si>
  <si>
    <t xml:space="preserve">    Total Measure of Value      </t>
  </si>
  <si>
    <t>Manufactured Gas Plant Remediation</t>
  </si>
  <si>
    <t>Forfieted Discounts/Penalties</t>
  </si>
  <si>
    <t>Rent From Gas Property</t>
  </si>
  <si>
    <t>Miscellaneous Customer Service &amp; Info. Exp.</t>
  </si>
  <si>
    <t xml:space="preserve">  Office Supplies and Expenses      </t>
  </si>
  <si>
    <t>Include Gas Costs?</t>
  </si>
  <si>
    <t>yes=1, No =0</t>
  </si>
  <si>
    <t>Peak Day Dth</t>
  </si>
  <si>
    <t>Peak Day MCF</t>
  </si>
  <si>
    <t>Avg. Day Mcf</t>
  </si>
  <si>
    <t>Ratio</t>
  </si>
  <si>
    <t>Penalty Revenue</t>
  </si>
  <si>
    <t>Uncollectibles</t>
  </si>
  <si>
    <t>Penalty Revs.</t>
  </si>
  <si>
    <t>Less:</t>
  </si>
  <si>
    <t>Amount Charged to Clearing Accounts</t>
  </si>
  <si>
    <t xml:space="preserve">Present </t>
  </si>
  <si>
    <t>Proposed</t>
  </si>
  <si>
    <t>Present</t>
  </si>
  <si>
    <t>IL</t>
  </si>
  <si>
    <t>MUST USE SWITCH BELOW BEFORE PRINTING UNDER PRESENT OR PROPOSED!!!</t>
  </si>
  <si>
    <t>Present = 1, Proposed = 2</t>
  </si>
  <si>
    <t>FACTORS 2 .  ALLOCATION OF COMPRESSOR STATION FUEL.</t>
  </si>
  <si>
    <t xml:space="preserve">   for each service classification.</t>
  </si>
  <si>
    <t>Under Proposed Rates</t>
  </si>
  <si>
    <t>Revenue Increase</t>
  </si>
  <si>
    <t>Rate XD - Firm</t>
  </si>
  <si>
    <t>Factors are based on an analysis of penalty revenue, by class.</t>
  </si>
  <si>
    <t>Factors are based on the allocation of rate base for large and directly assigned mains.</t>
  </si>
  <si>
    <t>FACTOR 3B. CALCULATION OF MAXIMUM DAY EXTRA DEMAND FACTORS FOR SMALL</t>
  </si>
  <si>
    <t>Factor 3B</t>
  </si>
  <si>
    <t xml:space="preserve">      Subtotal</t>
  </si>
  <si>
    <t>Factors are based on history of net write-offs by class.</t>
  </si>
  <si>
    <t xml:space="preserve">Factors are based on the pro forma average daily throughput volumes </t>
  </si>
  <si>
    <t>Factor*</t>
  </si>
  <si>
    <t xml:space="preserve">    STATION EQUIPMENT.</t>
  </si>
  <si>
    <t>FACTOR 4A.  ALLOCATION OF COSTS ASSOCIATED WITH LOAD DISPATCHING AND M&amp;R</t>
  </si>
  <si>
    <t>M&amp;R Equipment</t>
  </si>
  <si>
    <t>Factors are based on the cost of services by class included in Account 380, Service Lines.</t>
  </si>
  <si>
    <t>FACTOR 8.  ALLOCATION OF COSTS ASSOCIATED WITH SALES EXPENSES.</t>
  </si>
  <si>
    <t>Factors are based on the number of Rate R and Rate N customers.</t>
  </si>
  <si>
    <t>Factors are based on the composite allocation of all mains.</t>
  </si>
  <si>
    <t xml:space="preserve">Office Furniture and Equipment   </t>
  </si>
  <si>
    <t xml:space="preserve">Structures and Improvements      </t>
  </si>
  <si>
    <t>Capital Costs</t>
  </si>
  <si>
    <t>Income Taxes</t>
  </si>
  <si>
    <t>Income Available for Return</t>
  </si>
  <si>
    <t xml:space="preserve">          Total</t>
  </si>
  <si>
    <t>Cost Per Month</t>
  </si>
  <si>
    <t>Demand Costs per MCF</t>
  </si>
  <si>
    <t>CALCULATION OF COSTS RELATED TO LFD AND XD DEMAND CHARGES</t>
  </si>
  <si>
    <t>Demand Volume Units per Month</t>
  </si>
  <si>
    <t>FACTOR 6B. ALLOCATION OF COSTS ASSOCIATED WITH INDUSTRIAL MEASURING</t>
  </si>
  <si>
    <t>Factors are based on the allocated cost of service excluding those items being allocated.</t>
  </si>
  <si>
    <t xml:space="preserve">  Rate XD Firm</t>
  </si>
  <si>
    <t xml:space="preserve">   Interruptible</t>
  </si>
  <si>
    <t>Compressor Station Fuel and Power</t>
  </si>
  <si>
    <t>Factor 1A</t>
  </si>
  <si>
    <t>PGC and</t>
  </si>
  <si>
    <t>Choice</t>
  </si>
  <si>
    <t>1A</t>
  </si>
  <si>
    <t>Factor 1</t>
  </si>
  <si>
    <t>Class COS- Historic test Year Ended September 30, 2018</t>
  </si>
  <si>
    <t>STORES EQUIPMENT</t>
  </si>
  <si>
    <t>ORGANIZATION</t>
  </si>
  <si>
    <t>LAND</t>
  </si>
  <si>
    <t>OFFICE FURNITURE AND EQUIPMENT - SYSTEM DEV. COSTS - 10 YEARS</t>
  </si>
  <si>
    <t>Organization</t>
  </si>
  <si>
    <t>Uncollectible Accounts</t>
  </si>
  <si>
    <t>3-Yr. Average</t>
  </si>
  <si>
    <t>of Net Write-offs</t>
  </si>
  <si>
    <t>Storage</t>
  </si>
  <si>
    <t>381 plus 385</t>
  </si>
  <si>
    <t>per Customer</t>
  </si>
  <si>
    <t>Regulators</t>
  </si>
  <si>
    <t>Universal Service Program</t>
  </si>
  <si>
    <t>Energy Efficiency and Conservation Programs</t>
  </si>
  <si>
    <t xml:space="preserve">Energy Efficiency and Conservation </t>
  </si>
  <si>
    <t xml:space="preserve">Employee Pensions and Benefits    </t>
  </si>
  <si>
    <t>MCF/Day</t>
  </si>
  <si>
    <t>FACTORS 1 and 1A.  ALLOCATION OF COSTS WHICH VARY DIRECTLY WITH PGC AND</t>
  </si>
  <si>
    <t xml:space="preserve">  CHOICE SALES.</t>
  </si>
  <si>
    <t>FACTORS 3 and 3A. CALCULATION OF MAXIMUM DAY EXTRA DEMAND FACTORS.</t>
  </si>
  <si>
    <t>as presented on the following pages.</t>
  </si>
  <si>
    <t>Average Cost</t>
  </si>
  <si>
    <t>of Accounts</t>
  </si>
  <si>
    <t>TABLE 1. ESTIMATED SURVIVOR CURVES, ORIGINAL COST, BOOK RESERVE AND</t>
  </si>
  <si>
    <t>CALCULATED ANNUAL DEPRECIATION ACCRUALS RELATED TO GAS PLANT AT SEPTEMBER 30, 2020</t>
  </si>
  <si>
    <t>PROBABLE</t>
  </si>
  <si>
    <t>FUTURE</t>
  </si>
  <si>
    <t>CALCULATED</t>
  </si>
  <si>
    <t>COMPOSITE</t>
  </si>
  <si>
    <t>RETIREMENT</t>
  </si>
  <si>
    <t>SURVIVOR</t>
  </si>
  <si>
    <t>BOOK</t>
  </si>
  <si>
    <t>ANNUAL ACCRUAL</t>
  </si>
  <si>
    <t>REMAINING</t>
  </si>
  <si>
    <t>ACCOUNT</t>
  </si>
  <si>
    <t>YEAR</t>
  </si>
  <si>
    <t>CURVE</t>
  </si>
  <si>
    <t>ORIGINAL COST</t>
  </si>
  <si>
    <t>RESERVE</t>
  </si>
  <si>
    <t>ACCRUALS</t>
  </si>
  <si>
    <t>RATE</t>
  </si>
  <si>
    <t>AMOUNT</t>
  </si>
  <si>
    <t>LIFE</t>
  </si>
  <si>
    <t>GAS PLANT</t>
  </si>
  <si>
    <t>PRODUCTION PLANT</t>
  </si>
  <si>
    <t>MANUFACTURED GAS PLANT SITE REMEDIATION</t>
  </si>
  <si>
    <t>PRODUCING LEASEHOLDS</t>
  </si>
  <si>
    <t xml:space="preserve">          </t>
  </si>
  <si>
    <t>-</t>
  </si>
  <si>
    <t>S0.5</t>
  </si>
  <si>
    <t>RIGHTS-OF-WAY</t>
  </si>
  <si>
    <t>R1</t>
  </si>
  <si>
    <t>FIELD MEASURING AND REGULATING STATION STRUCTURES</t>
  </si>
  <si>
    <t>FULLY ACCRUED</t>
  </si>
  <si>
    <t>OTHER STRUCTURES</t>
  </si>
  <si>
    <t>PRODUCING GAS WELLS - WELL CONSTRUCTION</t>
  </si>
  <si>
    <t>FULLY ACCRUED *</t>
  </si>
  <si>
    <t>PRODUCING GAS WELLS - WELL EQUIPMENT</t>
  </si>
  <si>
    <t>FIELD LINES</t>
  </si>
  <si>
    <t>L0</t>
  </si>
  <si>
    <t>FIELD MEASURING AND REGULATING STATION EQUIPMENT</t>
  </si>
  <si>
    <t>O3</t>
  </si>
  <si>
    <t>DRILLING AND CLEANING EQUIPMENT</t>
  </si>
  <si>
    <t>OTHER EQUIPMENT</t>
  </si>
  <si>
    <t>TOTAL PRODUCTION PLANT</t>
  </si>
  <si>
    <t>STORAGE PLANT</t>
  </si>
  <si>
    <t>WELL CONSTRUCTION</t>
  </si>
  <si>
    <t>TOTAL STORAGE PLANT</t>
  </si>
  <si>
    <t>TRANSMISSION PLANT</t>
  </si>
  <si>
    <t>R4</t>
  </si>
  <si>
    <t>R3</t>
  </si>
  <si>
    <t>MEASURING AND REGULATING STATION EQUIPMENT</t>
  </si>
  <si>
    <t>R2</t>
  </si>
  <si>
    <t>R0.5</t>
  </si>
  <si>
    <t>R2.5</t>
  </si>
  <si>
    <t>TESTING EQUIPMENT</t>
  </si>
  <si>
    <t>TOTAL TRANSMISSION PLANT</t>
  </si>
  <si>
    <t>MAINS - PRIMARILY STEEL</t>
  </si>
  <si>
    <t>MAINS - CAST IRON</t>
  </si>
  <si>
    <t>MAINS - PRIMARILY WROUGHT IRON</t>
  </si>
  <si>
    <t>MEASURING AND REGULATING STATION EQUIPMENT - GENERAL</t>
  </si>
  <si>
    <t>S0</t>
  </si>
  <si>
    <t>MEASURING AND REGULATING STATION EQUIPMENT - CITY GATE</t>
  </si>
  <si>
    <t>SERVICES</t>
  </si>
  <si>
    <t>S1</t>
  </si>
  <si>
    <t>METERS - ERTS</t>
  </si>
  <si>
    <t>S3</t>
  </si>
  <si>
    <t>METER INSTALLATIONS</t>
  </si>
  <si>
    <t>INDUSTRIAL MEASURING AND REGULATING STATION EQUIPMENT</t>
  </si>
  <si>
    <t>OTHER PROPERTY ON CUSTOMERS PREMISES</t>
  </si>
  <si>
    <t>OTHER PROPERTY ON CUSTOMERS PREMISES - FARM TAPS</t>
  </si>
  <si>
    <t>OTHER PROPERTY ON CUSTOMERS PREMISES - GAS LIGHTS</t>
  </si>
  <si>
    <t>OTHER PROPERTY ON CUSTOMER PREMISES - CNG REFUELING STATION</t>
  </si>
  <si>
    <t>OTHER EQUIPMENT - GRAPHIC DATA BASE</t>
  </si>
  <si>
    <t>SQ</t>
  </si>
  <si>
    <t>LANCASTER SERVICE BUILDING</t>
  </si>
  <si>
    <t>R1.5</t>
  </si>
  <si>
    <t>READING SERVICE BUILDING</t>
  </si>
  <si>
    <t>BETHLEHEM SERVICE BUILDING</t>
  </si>
  <si>
    <t>LEBANON SERVICE BUILDING</t>
  </si>
  <si>
    <t>STONE RIDGE SERVICE BUILDING</t>
  </si>
  <si>
    <t>GAS TRAINING CENTER</t>
  </si>
  <si>
    <t>EMPIRE YARD - MAJOR STRUCTURES</t>
  </si>
  <si>
    <t>EMPIRE YARD - MINOR STRUCTURES</t>
  </si>
  <si>
    <t>ARCHBALD</t>
  </si>
  <si>
    <t>BLOOMSBURG</t>
  </si>
  <si>
    <t>STROUDSBURG DISTRICT OFFICE</t>
  </si>
  <si>
    <t>PORT ALLEGANY OPERATIONS CENTER</t>
  </si>
  <si>
    <t>POTTSVILLE METER SHOP</t>
  </si>
  <si>
    <t>TOTAL ACCOUNT 390.1</t>
  </si>
  <si>
    <t>ALLENTOWN UNITE BUILDING</t>
  </si>
  <si>
    <t>SQUARE</t>
  </si>
  <si>
    <t>WYOMISSING UNITE BUILDING</t>
  </si>
  <si>
    <t>TOTAL ACCOUNT 390.2</t>
  </si>
  <si>
    <t>OFFICE FURNITURE AND EQUIPMENT - COMPUTER EQUIPMENT</t>
  </si>
  <si>
    <t>OFFICE FURNITURE AND EQUIPMENT - SOFTWARE</t>
  </si>
  <si>
    <t>TRANSPORTATION EQUIPMENT - SEDANS AND SUV'S</t>
  </si>
  <si>
    <t>L2.5</t>
  </si>
  <si>
    <t>TRANSPORTATION EQUIPMENT - SMALL PICK-UPS AND CARGO VANS</t>
  </si>
  <si>
    <t>TRANSPORTATION EQUIPMENT - LARGE PICK-UPS AND UTILITY VEHICLES</t>
  </si>
  <si>
    <t>L3</t>
  </si>
  <si>
    <t>TRANSPORTATION EQUIPMENT - LARGE TRUCKS AND DUMP TRUCKS</t>
  </si>
  <si>
    <t>TRANSPORTATION EQUIPMENT - TRAILERS</t>
  </si>
  <si>
    <t>L2</t>
  </si>
  <si>
    <t>LABORATORY EQUIPMENT</t>
  </si>
  <si>
    <t>FRANCHISES AND CONSENTS</t>
  </si>
  <si>
    <t>MISCELLANEOUS INTANGIBLE PLANT</t>
  </si>
  <si>
    <t>LAND AND LAND RIGHTS - LAND</t>
  </si>
  <si>
    <t>LAND AND LAND RIGHTS - LAND RIGHTS</t>
  </si>
  <si>
    <t>PRODUCING LANDS</t>
  </si>
  <si>
    <t>OTHER LAND</t>
  </si>
  <si>
    <t>OTHER UTILITY PLANT</t>
  </si>
  <si>
    <t>LAND AND LAND RIGHTS - LAND (NONDEPRECIABLE)</t>
  </si>
  <si>
    <t>OFFICE FURNITURE &amp; EQUIPMENT - SYSTEM DEV. COSTS - 15 YEARS</t>
  </si>
  <si>
    <t>READING SERVICE CENTER</t>
  </si>
  <si>
    <t>AMORTIZATION OF NEGATIVE NET SALVAGE</t>
  </si>
  <si>
    <t>* ACCOUNTS 305, 330, 331 AND 352.01 HAVE NO REMAINING DEPRECIATION ACCRUALS.  THE FUTURE ACCRUALS SHOWN ARE RELATED TO THE AMORTIZATION OF NEGATIVE NET SALVAGE.</t>
  </si>
  <si>
    <t>Manufactured Gas Plant Site Remdiation</t>
  </si>
  <si>
    <t>Rights-Of-Way</t>
  </si>
  <si>
    <t>Field Measuring and Regulating Station Equipment</t>
  </si>
  <si>
    <t>Other Structures</t>
  </si>
  <si>
    <t>Producing Gas Wells - Well Construction</t>
  </si>
  <si>
    <t>Producint Gas Wells - Well Equipment</t>
  </si>
  <si>
    <t>Field Lines</t>
  </si>
  <si>
    <t>Drilling and Cleaning Equipment</t>
  </si>
  <si>
    <t>Well Construction</t>
  </si>
  <si>
    <t>Production Leaseholds</t>
  </si>
  <si>
    <t>Measuring and Regulating Staion Equipment</t>
  </si>
  <si>
    <t>Communication Equipment</t>
  </si>
  <si>
    <t>Testing Equipment</t>
  </si>
  <si>
    <t>Total Production Plant</t>
  </si>
  <si>
    <t>Total Transmission Plant</t>
  </si>
  <si>
    <t>FACTOR 4.  ALLOCATION OF COSTS ASSOCIATED WITH TRANSMISSION AND LARGE DISTRIBUTION MAINS.</t>
  </si>
  <si>
    <t>Stores Equipment</t>
  </si>
  <si>
    <t>Laboratory Equipment</t>
  </si>
  <si>
    <t>Office Furniture and Equip. - System Development Costs</t>
  </si>
  <si>
    <t>INFORMATION SERVICES (IS) ALLOCATED @ 91.72%</t>
  </si>
  <si>
    <t>Rights of Way</t>
  </si>
  <si>
    <t>Land</t>
  </si>
  <si>
    <t>Miscellaneous Intangible Plant</t>
  </si>
  <si>
    <t>Producing Lands</t>
  </si>
  <si>
    <t>Other Lands</t>
  </si>
  <si>
    <t>Office Furniture and Equip. - CIS</t>
  </si>
  <si>
    <t>NET SALVAGE</t>
  </si>
  <si>
    <t>TOTAL</t>
  </si>
  <si>
    <t>SAP CIS</t>
  </si>
  <si>
    <t>Accum Deprec</t>
  </si>
  <si>
    <t>All Gas</t>
  </si>
  <si>
    <t>RESERVED</t>
  </si>
  <si>
    <t>Administrative Expenses Transferred-Credit</t>
  </si>
  <si>
    <t>Franchise Requirements</t>
  </si>
  <si>
    <t>Duplicate Charges-Credit</t>
  </si>
  <si>
    <t>TRANSPORTATION EQUIPMENT - CAPITAL LEASES</t>
  </si>
  <si>
    <t>Schedule D-21</t>
  </si>
  <si>
    <t>Exhibit A</t>
  </si>
  <si>
    <t>XD - Firm</t>
  </si>
  <si>
    <t>PGC Sales</t>
  </si>
  <si>
    <t>MCF</t>
  </si>
  <si>
    <t>&lt;&lt; Charged to clearing accounts</t>
  </si>
  <si>
    <t>Other Equipment - Graphic Data Base</t>
  </si>
  <si>
    <t xml:space="preserve">   AND REGULATING EQUIPMENT.</t>
  </si>
  <si>
    <t>Factors are based on the number of weighted house regulators for customers served.</t>
  </si>
  <si>
    <t>Factors are based on the cost of meters by class included in Accounts 381 and 385, Meters and M&amp;R Equipment.</t>
  </si>
  <si>
    <t>FACTOR 6. ALLOCATION OF COSTS ASSOCIATED WITH ACCOUNTS 381 and 385.</t>
  </si>
  <si>
    <t>Cost of Meters</t>
  </si>
  <si>
    <t>and M&amp;R Equip.</t>
  </si>
  <si>
    <t xml:space="preserve">  Duplicate Charges-Credit</t>
  </si>
  <si>
    <t xml:space="preserve">  Franchise Requirements</t>
  </si>
  <si>
    <t xml:space="preserve">  Administrative Expenses Transferred-Credit</t>
  </si>
  <si>
    <t>W/O XD &amp; XD-I&gt;&gt;&gt;</t>
  </si>
  <si>
    <t>Interruptible**</t>
  </si>
  <si>
    <t>** Excludes XD-I volumes for customers who are 100% interruptible.</t>
  </si>
  <si>
    <t>Cost of Meters &amp;</t>
  </si>
  <si>
    <t>Factors are based on the cost of Meters and M&amp;R equipment by class included in Accounts 381 and 385.</t>
  </si>
  <si>
    <t>Service Lines</t>
  </si>
  <si>
    <t>FACTOR 7.  ALLOCATION OF COSTS ASSOCIATED WITH CUSTOMER ACCOUNTING</t>
  </si>
  <si>
    <t xml:space="preserve">  AND METER READING.</t>
  </si>
  <si>
    <t>FACTOR 17.  ALLOCATION OF OPERATION AND MAINTENANCE EXPENSES</t>
  </si>
  <si>
    <t xml:space="preserve">   ASSOCIATED WITH LARGE MAINS.</t>
  </si>
  <si>
    <t xml:space="preserve">    EQUIPMENT.</t>
  </si>
  <si>
    <t>FACTOR 18.  ALLOCATION OF RATE BASE ASSOCIATED WITH M&amp;R STATION</t>
  </si>
  <si>
    <t>FACTOR 19.  ALLOCATION OF UNCOLLECTIBLE ACCOUNTS.</t>
  </si>
  <si>
    <t>FACTOR 20.  ALLOCATION OF PENALTY REVENUE.</t>
  </si>
  <si>
    <t>SDR-COS-7</t>
  </si>
  <si>
    <t>908/912</t>
  </si>
  <si>
    <t>Service Representatives</t>
  </si>
  <si>
    <t>Storage Well Royalties</t>
  </si>
  <si>
    <t>825 - 826</t>
  </si>
  <si>
    <t>Other Maintenance</t>
  </si>
  <si>
    <t>831 - 837</t>
  </si>
  <si>
    <t>Other Maintenance Expense</t>
  </si>
  <si>
    <t>843.3 - 843.9</t>
  </si>
  <si>
    <t>Liquefied Natural Gas Terminating and Processing</t>
  </si>
  <si>
    <t>Total Liq. N.G. Term &amp; Proc. Operation Expenses</t>
  </si>
  <si>
    <t>Total Liq. N.G. Term. Proc. Maintenance Expenses</t>
  </si>
  <si>
    <t>844.1 - 846.2</t>
  </si>
  <si>
    <t>847.1 - 847.8</t>
  </si>
  <si>
    <t>Row 27 Updated 12/12/19 - GRH</t>
  </si>
  <si>
    <t>COS</t>
  </si>
  <si>
    <t>Source</t>
  </si>
  <si>
    <t>Difference</t>
  </si>
  <si>
    <t>O&amp;M</t>
  </si>
  <si>
    <t>Plant in Service</t>
  </si>
  <si>
    <t>Rate Base</t>
  </si>
  <si>
    <t>FULLY ACCRUED*</t>
  </si>
  <si>
    <t>VARIOUS**</t>
  </si>
  <si>
    <t>LESS READING SERVICE CENTER ALLOCATED TO ELECTRIC DIVISION - 9.35%</t>
  </si>
  <si>
    <t>COMMON PLANT ALLOCATED @ 88.43%</t>
  </si>
  <si>
    <t>INFORMATION SERVICES (IS) ALLOCATED @ 94.12%</t>
  </si>
  <si>
    <t>EMPIRE YARD BUILDING</t>
  </si>
  <si>
    <t>LESS EMPIRE BUILDING ALLOCATED TO ELECTRIC DIVISION - 13.04%</t>
  </si>
  <si>
    <t>2018-2020</t>
  </si>
  <si>
    <t>Reading Service Center Alloc. to Electric Div. @ 9.35%</t>
  </si>
  <si>
    <t>BY SERVICE CLASSIFICATION FOR THE TWELVE MONTHS ENDED SEPTEMBER 30, 2021</t>
  </si>
  <si>
    <t>UGI UTILTIES, INC. - GAS DIVISION</t>
  </si>
  <si>
    <t>Firm Service Load Factor</t>
  </si>
  <si>
    <t>Updated 1/7/20</t>
  </si>
  <si>
    <t>Empire Building Alloc. To Electric Div. @ 13.04%</t>
  </si>
  <si>
    <t>Meter Costs</t>
  </si>
  <si>
    <t>SDR-COS-6</t>
  </si>
  <si>
    <t>CEH 1/9/2020</t>
  </si>
  <si>
    <t>GF</t>
  </si>
  <si>
    <t>COST OF SERVICE AS OF SEPTEMBER 30, 2021, AT PROPOSED REVENUE LEVEL ALLOCATED TO</t>
  </si>
  <si>
    <t>CEH 1/10/2020</t>
  </si>
  <si>
    <t>ceh 1/10/2020</t>
  </si>
  <si>
    <t>UGI UTILITIES, INC. - GAS DIVISION</t>
  </si>
  <si>
    <t>TOTAL COMMON PLANT ALLOCATED TO GAS DIVISION - 88.43%</t>
  </si>
  <si>
    <t>TOTAL OTHER UTILITY PLANT ALLOCATED TO GAS DIVISION</t>
  </si>
  <si>
    <t>UGI UTILITIES INC. - GAS DIVISION</t>
  </si>
  <si>
    <t xml:space="preserve">Company Adj </t>
  </si>
  <si>
    <t>to Deprec Expense</t>
  </si>
  <si>
    <t>Revised Deprec</t>
  </si>
  <si>
    <t>TOTAL INFORMATION SERVICES ALLOCATED TO GAS DIVISION - 94.12%</t>
  </si>
  <si>
    <t>FACTOR 21.  ALLOCATION OF CUSTOMER DEPOSITS.</t>
  </si>
  <si>
    <t>Factors are based on an analysis of customer deposits for 2018, by class.</t>
  </si>
  <si>
    <t>RATE R, RATE N, RATE DS, RATE LFD, RATE XD-FIRM, AND INTERRUPTIBLE SERVICE CLASSIFICATIONS</t>
  </si>
  <si>
    <t>* The weighting of the factors is based on the system load factor for firm service.  See Factor 3.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</si>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</sst>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[$$-409]#,##0"/>
    <numFmt numFmtId="167" formatCode="&quot;$&quot;#,##0"/>
    <numFmt numFmtId="168" formatCode="0.0"/>
    <numFmt numFmtId="169" formatCode="0.000"/>
    <numFmt numFmtId="170" formatCode="_(* #,##0.0_);_(* \(#,##0.0\);_(* &quot;-&quot;??_);_(@_)"/>
    <numFmt numFmtId="171" formatCode="_(* #,##0_);_(* \(#,##0\);_(* &quot;-&quot;??_);_(@_)"/>
    <numFmt numFmtId="172" formatCode="0.0000"/>
    <numFmt numFmtId="173" formatCode="0.0%"/>
    <numFmt numFmtId="174" formatCode="_(* #,##0.0000_);_(* \(#,##0.0000\);_(* &quot;-&quot;_);_(@_)"/>
    <numFmt numFmtId="175" formatCode="0_);\(0\)"/>
    <numFmt numFmtId="176" formatCode="_(&quot;$&quot;* #,##0_);_(&quot;$&quot;* \(#,##0\);_(&quot;$&quot;* &quot;-&quot;??_);_(@_)"/>
    <numFmt numFmtId="177" formatCode="&quot;$&quot;#,##0.0000_);[Red]\(&quot;$&quot;#,##0.0000\)"/>
    <numFmt numFmtId="178" formatCode="_(* #,##0.00000_);_(* \(#,##0.00000\);_(* &quot;-&quot;??_);_(@_)"/>
    <numFmt numFmtId="179" formatCode="_(* #,##0.0000_);_(* \(#,##0.0000\);_(* &quot;-&quot;??_);_(@_)"/>
    <numFmt numFmtId="180" formatCode="#.00\ \ \ \ \ \ \ \ \ "/>
    <numFmt numFmtId="181" formatCode="#.0\ \ \ \ \ \ \ \ "/>
    <numFmt numFmtId="182" formatCode="mm\-yyyy"/>
    <numFmt numFmtId="183" formatCode="0.00_);\(0.00\)"/>
    <numFmt numFmtId="184" formatCode="#.0\ \ \ \ \ "/>
    <numFmt numFmtId="185" formatCode="_(* #,##0.00_);_(* \(#,##0.00\);_(* &quot;-&quot;_);_(@_)"/>
    <numFmt numFmtId="186" formatCode="0.0000%"/>
    <numFmt numFmtId="187" formatCode="[$-409]h:mm\ AM/PM;@"/>
  </numFmts>
  <fonts count="66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2"/>
      <name val="Arial MT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indexed="12"/>
      <name val="Arial MT"/>
    </font>
    <font>
      <b/>
      <sz val="10.45"/>
      <color indexed="10"/>
      <name val="Arial"/>
      <family val="2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12"/>
      <name val="SWISS"/>
    </font>
    <font>
      <sz val="12"/>
      <name val="Arial"/>
      <family val="2"/>
    </font>
    <font>
      <b/>
      <sz val="12"/>
      <name val="SWISS"/>
    </font>
    <font>
      <u/>
      <sz val="12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.45"/>
      <name val="Arial"/>
      <family val="2"/>
    </font>
    <font>
      <sz val="12"/>
      <name val="Arial"/>
      <family val="2"/>
    </font>
    <font>
      <sz val="10.45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u val="double"/>
      <sz val="11"/>
      <name val="Arial"/>
      <family val="2"/>
    </font>
    <font>
      <u val="double"/>
      <sz val="12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2"/>
      <color rgb="FFFF0000"/>
      <name val="SWISS"/>
    </font>
    <font>
      <b/>
      <sz val="12"/>
      <color rgb="FFFF0000"/>
      <name val="SWISS"/>
    </font>
    <font>
      <b/>
      <u/>
      <sz val="12"/>
      <color rgb="FFFF0000"/>
      <name val="Arial"/>
      <family val="2"/>
    </font>
    <font>
      <b/>
      <u/>
      <sz val="12"/>
      <color rgb="FFFF0000"/>
      <name val="SWISS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i/>
      <sz val="12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3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8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37" fontId="27" fillId="0" borderId="0"/>
    <xf numFmtId="37" fontId="28" fillId="0" borderId="0"/>
    <xf numFmtId="0" fontId="14" fillId="0" borderId="0"/>
    <xf numFmtId="0" fontId="3" fillId="0" borderId="0"/>
    <xf numFmtId="40" fontId="24" fillId="2" borderId="0">
      <alignment horizontal="right"/>
    </xf>
    <xf numFmtId="0" fontId="26" fillId="2" borderId="0">
      <alignment horizontal="right"/>
    </xf>
    <xf numFmtId="0" fontId="23" fillId="2" borderId="1"/>
    <xf numFmtId="0" fontId="23" fillId="0" borderId="0" applyBorder="0">
      <alignment horizontal="centerContinuous"/>
    </xf>
    <xf numFmtId="0" fontId="25" fillId="0" borderId="0" applyBorder="0">
      <alignment horizontal="centerContinuous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3" fontId="3" fillId="0" borderId="0"/>
    <xf numFmtId="41" fontId="60" fillId="0" borderId="0" applyFont="0" applyFill="0" applyBorder="0" applyAlignment="0" applyProtection="0"/>
  </cellStyleXfs>
  <cellXfs count="1119">
    <xf numFmtId="0" fontId="0" fillId="0" borderId="0" xfId="0"/>
    <xf numFmtId="0" fontId="1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Continuous" vertical="top" wrapText="1"/>
    </xf>
    <xf numFmtId="0" fontId="4" fillId="0" borderId="0" xfId="0" applyNumberFormat="1" applyFont="1" applyAlignment="1">
      <alignment horizontal="centerContinuous" vertical="top" wrapText="1"/>
    </xf>
    <xf numFmtId="0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Continuous"/>
    </xf>
    <xf numFmtId="0" fontId="3" fillId="0" borderId="2" xfId="0" applyNumberFormat="1" applyFont="1" applyBorder="1" applyAlignment="1">
      <alignment horizontal="center"/>
    </xf>
    <xf numFmtId="0" fontId="5" fillId="0" borderId="0" xfId="0" applyNumberFormat="1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3" xfId="0" applyNumberFormat="1" applyFont="1" applyBorder="1" applyAlignment="1"/>
    <xf numFmtId="0" fontId="3" fillId="0" borderId="2" xfId="0" applyNumberFormat="1" applyFont="1" applyBorder="1" applyAlignment="1"/>
    <xf numFmtId="0" fontId="0" fillId="0" borderId="0" xfId="0" applyNumberFormat="1"/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/>
    <xf numFmtId="0" fontId="2" fillId="0" borderId="0" xfId="0" applyNumberFormat="1" applyFont="1" applyAlignment="1"/>
    <xf numFmtId="3" fontId="8" fillId="0" borderId="0" xfId="0" applyNumberFormat="1" applyFont="1" applyAlignment="1"/>
    <xf numFmtId="3" fontId="0" fillId="0" borderId="0" xfId="0" applyNumberFormat="1"/>
    <xf numFmtId="0" fontId="6" fillId="3" borderId="0" xfId="0" applyNumberFormat="1" applyFont="1" applyFill="1" applyAlignment="1"/>
    <xf numFmtId="3" fontId="3" fillId="0" borderId="0" xfId="0" applyNumberFormat="1" applyFont="1" applyAlignment="1">
      <alignment horizontal="center"/>
    </xf>
    <xf numFmtId="3" fontId="3" fillId="0" borderId="3" xfId="0" applyNumberFormat="1" applyFont="1" applyBorder="1" applyAlignment="1"/>
    <xf numFmtId="41" fontId="1" fillId="0" borderId="0" xfId="0" applyNumberFormat="1" applyFont="1" applyAlignment="1"/>
    <xf numFmtId="41" fontId="3" fillId="0" borderId="0" xfId="0" applyNumberFormat="1" applyFont="1" applyAlignment="1"/>
    <xf numFmtId="0" fontId="11" fillId="0" borderId="0" xfId="0" applyFont="1"/>
    <xf numFmtId="41" fontId="0" fillId="0" borderId="0" xfId="0" applyNumberFormat="1"/>
    <xf numFmtId="0" fontId="0" fillId="0" borderId="0" xfId="0" applyBorder="1"/>
    <xf numFmtId="41" fontId="0" fillId="0" borderId="0" xfId="0" applyNumberFormat="1" applyBorder="1"/>
    <xf numFmtId="41" fontId="0" fillId="0" borderId="4" xfId="0" applyNumberFormat="1" applyBorder="1"/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3" fontId="1" fillId="0" borderId="0" xfId="0" applyNumberFormat="1" applyFont="1" applyAlignment="1"/>
    <xf numFmtId="0" fontId="0" fillId="0" borderId="0" xfId="0" applyNumberFormat="1" applyBorder="1"/>
    <xf numFmtId="0" fontId="1" fillId="0" borderId="0" xfId="0" applyNumberFormat="1" applyFont="1" applyBorder="1" applyAlignment="1"/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1" fontId="11" fillId="0" borderId="4" xfId="0" applyNumberFormat="1" applyFont="1" applyBorder="1"/>
    <xf numFmtId="0" fontId="11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2" fontId="11" fillId="0" borderId="4" xfId="0" applyNumberFormat="1" applyFont="1" applyBorder="1"/>
    <xf numFmtId="42" fontId="11" fillId="0" borderId="0" xfId="0" applyNumberFormat="1" applyFont="1"/>
    <xf numFmtId="0" fontId="11" fillId="0" borderId="0" xfId="0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0" fontId="13" fillId="0" borderId="0" xfId="0" applyFont="1"/>
    <xf numFmtId="41" fontId="11" fillId="0" borderId="0" xfId="0" applyNumberFormat="1" applyFont="1" applyBorder="1"/>
    <xf numFmtId="2" fontId="3" fillId="0" borderId="0" xfId="0" applyNumberFormat="1" applyFont="1" applyAlignment="1"/>
    <xf numFmtId="166" fontId="3" fillId="0" borderId="0" xfId="0" applyNumberFormat="1" applyFont="1" applyAlignment="1"/>
    <xf numFmtId="3" fontId="15" fillId="0" borderId="0" xfId="0" applyNumberFormat="1" applyFont="1" applyAlignment="1"/>
    <xf numFmtId="15" fontId="3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1" fillId="0" borderId="2" xfId="0" applyNumberFormat="1" applyFont="1" applyBorder="1" applyAlignment="1">
      <alignment horizontal="centerContinuous"/>
    </xf>
    <xf numFmtId="3" fontId="1" fillId="0" borderId="2" xfId="0" applyNumberFormat="1" applyFont="1" applyBorder="1" applyAlignment="1"/>
    <xf numFmtId="3" fontId="1" fillId="0" borderId="2" xfId="0" applyNumberFormat="1" applyFont="1" applyBorder="1" applyAlignment="1" applyProtection="1">
      <alignment horizontal="centerContinuous"/>
      <protection locked="0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/>
    <xf numFmtId="173" fontId="1" fillId="0" borderId="0" xfId="0" applyNumberFormat="1" applyFont="1" applyAlignment="1"/>
    <xf numFmtId="3" fontId="1" fillId="0" borderId="3" xfId="0" applyNumberFormat="1" applyFont="1" applyBorder="1" applyAlignment="1"/>
    <xf numFmtId="172" fontId="15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166" fontId="1" fillId="0" borderId="2" xfId="0" applyNumberFormat="1" applyFont="1" applyBorder="1" applyAlignment="1"/>
    <xf numFmtId="169" fontId="1" fillId="0" borderId="0" xfId="0" applyNumberFormat="1" applyFont="1" applyAlignment="1"/>
    <xf numFmtId="1" fontId="1" fillId="0" borderId="0" xfId="0" applyNumberFormat="1" applyFont="1" applyAlignment="1"/>
    <xf numFmtId="172" fontId="3" fillId="0" borderId="0" xfId="0" applyNumberFormat="1" applyFont="1" applyAlignment="1"/>
    <xf numFmtId="3" fontId="1" fillId="0" borderId="0" xfId="0" applyNumberFormat="1" applyFont="1" applyAlignment="1" applyProtection="1">
      <protection locked="0"/>
    </xf>
    <xf numFmtId="10" fontId="1" fillId="0" borderId="0" xfId="0" applyNumberFormat="1" applyFont="1" applyAlignment="1"/>
    <xf numFmtId="2" fontId="1" fillId="0" borderId="0" xfId="0" applyNumberFormat="1" applyFont="1" applyAlignment="1"/>
    <xf numFmtId="172" fontId="1" fillId="0" borderId="0" xfId="0" applyNumberFormat="1" applyFont="1" applyAlignment="1" applyProtection="1">
      <protection locked="0"/>
    </xf>
    <xf numFmtId="172" fontId="1" fillId="0" borderId="0" xfId="0" applyNumberFormat="1" applyFont="1" applyAlignment="1"/>
    <xf numFmtId="172" fontId="3" fillId="0" borderId="0" xfId="0" applyNumberFormat="1" applyFont="1" applyAlignment="1" applyProtection="1">
      <protection locked="0"/>
    </xf>
    <xf numFmtId="3" fontId="11" fillId="0" borderId="0" xfId="0" applyNumberFormat="1" applyFont="1" applyAlignment="1"/>
    <xf numFmtId="37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/>
    <xf numFmtId="42" fontId="1" fillId="0" borderId="0" xfId="0" applyNumberFormat="1" applyFont="1" applyAlignment="1"/>
    <xf numFmtId="41" fontId="1" fillId="0" borderId="0" xfId="0" applyNumberFormat="1" applyFont="1" applyAlignment="1" applyProtection="1">
      <protection locked="0"/>
    </xf>
    <xf numFmtId="3" fontId="18" fillId="0" borderId="0" xfId="0" applyNumberFormat="1" applyFont="1" applyAlignment="1"/>
    <xf numFmtId="0" fontId="1" fillId="0" borderId="0" xfId="0" applyFont="1"/>
    <xf numFmtId="0" fontId="1" fillId="0" borderId="0" xfId="0" applyFont="1" applyFill="1" applyBorder="1"/>
    <xf numFmtId="0" fontId="17" fillId="0" borderId="0" xfId="0" applyFont="1"/>
    <xf numFmtId="0" fontId="1" fillId="0" borderId="0" xfId="0" applyFont="1" applyFill="1" applyBorder="1" applyAlignment="1">
      <alignment horizontal="right"/>
    </xf>
    <xf numFmtId="44" fontId="11" fillId="0" borderId="0" xfId="0" applyNumberFormat="1" applyFont="1" applyAlignment="1"/>
    <xf numFmtId="3" fontId="19" fillId="0" borderId="0" xfId="0" applyNumberFormat="1" applyFont="1" applyAlignment="1"/>
    <xf numFmtId="3" fontId="12" fillId="0" borderId="0" xfId="0" applyNumberFormat="1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3" fontId="16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centerContinuous"/>
    </xf>
    <xf numFmtId="0" fontId="22" fillId="0" borderId="0" xfId="0" applyFont="1"/>
    <xf numFmtId="0" fontId="13" fillId="0" borderId="0" xfId="0" applyFont="1" applyBorder="1"/>
    <xf numFmtId="171" fontId="0" fillId="0" borderId="0" xfId="1" applyNumberFormat="1" applyFont="1"/>
    <xf numFmtId="0" fontId="29" fillId="0" borderId="0" xfId="0" applyFont="1" applyFill="1"/>
    <xf numFmtId="37" fontId="29" fillId="0" borderId="0" xfId="5" applyNumberFormat="1" applyFont="1" applyFill="1" applyProtection="1"/>
    <xf numFmtId="37" fontId="30" fillId="0" borderId="0" xfId="5" applyFont="1" applyFill="1" applyProtection="1"/>
    <xf numFmtId="0" fontId="0" fillId="0" borderId="0" xfId="0" applyFill="1"/>
    <xf numFmtId="37" fontId="28" fillId="0" borderId="0" xfId="5" applyFont="1" applyFill="1" applyProtection="1"/>
    <xf numFmtId="37" fontId="28" fillId="0" borderId="0" xfId="5"/>
    <xf numFmtId="0" fontId="29" fillId="0" borderId="0" xfId="0" applyFont="1"/>
    <xf numFmtId="37" fontId="11" fillId="0" borderId="0" xfId="5" applyNumberFormat="1" applyFont="1" applyFill="1" applyAlignment="1" applyProtection="1">
      <alignment horizontal="centerContinuous"/>
    </xf>
    <xf numFmtId="37" fontId="29" fillId="0" borderId="0" xfId="5" applyNumberFormat="1" applyFont="1" applyFill="1" applyAlignment="1" applyProtection="1">
      <alignment horizontal="center"/>
    </xf>
    <xf numFmtId="37" fontId="29" fillId="0" borderId="0" xfId="5" applyFont="1" applyFill="1" applyProtection="1"/>
    <xf numFmtId="37" fontId="28" fillId="0" borderId="0" xfId="5" applyFont="1" applyFill="1" applyAlignment="1">
      <alignment horizontal="center"/>
    </xf>
    <xf numFmtId="37" fontId="0" fillId="0" borderId="0" xfId="0" applyNumberForma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Border="1"/>
    <xf numFmtId="37" fontId="29" fillId="0" borderId="0" xfId="5" applyFont="1" applyFill="1" applyBorder="1" applyProtection="1"/>
    <xf numFmtId="37" fontId="29" fillId="0" borderId="0" xfId="5" applyNumberFormat="1" applyFont="1" applyFill="1" applyBorder="1" applyProtection="1"/>
    <xf numFmtId="37" fontId="28" fillId="0" borderId="0" xfId="5" applyFill="1" applyBorder="1"/>
    <xf numFmtId="37" fontId="29" fillId="0" borderId="0" xfId="4" applyNumberFormat="1" applyFont="1" applyFill="1" applyBorder="1" applyProtection="1"/>
    <xf numFmtId="37" fontId="28" fillId="0" borderId="0" xfId="5" applyFont="1" applyFill="1" applyBorder="1"/>
    <xf numFmtId="37" fontId="32" fillId="0" borderId="0" xfId="5" applyNumberFormat="1" applyFont="1" applyFill="1" applyBorder="1" applyProtection="1"/>
    <xf numFmtId="37" fontId="29" fillId="0" borderId="0" xfId="5" applyFont="1" applyFill="1" applyAlignment="1" applyProtection="1">
      <alignment horizontal="centerContinuous"/>
    </xf>
    <xf numFmtId="37" fontId="29" fillId="0" borderId="0" xfId="5" applyNumberFormat="1" applyFont="1" applyFill="1" applyBorder="1" applyProtection="1">
      <protection locked="0"/>
    </xf>
    <xf numFmtId="37" fontId="28" fillId="0" borderId="0" xfId="5" applyFill="1" applyAlignment="1">
      <alignment horizontal="center"/>
    </xf>
    <xf numFmtId="171" fontId="0" fillId="0" borderId="0" xfId="1" applyNumberFormat="1" applyFont="1" applyFill="1"/>
    <xf numFmtId="3" fontId="33" fillId="0" borderId="0" xfId="0" applyNumberFormat="1" applyFont="1" applyAlignment="1"/>
    <xf numFmtId="42" fontId="11" fillId="0" borderId="0" xfId="0" applyNumberFormat="1" applyFont="1" applyBorder="1"/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Continuous"/>
    </xf>
    <xf numFmtId="3" fontId="3" fillId="0" borderId="0" xfId="0" applyNumberFormat="1" applyFont="1" applyBorder="1" applyAlignment="1"/>
    <xf numFmtId="164" fontId="3" fillId="0" borderId="0" xfId="0" applyNumberFormat="1" applyFont="1" applyBorder="1" applyAlignment="1"/>
    <xf numFmtId="0" fontId="7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/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20" fillId="0" borderId="0" xfId="0" applyNumberFormat="1" applyFont="1" applyBorder="1" applyAlignment="1"/>
    <xf numFmtId="0" fontId="3" fillId="0" borderId="0" xfId="0" applyNumberFormat="1" applyFont="1" applyBorder="1" applyAlignment="1"/>
    <xf numFmtId="164" fontId="7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 applyAlignment="1"/>
    <xf numFmtId="10" fontId="3" fillId="0" borderId="0" xfId="0" applyNumberFormat="1" applyFont="1" applyBorder="1" applyAlignment="1"/>
    <xf numFmtId="175" fontId="3" fillId="0" borderId="0" xfId="0" applyNumberFormat="1" applyFont="1" applyBorder="1" applyAlignment="1">
      <alignment horizontal="center"/>
    </xf>
    <xf numFmtId="41" fontId="1" fillId="0" borderId="0" xfId="0" applyNumberFormat="1" applyFont="1"/>
    <xf numFmtId="0" fontId="34" fillId="0" borderId="0" xfId="0" applyFont="1"/>
    <xf numFmtId="0" fontId="35" fillId="0" borderId="0" xfId="0" applyFont="1"/>
    <xf numFmtId="0" fontId="35" fillId="0" borderId="0" xfId="0" applyFont="1" applyBorder="1"/>
    <xf numFmtId="37" fontId="35" fillId="0" borderId="0" xfId="0" applyNumberFormat="1" applyFont="1" applyBorder="1" applyAlignment="1">
      <alignment horizontal="center"/>
    </xf>
    <xf numFmtId="37" fontId="35" fillId="0" borderId="0" xfId="0" applyNumberFormat="1" applyFont="1"/>
    <xf numFmtId="41" fontId="35" fillId="0" borderId="0" xfId="0" applyNumberFormat="1" applyFont="1"/>
    <xf numFmtId="171" fontId="35" fillId="0" borderId="0" xfId="0" applyNumberFormat="1" applyFont="1"/>
    <xf numFmtId="1" fontId="35" fillId="0" borderId="0" xfId="0" applyNumberFormat="1" applyFont="1"/>
    <xf numFmtId="40" fontId="35" fillId="0" borderId="0" xfId="0" applyNumberFormat="1" applyFont="1"/>
    <xf numFmtId="0" fontId="35" fillId="0" borderId="0" xfId="0" applyFont="1" applyAlignment="1">
      <alignment horizontal="center"/>
    </xf>
    <xf numFmtId="41" fontId="35" fillId="0" borderId="4" xfId="0" applyNumberFormat="1" applyFont="1" applyBorder="1"/>
    <xf numFmtId="171" fontId="35" fillId="0" borderId="4" xfId="0" applyNumberFormat="1" applyFont="1" applyBorder="1"/>
    <xf numFmtId="171" fontId="35" fillId="0" borderId="0" xfId="0" applyNumberFormat="1" applyFont="1" applyBorder="1"/>
    <xf numFmtId="41" fontId="35" fillId="0" borderId="0" xfId="0" applyNumberFormat="1" applyFont="1" applyBorder="1"/>
    <xf numFmtId="0" fontId="35" fillId="0" borderId="0" xfId="0" applyFont="1" applyBorder="1" applyAlignment="1">
      <alignment horizontal="center"/>
    </xf>
    <xf numFmtId="171" fontId="35" fillId="0" borderId="0" xfId="1" applyNumberFormat="1" applyFont="1"/>
    <xf numFmtId="0" fontId="15" fillId="0" borderId="0" xfId="0" applyFont="1"/>
    <xf numFmtId="0" fontId="35" fillId="0" borderId="4" xfId="0" applyFont="1" applyBorder="1" applyAlignment="1">
      <alignment horizontal="center"/>
    </xf>
    <xf numFmtId="172" fontId="35" fillId="0" borderId="0" xfId="0" applyNumberFormat="1" applyFont="1"/>
    <xf numFmtId="174" fontId="35" fillId="0" borderId="0" xfId="0" applyNumberFormat="1" applyFont="1"/>
    <xf numFmtId="0" fontId="3" fillId="0" borderId="4" xfId="0" applyNumberFormat="1" applyFont="1" applyBorder="1" applyAlignment="1">
      <alignment horizontal="center"/>
    </xf>
    <xf numFmtId="171" fontId="3" fillId="0" borderId="4" xfId="1" applyNumberFormat="1" applyFont="1" applyBorder="1" applyAlignment="1"/>
    <xf numFmtId="0" fontId="8" fillId="0" borderId="0" xfId="0" applyNumberFormat="1" applyFont="1" applyBorder="1" applyAlignment="1"/>
    <xf numFmtId="0" fontId="4" fillId="0" borderId="0" xfId="0" applyNumberFormat="1" applyFont="1" applyAlignment="1"/>
    <xf numFmtId="0" fontId="35" fillId="0" borderId="0" xfId="0" applyNumberFormat="1" applyFont="1" applyAlignment="1"/>
    <xf numFmtId="0" fontId="1" fillId="0" borderId="0" xfId="0" applyFont="1" applyAlignment="1">
      <alignment horizontal="center"/>
    </xf>
    <xf numFmtId="171" fontId="1" fillId="0" borderId="0" xfId="0" applyNumberFormat="1" applyFont="1"/>
    <xf numFmtId="0" fontId="6" fillId="0" borderId="0" xfId="0" applyFont="1" applyFill="1" applyBorder="1" applyAlignment="1">
      <alignment horizontal="left" vertical="top"/>
    </xf>
    <xf numFmtId="0" fontId="3" fillId="0" borderId="0" xfId="3" applyNumberFormat="1" applyFont="1" applyAlignment="1">
      <alignment horizontal="centerContinuous"/>
    </xf>
    <xf numFmtId="0" fontId="3" fillId="0" borderId="0" xfId="3" applyNumberFormat="1" applyFont="1" applyAlignment="1"/>
    <xf numFmtId="0" fontId="3" fillId="0" borderId="0" xfId="0" applyFont="1"/>
    <xf numFmtId="0" fontId="8" fillId="0" borderId="0" xfId="0" applyFont="1"/>
    <xf numFmtId="3" fontId="8" fillId="0" borderId="0" xfId="0" applyNumberFormat="1" applyFont="1" applyBorder="1" applyAlignment="1"/>
    <xf numFmtId="0" fontId="8" fillId="0" borderId="0" xfId="0" applyFont="1" applyBorder="1"/>
    <xf numFmtId="173" fontId="1" fillId="0" borderId="0" xfId="0" applyNumberFormat="1" applyFont="1" applyBorder="1" applyAlignment="1"/>
    <xf numFmtId="3" fontId="1" fillId="0" borderId="4" xfId="0" applyNumberFormat="1" applyFont="1" applyBorder="1" applyAlignment="1"/>
    <xf numFmtId="37" fontId="1" fillId="0" borderId="0" xfId="0" applyNumberFormat="1" applyFont="1" applyAlignment="1"/>
    <xf numFmtId="167" fontId="3" fillId="0" borderId="0" xfId="0" applyNumberFormat="1" applyFont="1" applyBorder="1" applyAlignment="1"/>
    <xf numFmtId="171" fontId="0" fillId="0" borderId="0" xfId="1" applyNumberFormat="1" applyFont="1" applyFill="1" applyBorder="1"/>
    <xf numFmtId="172" fontId="1" fillId="0" borderId="0" xfId="0" applyNumberFormat="1" applyFont="1"/>
    <xf numFmtId="41" fontId="3" fillId="0" borderId="0" xfId="0" applyNumberFormat="1" applyFont="1" applyBorder="1" applyAlignment="1"/>
    <xf numFmtId="169" fontId="1" fillId="0" borderId="0" xfId="0" applyNumberFormat="1" applyFont="1" applyBorder="1" applyAlignment="1"/>
    <xf numFmtId="166" fontId="3" fillId="0" borderId="0" xfId="0" applyNumberFormat="1" applyFont="1" applyBorder="1" applyAlignment="1"/>
    <xf numFmtId="172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166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 applyProtection="1">
      <alignment horizontal="centerContinuous"/>
      <protection locked="0"/>
    </xf>
    <xf numFmtId="3" fontId="5" fillId="0" borderId="0" xfId="0" applyNumberFormat="1" applyFont="1" applyBorder="1" applyAlignment="1"/>
    <xf numFmtId="166" fontId="1" fillId="0" borderId="0" xfId="0" applyNumberFormat="1" applyFont="1" applyBorder="1" applyAlignment="1"/>
    <xf numFmtId="41" fontId="1" fillId="0" borderId="0" xfId="0" applyNumberFormat="1" applyFont="1" applyBorder="1" applyAlignment="1"/>
    <xf numFmtId="10" fontId="1" fillId="0" borderId="0" xfId="0" applyNumberFormat="1" applyFont="1" applyBorder="1" applyAlignment="1"/>
    <xf numFmtId="2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/>
    <xf numFmtId="41" fontId="1" fillId="0" borderId="4" xfId="0" applyNumberFormat="1" applyFont="1" applyBorder="1" applyAlignment="1"/>
    <xf numFmtId="0" fontId="0" fillId="0" borderId="4" xfId="0" applyBorder="1"/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/>
    <xf numFmtId="3" fontId="12" fillId="0" borderId="0" xfId="0" applyNumberFormat="1" applyFont="1" applyBorder="1" applyAlignment="1">
      <alignment horizontal="centerContinuous"/>
    </xf>
    <xf numFmtId="166" fontId="12" fillId="0" borderId="0" xfId="0" applyNumberFormat="1" applyFont="1" applyBorder="1" applyAlignment="1">
      <alignment horizontal="centerContinuous"/>
    </xf>
    <xf numFmtId="169" fontId="12" fillId="0" borderId="0" xfId="0" applyNumberFormat="1" applyFont="1" applyBorder="1" applyAlignment="1"/>
    <xf numFmtId="0" fontId="17" fillId="0" borderId="0" xfId="0" applyFont="1" applyBorder="1"/>
    <xf numFmtId="3" fontId="1" fillId="0" borderId="0" xfId="0" applyNumberFormat="1" applyFont="1" applyBorder="1" applyAlignment="1">
      <alignment horizontal="left"/>
    </xf>
    <xf numFmtId="173" fontId="1" fillId="0" borderId="0" xfId="13" applyNumberFormat="1" applyFont="1" applyAlignment="1">
      <alignment horizontal="left"/>
    </xf>
    <xf numFmtId="41" fontId="1" fillId="0" borderId="0" xfId="0" applyNumberFormat="1" applyFont="1" applyFill="1" applyAlignment="1"/>
    <xf numFmtId="0" fontId="35" fillId="0" borderId="0" xfId="0" applyFont="1" applyFill="1"/>
    <xf numFmtId="3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41" fontId="1" fillId="0" borderId="4" xfId="0" applyNumberFormat="1" applyFont="1" applyFill="1" applyBorder="1" applyAlignment="1"/>
    <xf numFmtId="0" fontId="1" fillId="0" borderId="4" xfId="0" applyNumberFormat="1" applyFont="1" applyBorder="1" applyAlignment="1"/>
    <xf numFmtId="3" fontId="3" fillId="0" borderId="0" xfId="0" applyNumberFormat="1" applyFont="1" applyFill="1" applyAlignment="1"/>
    <xf numFmtId="171" fontId="1" fillId="0" borderId="0" xfId="1" applyNumberFormat="1" applyFont="1" applyAlignment="1"/>
    <xf numFmtId="171" fontId="3" fillId="0" borderId="0" xfId="1" applyNumberFormat="1" applyFont="1" applyAlignment="1">
      <alignment horizontal="centerContinuous"/>
    </xf>
    <xf numFmtId="171" fontId="3" fillId="0" borderId="0" xfId="1" applyNumberFormat="1" applyFont="1" applyBorder="1" applyAlignment="1">
      <alignment horizontal="center"/>
    </xf>
    <xf numFmtId="167" fontId="1" fillId="0" borderId="6" xfId="0" applyNumberFormat="1" applyFont="1" applyBorder="1" applyAlignment="1"/>
    <xf numFmtId="171" fontId="3" fillId="0" borderId="0" xfId="1" applyNumberFormat="1" applyFont="1" applyBorder="1" applyAlignment="1"/>
    <xf numFmtId="0" fontId="2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/>
    <xf numFmtId="43" fontId="8" fillId="0" borderId="0" xfId="0" applyNumberFormat="1" applyFont="1" applyBorder="1" applyAlignment="1"/>
    <xf numFmtId="171" fontId="1" fillId="0" borderId="0" xfId="0" applyNumberFormat="1" applyFont="1" applyBorder="1" applyAlignment="1"/>
    <xf numFmtId="3" fontId="14" fillId="0" borderId="0" xfId="0" applyNumberFormat="1" applyFont="1" applyAlignment="1">
      <alignment horizontal="centerContinuous"/>
    </xf>
    <xf numFmtId="3" fontId="35" fillId="0" borderId="0" xfId="0" applyNumberFormat="1" applyFont="1" applyAlignment="1">
      <alignment horizontal="centerContinuous"/>
    </xf>
    <xf numFmtId="10" fontId="1" fillId="0" borderId="0" xfId="13" applyNumberFormat="1" applyFont="1" applyAlignment="1"/>
    <xf numFmtId="177" fontId="29" fillId="0" borderId="0" xfId="7" applyNumberFormat="1" applyFont="1" applyFill="1" applyProtection="1">
      <protection locked="0"/>
    </xf>
    <xf numFmtId="0" fontId="3" fillId="0" borderId="0" xfId="0" applyNumberFormat="1" applyFont="1" applyAlignment="1">
      <alignment horizontal="justify" vertical="top" wrapText="1"/>
    </xf>
    <xf numFmtId="41" fontId="1" fillId="0" borderId="4" xfId="0" applyNumberFormat="1" applyFont="1" applyBorder="1"/>
    <xf numFmtId="37" fontId="35" fillId="0" borderId="0" xfId="0" applyNumberFormat="1" applyFont="1" applyFill="1"/>
    <xf numFmtId="0" fontId="35" fillId="0" borderId="0" xfId="0" applyFont="1" applyFill="1" applyBorder="1"/>
    <xf numFmtId="171" fontId="35" fillId="0" borderId="0" xfId="1" applyNumberFormat="1" applyFont="1" applyFill="1" applyBorder="1"/>
    <xf numFmtId="171" fontId="35" fillId="0" borderId="0" xfId="1" applyNumberFormat="1" applyFont="1" applyFill="1"/>
    <xf numFmtId="41" fontId="11" fillId="0" borderId="0" xfId="0" applyNumberFormat="1" applyFont="1"/>
    <xf numFmtId="0" fontId="10" fillId="0" borderId="0" xfId="0" applyFont="1" applyBorder="1"/>
    <xf numFmtId="176" fontId="35" fillId="0" borderId="0" xfId="2" applyNumberFormat="1" applyFont="1" applyBorder="1"/>
    <xf numFmtId="3" fontId="0" fillId="0" borderId="0" xfId="0" applyNumberFormat="1" applyBorder="1"/>
    <xf numFmtId="0" fontId="2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/>
    <xf numFmtId="0" fontId="0" fillId="0" borderId="0" xfId="0" applyBorder="1" applyAlignment="1">
      <alignment horizontal="justify" vertical="top" wrapText="1"/>
    </xf>
    <xf numFmtId="0" fontId="11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1" fillId="0" borderId="0" xfId="0" applyFont="1" applyFill="1"/>
    <xf numFmtId="0" fontId="35" fillId="0" borderId="0" xfId="0" applyFont="1" applyFill="1" applyAlignment="1">
      <alignment horizontal="center"/>
    </xf>
    <xf numFmtId="41" fontId="1" fillId="0" borderId="0" xfId="0" applyNumberFormat="1" applyFont="1" applyFill="1"/>
    <xf numFmtId="171" fontId="35" fillId="0" borderId="0" xfId="0" applyNumberFormat="1" applyFont="1" applyFill="1"/>
    <xf numFmtId="171" fontId="0" fillId="0" borderId="0" xfId="0" applyNumberFormat="1" applyFill="1"/>
    <xf numFmtId="176" fontId="0" fillId="0" borderId="0" xfId="2" applyNumberFormat="1" applyFont="1"/>
    <xf numFmtId="171" fontId="0" fillId="0" borderId="4" xfId="1" applyNumberFormat="1" applyFont="1" applyBorder="1"/>
    <xf numFmtId="0" fontId="1" fillId="0" borderId="0" xfId="0" applyFont="1" applyBorder="1"/>
    <xf numFmtId="41" fontId="35" fillId="0" borderId="8" xfId="0" applyNumberFormat="1" applyFont="1" applyBorder="1"/>
    <xf numFmtId="41" fontId="35" fillId="0" borderId="5" xfId="0" applyNumberFormat="1" applyFont="1" applyBorder="1"/>
    <xf numFmtId="0" fontId="1" fillId="5" borderId="0" xfId="0" applyFont="1" applyFill="1"/>
    <xf numFmtId="37" fontId="28" fillId="0" borderId="0" xfId="5" applyFill="1" applyBorder="1" applyAlignment="1">
      <alignment horizontal="center"/>
    </xf>
    <xf numFmtId="37" fontId="29" fillId="0" borderId="0" xfId="5" applyNumberFormat="1" applyFont="1" applyFill="1" applyBorder="1" applyAlignment="1" applyProtection="1">
      <alignment horizontal="center"/>
    </xf>
    <xf numFmtId="0" fontId="0" fillId="0" borderId="0" xfId="0" applyFill="1" applyBorder="1"/>
    <xf numFmtId="37" fontId="28" fillId="0" borderId="0" xfId="5" applyFont="1" applyFill="1" applyBorder="1" applyAlignment="1">
      <alignment horizontal="center"/>
    </xf>
    <xf numFmtId="41" fontId="0" fillId="0" borderId="0" xfId="0" applyNumberFormat="1" applyFill="1" applyBorder="1"/>
    <xf numFmtId="37" fontId="29" fillId="0" borderId="0" xfId="5" applyFont="1" applyFill="1" applyBorder="1" applyAlignment="1">
      <alignment horizontal="center"/>
    </xf>
    <xf numFmtId="37" fontId="28" fillId="0" borderId="0" xfId="5" applyFont="1" applyFill="1" applyBorder="1" applyProtection="1"/>
    <xf numFmtId="37" fontId="28" fillId="4" borderId="0" xfId="5" applyFill="1" applyBorder="1" applyAlignment="1">
      <alignment horizontal="center"/>
    </xf>
    <xf numFmtId="176" fontId="29" fillId="0" borderId="0" xfId="2" applyNumberFormat="1" applyFont="1" applyFill="1" applyBorder="1" applyProtection="1"/>
    <xf numFmtId="37" fontId="29" fillId="0" borderId="0" xfId="5" applyNumberFormat="1" applyFont="1" applyFill="1" applyBorder="1" applyAlignment="1">
      <alignment horizontal="center"/>
    </xf>
    <xf numFmtId="3" fontId="29" fillId="0" borderId="0" xfId="5" quotePrefix="1" applyNumberFormat="1" applyFont="1" applyFill="1" applyBorder="1" applyAlignment="1">
      <alignment horizontal="center"/>
    </xf>
    <xf numFmtId="41" fontId="35" fillId="0" borderId="0" xfId="0" applyNumberFormat="1" applyFont="1" applyFill="1"/>
    <xf numFmtId="1" fontId="35" fillId="0" borderId="0" xfId="0" applyNumberFormat="1" applyFont="1" applyFill="1"/>
    <xf numFmtId="0" fontId="37" fillId="0" borderId="0" xfId="0" applyFont="1"/>
    <xf numFmtId="172" fontId="37" fillId="0" borderId="0" xfId="0" applyNumberFormat="1" applyFont="1"/>
    <xf numFmtId="0" fontId="37" fillId="0" borderId="0" xfId="0" applyNumberFormat="1" applyFont="1" applyAlignment="1">
      <alignment horizontal="centerContinuous"/>
    </xf>
    <xf numFmtId="0" fontId="38" fillId="0" borderId="0" xfId="0" applyNumberFormat="1" applyFont="1" applyAlignment="1">
      <alignment horizontal="centerContinuous"/>
    </xf>
    <xf numFmtId="0" fontId="38" fillId="0" borderId="0" xfId="0" applyNumberFormat="1" applyFont="1" applyAlignment="1"/>
    <xf numFmtId="0" fontId="38" fillId="0" borderId="0" xfId="0" applyNumberFormat="1" applyFont="1" applyAlignment="1">
      <alignment horizontal="center"/>
    </xf>
    <xf numFmtId="0" fontId="37" fillId="0" borderId="0" xfId="0" applyNumberFormat="1" applyFont="1" applyAlignment="1"/>
    <xf numFmtId="0" fontId="38" fillId="0" borderId="2" xfId="0" applyNumberFormat="1" applyFont="1" applyBorder="1" applyAlignment="1">
      <alignment horizontal="center"/>
    </xf>
    <xf numFmtId="3" fontId="38" fillId="0" borderId="0" xfId="0" applyNumberFormat="1" applyFont="1" applyAlignment="1"/>
    <xf numFmtId="3" fontId="38" fillId="0" borderId="2" xfId="0" applyNumberFormat="1" applyFont="1" applyBorder="1" applyAlignment="1"/>
    <xf numFmtId="0" fontId="37" fillId="0" borderId="0" xfId="0" applyNumberFormat="1" applyFont="1"/>
    <xf numFmtId="3" fontId="38" fillId="0" borderId="3" xfId="0" applyNumberFormat="1" applyFont="1" applyBorder="1" applyAlignment="1"/>
    <xf numFmtId="3" fontId="37" fillId="0" borderId="0" xfId="0" applyNumberFormat="1" applyFont="1"/>
    <xf numFmtId="0" fontId="38" fillId="0" borderId="0" xfId="0" applyNumberFormat="1" applyFont="1" applyBorder="1" applyAlignment="1">
      <alignment horizontal="centerContinuous" vertical="top" wrapText="1"/>
    </xf>
    <xf numFmtId="0" fontId="38" fillId="0" borderId="0" xfId="0" applyNumberFormat="1" applyFont="1" applyBorder="1" applyAlignment="1"/>
    <xf numFmtId="0" fontId="11" fillId="0" borderId="4" xfId="0" applyFont="1" applyBorder="1" applyAlignment="1">
      <alignment horizontal="center"/>
    </xf>
    <xf numFmtId="164" fontId="3" fillId="0" borderId="8" xfId="0" applyNumberFormat="1" applyFont="1" applyBorder="1" applyAlignment="1"/>
    <xf numFmtId="164" fontId="3" fillId="5" borderId="4" xfId="0" applyNumberFormat="1" applyFont="1" applyFill="1" applyBorder="1" applyAlignment="1"/>
    <xf numFmtId="43" fontId="35" fillId="0" borderId="0" xfId="1" applyFont="1"/>
    <xf numFmtId="176" fontId="11" fillId="0" borderId="4" xfId="2" applyNumberFormat="1" applyFont="1" applyBorder="1"/>
    <xf numFmtId="171" fontId="1" fillId="0" borderId="0" xfId="1" applyNumberFormat="1" applyFont="1"/>
    <xf numFmtId="179" fontId="3" fillId="0" borderId="0" xfId="1" applyNumberFormat="1" applyFont="1" applyBorder="1" applyAlignment="1"/>
    <xf numFmtId="176" fontId="1" fillId="0" borderId="0" xfId="2" applyNumberFormat="1" applyFont="1" applyAlignment="1"/>
    <xf numFmtId="176" fontId="1" fillId="0" borderId="0" xfId="2" applyNumberFormat="1" applyFont="1" applyBorder="1" applyAlignment="1"/>
    <xf numFmtId="176" fontId="0" fillId="0" borderId="4" xfId="2" applyNumberFormat="1" applyFont="1" applyBorder="1"/>
    <xf numFmtId="176" fontId="1" fillId="0" borderId="4" xfId="2" applyNumberFormat="1" applyFont="1" applyBorder="1" applyAlignment="1"/>
    <xf numFmtId="0" fontId="3" fillId="0" borderId="0" xfId="0" applyNumberFormat="1" applyFont="1" applyAlignment="1">
      <alignment horizontal="center"/>
    </xf>
    <xf numFmtId="0" fontId="35" fillId="6" borderId="0" xfId="0" applyFont="1" applyFill="1"/>
    <xf numFmtId="0" fontId="3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Continuous"/>
    </xf>
    <xf numFmtId="0" fontId="39" fillId="0" borderId="0" xfId="0" applyNumberFormat="1" applyFont="1" applyAlignment="1"/>
    <xf numFmtId="0" fontId="39" fillId="0" borderId="0" xfId="0" applyNumberFormat="1" applyFont="1" applyAlignment="1">
      <alignment horizontal="left" vertical="top"/>
    </xf>
    <xf numFmtId="0" fontId="39" fillId="0" borderId="0" xfId="0" applyNumberFormat="1" applyFont="1" applyAlignment="1">
      <alignment horizontal="centerContinuous" vertical="top" wrapText="1"/>
    </xf>
    <xf numFmtId="0" fontId="39" fillId="0" borderId="0" xfId="0" applyNumberFormat="1" applyFont="1" applyAlignment="1">
      <alignment horizontal="center"/>
    </xf>
    <xf numFmtId="0" fontId="39" fillId="0" borderId="2" xfId="0" applyNumberFormat="1" applyFont="1" applyBorder="1" applyAlignment="1">
      <alignment horizontal="centerContinuous"/>
    </xf>
    <xf numFmtId="0" fontId="39" fillId="0" borderId="2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Continuous"/>
    </xf>
    <xf numFmtId="0" fontId="39" fillId="0" borderId="0" xfId="0" applyNumberFormat="1" applyFont="1" applyBorder="1" applyAlignment="1">
      <alignment horizontal="center"/>
    </xf>
    <xf numFmtId="0" fontId="40" fillId="0" borderId="0" xfId="0" applyNumberFormat="1" applyFont="1" applyAlignment="1"/>
    <xf numFmtId="0" fontId="41" fillId="0" borderId="0" xfId="0" applyNumberFormat="1" applyFont="1" applyAlignment="1"/>
    <xf numFmtId="164" fontId="39" fillId="0" borderId="0" xfId="0" applyNumberFormat="1" applyFont="1" applyAlignment="1"/>
    <xf numFmtId="0" fontId="39" fillId="0" borderId="0" xfId="0" applyNumberFormat="1" applyFont="1" applyBorder="1" applyAlignment="1"/>
    <xf numFmtId="164" fontId="42" fillId="0" borderId="0" xfId="0" applyNumberFormat="1" applyFont="1" applyBorder="1" applyAlignment="1"/>
    <xf numFmtId="0" fontId="1" fillId="0" borderId="0" xfId="0" applyNumberFormat="1" applyFont="1" applyAlignment="1">
      <alignment horizontal="centerContinuous"/>
    </xf>
    <xf numFmtId="0" fontId="19" fillId="0" borderId="0" xfId="0" applyFont="1"/>
    <xf numFmtId="0" fontId="39" fillId="0" borderId="4" xfId="0" applyNumberFormat="1" applyFont="1" applyBorder="1" applyAlignment="1">
      <alignment horizontal="center"/>
    </xf>
    <xf numFmtId="175" fontId="39" fillId="0" borderId="0" xfId="0" applyNumberFormat="1" applyFont="1" applyBorder="1" applyAlignment="1">
      <alignment horizontal="center"/>
    </xf>
    <xf numFmtId="0" fontId="41" fillId="0" borderId="0" xfId="0" applyNumberFormat="1" applyFont="1" applyBorder="1" applyAlignment="1">
      <alignment horizontal="center"/>
    </xf>
    <xf numFmtId="3" fontId="39" fillId="0" borderId="0" xfId="0" applyNumberFormat="1" applyFont="1" applyAlignment="1"/>
    <xf numFmtId="0" fontId="39" fillId="0" borderId="3" xfId="0" applyNumberFormat="1" applyFont="1" applyBorder="1" applyAlignment="1"/>
    <xf numFmtId="3" fontId="43" fillId="0" borderId="3" xfId="0" applyNumberFormat="1" applyFont="1" applyBorder="1" applyAlignment="1"/>
    <xf numFmtId="164" fontId="43" fillId="0" borderId="0" xfId="0" applyNumberFormat="1" applyFont="1" applyAlignment="1"/>
    <xf numFmtId="0" fontId="1" fillId="0" borderId="3" xfId="0" applyNumberFormat="1" applyFont="1" applyBorder="1" applyAlignment="1"/>
    <xf numFmtId="3" fontId="39" fillId="0" borderId="4" xfId="0" applyNumberFormat="1" applyFont="1" applyBorder="1" applyAlignment="1"/>
    <xf numFmtId="175" fontId="39" fillId="0" borderId="2" xfId="0" applyNumberFormat="1" applyFont="1" applyBorder="1" applyAlignment="1">
      <alignment horizontal="center"/>
    </xf>
    <xf numFmtId="0" fontId="39" fillId="0" borderId="2" xfId="0" applyNumberFormat="1" applyFont="1" applyBorder="1" applyAlignment="1"/>
    <xf numFmtId="171" fontId="39" fillId="0" borderId="0" xfId="1" applyNumberFormat="1" applyFont="1" applyAlignment="1"/>
    <xf numFmtId="171" fontId="39" fillId="0" borderId="0" xfId="1" applyNumberFormat="1" applyFont="1" applyAlignment="1">
      <alignment horizontal="center"/>
    </xf>
    <xf numFmtId="171" fontId="39" fillId="0" borderId="0" xfId="1" applyNumberFormat="1" applyFont="1" applyBorder="1" applyAlignment="1">
      <alignment horizontal="center"/>
    </xf>
    <xf numFmtId="0" fontId="44" fillId="0" borderId="0" xfId="0" applyNumberFormat="1" applyFont="1" applyAlignment="1"/>
    <xf numFmtId="171" fontId="39" fillId="0" borderId="0" xfId="1" applyNumberFormat="1" applyFont="1"/>
    <xf numFmtId="171" fontId="44" fillId="0" borderId="0" xfId="1" applyNumberFormat="1" applyFont="1" applyAlignment="1"/>
    <xf numFmtId="171" fontId="39" fillId="0" borderId="4" xfId="1" applyNumberFormat="1" applyFont="1" applyBorder="1"/>
    <xf numFmtId="171" fontId="39" fillId="0" borderId="2" xfId="1" applyNumberFormat="1" applyFont="1" applyBorder="1" applyAlignment="1"/>
    <xf numFmtId="171" fontId="44" fillId="0" borderId="0" xfId="1" applyNumberFormat="1" applyFont="1" applyBorder="1" applyAlignment="1"/>
    <xf numFmtId="171" fontId="39" fillId="0" borderId="0" xfId="1" applyNumberFormat="1" applyFont="1" applyBorder="1" applyAlignment="1"/>
    <xf numFmtId="171" fontId="39" fillId="0" borderId="3" xfId="1" applyNumberFormat="1" applyFont="1" applyBorder="1" applyAlignment="1"/>
    <xf numFmtId="171" fontId="39" fillId="0" borderId="4" xfId="1" applyNumberFormat="1" applyFont="1" applyBorder="1" applyAlignment="1"/>
    <xf numFmtId="171" fontId="39" fillId="0" borderId="0" xfId="1" applyNumberFormat="1" applyFont="1" applyAlignment="1">
      <alignment horizontal="centerContinuous"/>
    </xf>
    <xf numFmtId="0" fontId="39" fillId="0" borderId="0" xfId="0" applyNumberFormat="1" applyFont="1" applyAlignment="1">
      <alignment vertical="top"/>
    </xf>
    <xf numFmtId="171" fontId="39" fillId="0" borderId="0" xfId="1" applyNumberFormat="1" applyFont="1" applyAlignment="1">
      <alignment horizontal="centerContinuous" vertical="top" wrapText="1"/>
    </xf>
    <xf numFmtId="0" fontId="39" fillId="0" borderId="0" xfId="0" applyFont="1" applyAlignment="1"/>
    <xf numFmtId="0" fontId="39" fillId="0" borderId="4" xfId="0" applyNumberFormat="1" applyFont="1" applyBorder="1" applyAlignment="1">
      <alignment horizontal="centerContinuous"/>
    </xf>
    <xf numFmtId="0" fontId="39" fillId="0" borderId="4" xfId="0" applyFont="1" applyBorder="1" applyAlignment="1">
      <alignment horizontal="center"/>
    </xf>
    <xf numFmtId="171" fontId="39" fillId="0" borderId="4" xfId="1" applyNumberFormat="1" applyFont="1" applyBorder="1" applyAlignment="1">
      <alignment horizontal="center"/>
    </xf>
    <xf numFmtId="175" fontId="39" fillId="0" borderId="0" xfId="0" applyNumberFormat="1" applyFont="1" applyAlignment="1">
      <alignment horizontal="center"/>
    </xf>
    <xf numFmtId="175" fontId="39" fillId="0" borderId="0" xfId="1" applyNumberFormat="1" applyFont="1" applyAlignment="1">
      <alignment horizontal="center"/>
    </xf>
    <xf numFmtId="0" fontId="45" fillId="3" borderId="0" xfId="0" applyNumberFormat="1" applyFont="1" applyFill="1" applyAlignment="1"/>
    <xf numFmtId="176" fontId="39" fillId="0" borderId="0" xfId="2" applyNumberFormat="1" applyFont="1" applyProtection="1">
      <protection locked="0"/>
    </xf>
    <xf numFmtId="171" fontId="39" fillId="0" borderId="0" xfId="1" applyNumberFormat="1" applyFont="1" applyProtection="1">
      <protection locked="0"/>
    </xf>
    <xf numFmtId="171" fontId="45" fillId="3" borderId="6" xfId="1" applyNumberFormat="1" applyFont="1" applyFill="1" applyBorder="1" applyAlignment="1"/>
    <xf numFmtId="0" fontId="44" fillId="0" borderId="0" xfId="0" applyNumberFormat="1" applyFont="1" applyAlignment="1">
      <alignment horizontal="left" vertical="top"/>
    </xf>
    <xf numFmtId="0" fontId="39" fillId="3" borderId="0" xfId="0" applyNumberFormat="1" applyFont="1" applyFill="1" applyAlignment="1"/>
    <xf numFmtId="171" fontId="45" fillId="3" borderId="0" xfId="1" applyNumberFormat="1" applyFont="1" applyFill="1" applyBorder="1" applyAlignment="1"/>
    <xf numFmtId="171" fontId="45" fillId="3" borderId="10" xfId="1" applyNumberFormat="1" applyFont="1" applyFill="1" applyBorder="1" applyAlignment="1"/>
    <xf numFmtId="171" fontId="39" fillId="0" borderId="6" xfId="1" applyNumberFormat="1" applyFont="1" applyBorder="1" applyAlignment="1"/>
    <xf numFmtId="179" fontId="3" fillId="0" borderId="4" xfId="1" applyNumberFormat="1" applyFont="1" applyBorder="1" applyAlignment="1"/>
    <xf numFmtId="0" fontId="39" fillId="0" borderId="0" xfId="0" applyNumberFormat="1" applyFont="1" applyFill="1" applyAlignment="1"/>
    <xf numFmtId="3" fontId="42" fillId="0" borderId="0" xfId="0" applyNumberFormat="1" applyFont="1" applyBorder="1" applyAlignment="1"/>
    <xf numFmtId="164" fontId="39" fillId="0" borderId="0" xfId="0" applyNumberFormat="1" applyFont="1" applyFill="1" applyAlignment="1"/>
    <xf numFmtId="179" fontId="39" fillId="0" borderId="0" xfId="1" applyNumberFormat="1" applyFont="1" applyAlignment="1"/>
    <xf numFmtId="179" fontId="39" fillId="0" borderId="2" xfId="1" applyNumberFormat="1" applyFont="1" applyBorder="1" applyAlignment="1"/>
    <xf numFmtId="179" fontId="39" fillId="0" borderId="6" xfId="1" applyNumberFormat="1" applyFont="1" applyBorder="1" applyAlignment="1"/>
    <xf numFmtId="179" fontId="3" fillId="0" borderId="6" xfId="1" applyNumberFormat="1" applyFont="1" applyBorder="1" applyAlignment="1"/>
    <xf numFmtId="3" fontId="3" fillId="0" borderId="4" xfId="0" applyNumberFormat="1" applyFont="1" applyBorder="1" applyAlignment="1"/>
    <xf numFmtId="3" fontId="39" fillId="0" borderId="0" xfId="0" quotePrefix="1" applyNumberFormat="1" applyFont="1" applyAlignment="1"/>
    <xf numFmtId="171" fontId="8" fillId="0" borderId="0" xfId="1" applyNumberFormat="1" applyFont="1" applyBorder="1"/>
    <xf numFmtId="171" fontId="8" fillId="0" borderId="4" xfId="1" applyNumberFormat="1" applyFont="1" applyBorder="1"/>
    <xf numFmtId="171" fontId="8" fillId="0" borderId="6" xfId="1" applyNumberFormat="1" applyFont="1" applyBorder="1"/>
    <xf numFmtId="171" fontId="1" fillId="0" borderId="0" xfId="0" applyNumberFormat="1" applyFont="1" applyAlignment="1"/>
    <xf numFmtId="0" fontId="1" fillId="0" borderId="0" xfId="0" applyFont="1" applyFill="1" applyAlignment="1">
      <alignment horizontal="center"/>
    </xf>
    <xf numFmtId="41" fontId="35" fillId="0" borderId="4" xfId="0" applyNumberFormat="1" applyFont="1" applyFill="1" applyBorder="1"/>
    <xf numFmtId="0" fontId="35" fillId="0" borderId="0" xfId="0" applyFont="1" applyFill="1" applyBorder="1" applyAlignment="1">
      <alignment horizontal="center"/>
    </xf>
    <xf numFmtId="171" fontId="1" fillId="0" borderId="0" xfId="0" applyNumberFormat="1" applyFont="1" applyFill="1"/>
    <xf numFmtId="41" fontId="35" fillId="0" borderId="0" xfId="0" applyNumberFormat="1" applyFont="1" applyFill="1" applyBorder="1"/>
    <xf numFmtId="176" fontId="1" fillId="0" borderId="6" xfId="2" applyNumberFormat="1" applyFont="1" applyBorder="1" applyAlignment="1"/>
    <xf numFmtId="175" fontId="3" fillId="0" borderId="2" xfId="0" applyNumberFormat="1" applyFont="1" applyBorder="1" applyAlignment="1">
      <alignment horizontal="center"/>
    </xf>
    <xf numFmtId="176" fontId="1" fillId="0" borderId="6" xfId="2" applyNumberFormat="1" applyFont="1" applyFill="1" applyBorder="1" applyAlignment="1"/>
    <xf numFmtId="3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171" fontId="1" fillId="0" borderId="0" xfId="1" applyNumberFormat="1" applyFont="1" applyAlignment="1" applyProtection="1">
      <protection locked="0"/>
    </xf>
    <xf numFmtId="171" fontId="1" fillId="0" borderId="4" xfId="1" applyNumberFormat="1" applyFont="1" applyBorder="1" applyAlignment="1" applyProtection="1">
      <protection locked="0"/>
    </xf>
    <xf numFmtId="171" fontId="1" fillId="0" borderId="2" xfId="1" applyNumberFormat="1" applyFont="1" applyBorder="1" applyAlignment="1"/>
    <xf numFmtId="171" fontId="1" fillId="0" borderId="0" xfId="1" applyNumberFormat="1" applyFont="1" applyBorder="1" applyAlignment="1"/>
    <xf numFmtId="171" fontId="39" fillId="0" borderId="0" xfId="0" applyNumberFormat="1" applyFont="1" applyAlignment="1"/>
    <xf numFmtId="0" fontId="1" fillId="0" borderId="0" xfId="0" applyNumberFormat="1" applyFont="1" applyAlignment="1">
      <alignment horizontal="centerContinuous" vertical="top" wrapText="1"/>
    </xf>
    <xf numFmtId="0" fontId="39" fillId="0" borderId="0" xfId="0" applyNumberFormat="1" applyFont="1" applyAlignment="1">
      <alignment horizontal="center"/>
    </xf>
    <xf numFmtId="171" fontId="39" fillId="0" borderId="4" xfId="0" applyNumberFormat="1" applyFont="1" applyBorder="1" applyAlignment="1"/>
    <xf numFmtId="176" fontId="0" fillId="0" borderId="0" xfId="2" applyNumberFormat="1" applyFont="1" applyBorder="1"/>
    <xf numFmtId="3" fontId="1" fillId="0" borderId="4" xfId="0" applyNumberFormat="1" applyFont="1" applyBorder="1" applyAlignment="1">
      <alignment horizontal="centerContinuous"/>
    </xf>
    <xf numFmtId="0" fontId="39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75" fontId="39" fillId="0" borderId="2" xfId="0" quotePrefix="1" applyNumberFormat="1" applyFont="1" applyBorder="1" applyAlignment="1">
      <alignment horizontal="center"/>
    </xf>
    <xf numFmtId="164" fontId="39" fillId="0" borderId="2" xfId="0" applyNumberFormat="1" applyFont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0" borderId="0" xfId="0" applyNumberFormat="1" applyFont="1" applyAlignment="1" applyProtection="1">
      <protection locked="0"/>
    </xf>
    <xf numFmtId="1" fontId="11" fillId="0" borderId="0" xfId="0" applyNumberFormat="1" applyFont="1"/>
    <xf numFmtId="37" fontId="1" fillId="0" borderId="0" xfId="5" applyFont="1" applyFill="1" applyProtection="1"/>
    <xf numFmtId="43" fontId="1" fillId="0" borderId="0" xfId="1" applyFont="1" applyAlignment="1"/>
    <xf numFmtId="0" fontId="1" fillId="6" borderId="0" xfId="0" applyFont="1" applyFill="1"/>
    <xf numFmtId="0" fontId="35" fillId="7" borderId="9" xfId="0" applyFont="1" applyFill="1" applyBorder="1" applyAlignment="1">
      <alignment horizontal="center"/>
    </xf>
    <xf numFmtId="171" fontId="1" fillId="0" borderId="0" xfId="1" applyNumberFormat="1" applyFont="1" applyFill="1"/>
    <xf numFmtId="171" fontId="39" fillId="0" borderId="6" xfId="0" applyNumberFormat="1" applyFont="1" applyBorder="1" applyAlignment="1"/>
    <xf numFmtId="0" fontId="0" fillId="8" borderId="0" xfId="0" applyFill="1"/>
    <xf numFmtId="0" fontId="1" fillId="8" borderId="0" xfId="0" applyFont="1" applyFill="1"/>
    <xf numFmtId="0" fontId="46" fillId="8" borderId="0" xfId="0" applyFont="1" applyFill="1"/>
    <xf numFmtId="0" fontId="46" fillId="8" borderId="12" xfId="0" applyFont="1" applyFill="1" applyBorder="1" applyAlignment="1">
      <alignment horizontal="center"/>
    </xf>
    <xf numFmtId="179" fontId="1" fillId="0" borderId="0" xfId="0" applyNumberFormat="1" applyFont="1" applyAlignment="1"/>
    <xf numFmtId="173" fontId="1" fillId="0" borderId="4" xfId="0" applyNumberFormat="1" applyFont="1" applyBorder="1" applyAlignment="1"/>
    <xf numFmtId="43" fontId="1" fillId="0" borderId="0" xfId="0" applyNumberFormat="1" applyFont="1" applyBorder="1" applyAlignment="1"/>
    <xf numFmtId="171" fontId="1" fillId="0" borderId="0" xfId="1" applyNumberFormat="1" applyFont="1" applyFill="1" applyAlignment="1"/>
    <xf numFmtId="179" fontId="39" fillId="0" borderId="0" xfId="1" applyNumberFormat="1" applyFont="1" applyFill="1" applyAlignment="1"/>
    <xf numFmtId="0" fontId="1" fillId="0" borderId="0" xfId="0" applyNumberFormat="1" applyFont="1" applyFill="1" applyBorder="1" applyAlignment="1"/>
    <xf numFmtId="179" fontId="39" fillId="0" borderId="11" xfId="1" applyNumberFormat="1" applyFont="1" applyFill="1" applyBorder="1" applyAlignment="1"/>
    <xf numFmtId="171" fontId="39" fillId="0" borderId="0" xfId="1" applyNumberFormat="1" applyFont="1" applyFill="1" applyAlignment="1"/>
    <xf numFmtId="176" fontId="39" fillId="0" borderId="0" xfId="2" applyNumberFormat="1" applyFont="1" applyFill="1" applyBorder="1" applyAlignment="1"/>
    <xf numFmtId="171" fontId="39" fillId="0" borderId="0" xfId="1" applyNumberFormat="1" applyFont="1" applyFill="1" applyBorder="1" applyAlignment="1"/>
    <xf numFmtId="171" fontId="39" fillId="0" borderId="0" xfId="0" applyNumberFormat="1" applyFont="1" applyFill="1" applyBorder="1" applyAlignment="1"/>
    <xf numFmtId="171" fontId="39" fillId="0" borderId="4" xfId="1" applyNumberFormat="1" applyFont="1" applyFill="1" applyBorder="1" applyAlignment="1"/>
    <xf numFmtId="176" fontId="39" fillId="0" borderId="10" xfId="2" applyNumberFormat="1" applyFont="1" applyFill="1" applyBorder="1" applyAlignment="1"/>
    <xf numFmtId="171" fontId="1" fillId="0" borderId="0" xfId="1" applyNumberFormat="1" applyFont="1" applyFill="1" applyBorder="1" applyAlignment="1"/>
    <xf numFmtId="0" fontId="39" fillId="0" borderId="0" xfId="0" applyNumberFormat="1" applyFont="1" applyAlignment="1">
      <alignment horizontal="center"/>
    </xf>
    <xf numFmtId="176" fontId="45" fillId="3" borderId="10" xfId="2" applyNumberFormat="1" applyFont="1" applyFill="1" applyBorder="1" applyAlignment="1"/>
    <xf numFmtId="3" fontId="1" fillId="0" borderId="0" xfId="0" applyNumberFormat="1" applyFont="1" applyAlignment="1">
      <alignment horizontal="center"/>
    </xf>
    <xf numFmtId="3" fontId="3" fillId="9" borderId="0" xfId="0" applyNumberFormat="1" applyFont="1" applyFill="1" applyAlignment="1"/>
    <xf numFmtId="3" fontId="3" fillId="9" borderId="4" xfId="0" applyNumberFormat="1" applyFont="1" applyFill="1" applyBorder="1" applyAlignment="1"/>
    <xf numFmtId="0" fontId="0" fillId="9" borderId="0" xfId="0" applyFill="1"/>
    <xf numFmtId="0" fontId="3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9" fillId="0" borderId="4" xfId="0" applyNumberFormat="1" applyFont="1" applyBorder="1" applyAlignment="1">
      <alignment horizontal="center"/>
    </xf>
    <xf numFmtId="179" fontId="39" fillId="0" borderId="4" xfId="1" applyNumberFormat="1" applyFont="1" applyBorder="1" applyAlignment="1"/>
    <xf numFmtId="0" fontId="3" fillId="0" borderId="4" xfId="0" applyNumberFormat="1" applyFont="1" applyBorder="1" applyAlignment="1"/>
    <xf numFmtId="0" fontId="10" fillId="0" borderId="4" xfId="0" applyFont="1" applyFill="1" applyBorder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41" fontId="11" fillId="0" borderId="4" xfId="0" applyNumberFormat="1" applyFont="1" applyFill="1" applyBorder="1"/>
    <xf numFmtId="41" fontId="11" fillId="0" borderId="0" xfId="0" applyNumberFormat="1" applyFont="1" applyFill="1" applyBorder="1"/>
    <xf numFmtId="0" fontId="15" fillId="0" borderId="0" xfId="0" applyFont="1" applyFill="1"/>
    <xf numFmtId="41" fontId="11" fillId="0" borderId="5" xfId="0" applyNumberFormat="1" applyFont="1" applyFill="1" applyBorder="1"/>
    <xf numFmtId="0" fontId="13" fillId="0" borderId="0" xfId="0" applyFont="1" applyFill="1"/>
    <xf numFmtId="41" fontId="1" fillId="0" borderId="0" xfId="0" applyNumberFormat="1" applyFont="1" applyFill="1" applyBorder="1"/>
    <xf numFmtId="41" fontId="1" fillId="0" borderId="4" xfId="0" applyNumberFormat="1" applyFont="1" applyFill="1" applyBorder="1"/>
    <xf numFmtId="0" fontId="11" fillId="0" borderId="0" xfId="0" applyNumberFormat="1" applyFont="1" applyFill="1" applyAlignment="1"/>
    <xf numFmtId="40" fontId="11" fillId="0" borderId="0" xfId="0" applyNumberFormat="1" applyFont="1" applyFill="1" applyAlignment="1">
      <alignment horizontal="center"/>
    </xf>
    <xf numFmtId="41" fontId="37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Continuous"/>
    </xf>
    <xf numFmtId="3" fontId="1" fillId="0" borderId="2" xfId="0" applyNumberFormat="1" applyFont="1" applyFill="1" applyBorder="1" applyAlignment="1">
      <alignment horizontal="center"/>
    </xf>
    <xf numFmtId="37" fontId="1" fillId="0" borderId="2" xfId="0" applyNumberFormat="1" applyFont="1" applyFill="1" applyBorder="1" applyAlignment="1">
      <alignment horizontal="center"/>
    </xf>
    <xf numFmtId="171" fontId="1" fillId="0" borderId="4" xfId="1" applyNumberFormat="1" applyFont="1" applyFill="1" applyBorder="1" applyAlignment="1"/>
    <xf numFmtId="3" fontId="39" fillId="0" borderId="4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9" fillId="0" borderId="0" xfId="0" quotePrefix="1" applyNumberFormat="1" applyFont="1" applyFill="1" applyAlignment="1"/>
    <xf numFmtId="0" fontId="39" fillId="0" borderId="0" xfId="0" applyNumberFormat="1" applyFont="1" applyAlignment="1">
      <alignment horizontal="center"/>
    </xf>
    <xf numFmtId="0" fontId="39" fillId="0" borderId="4" xfId="0" applyNumberFormat="1" applyFont="1" applyBorder="1" applyAlignment="1">
      <alignment horizontal="center"/>
    </xf>
    <xf numFmtId="43" fontId="1" fillId="0" borderId="0" xfId="0" applyNumberFormat="1" applyFont="1" applyAlignment="1"/>
    <xf numFmtId="43" fontId="6" fillId="0" borderId="0" xfId="0" applyNumberFormat="1" applyFont="1" applyFill="1" applyBorder="1" applyAlignment="1">
      <alignment horizontal="left" vertical="top"/>
    </xf>
    <xf numFmtId="171" fontId="1" fillId="0" borderId="0" xfId="1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39" fillId="0" borderId="4" xfId="0" applyNumberFormat="1" applyFont="1" applyFill="1" applyBorder="1" applyAlignment="1">
      <alignment horizontal="center"/>
    </xf>
    <xf numFmtId="170" fontId="1" fillId="0" borderId="0" xfId="1" applyNumberFormat="1" applyFont="1" applyFill="1" applyAlignment="1"/>
    <xf numFmtId="0" fontId="1" fillId="0" borderId="4" xfId="0" applyNumberFormat="1" applyFont="1" applyFill="1" applyBorder="1" applyAlignment="1"/>
    <xf numFmtId="179" fontId="39" fillId="0" borderId="6" xfId="1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right"/>
    </xf>
    <xf numFmtId="176" fontId="39" fillId="0" borderId="0" xfId="2" applyNumberFormat="1" applyFont="1" applyAlignment="1"/>
    <xf numFmtId="10" fontId="1" fillId="0" borderId="0" xfId="13" applyNumberFormat="1" applyFont="1" applyFill="1"/>
    <xf numFmtId="171" fontId="1" fillId="0" borderId="0" xfId="0" applyNumberFormat="1" applyFont="1" applyFill="1" applyBorder="1" applyAlignment="1"/>
    <xf numFmtId="179" fontId="39" fillId="0" borderId="2" xfId="1" applyNumberFormat="1" applyFont="1" applyFill="1" applyBorder="1" applyAlignment="1"/>
    <xf numFmtId="176" fontId="45" fillId="0" borderId="6" xfId="2" applyNumberFormat="1" applyFont="1" applyFill="1" applyBorder="1" applyAlignment="1"/>
    <xf numFmtId="17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1" fillId="0" borderId="4" xfId="0" quotePrefix="1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39" fillId="0" borderId="0" xfId="1" applyNumberFormat="1" applyFont="1" applyFill="1" applyAlignment="1"/>
    <xf numFmtId="171" fontId="1" fillId="0" borderId="4" xfId="1" applyNumberFormat="1" applyFont="1" applyFill="1" applyBorder="1" applyAlignment="1">
      <alignment horizontal="center"/>
    </xf>
    <xf numFmtId="171" fontId="1" fillId="0" borderId="4" xfId="0" applyNumberFormat="1" applyFont="1" applyBorder="1" applyAlignment="1"/>
    <xf numFmtId="43" fontId="39" fillId="3" borderId="0" xfId="1" applyNumberFormat="1" applyFont="1" applyFill="1" applyAlignment="1"/>
    <xf numFmtId="168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39" fillId="0" borderId="4" xfId="0" applyNumberFormat="1" applyFont="1" applyBorder="1" applyAlignment="1"/>
    <xf numFmtId="176" fontId="39" fillId="0" borderId="6" xfId="2" applyNumberFormat="1" applyFont="1" applyBorder="1" applyAlignment="1"/>
    <xf numFmtId="0" fontId="39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Continuous"/>
    </xf>
    <xf numFmtId="3" fontId="35" fillId="0" borderId="0" xfId="0" applyNumberFormat="1" applyFont="1" applyFill="1" applyAlignment="1">
      <alignment horizontal="centerContinuous"/>
    </xf>
    <xf numFmtId="3" fontId="11" fillId="0" borderId="0" xfId="0" applyNumberFormat="1" applyFont="1" applyFill="1" applyAlignment="1"/>
    <xf numFmtId="3" fontId="11" fillId="0" borderId="0" xfId="0" applyNumberFormat="1" applyFont="1" applyFill="1" applyAlignment="1">
      <alignment horizontal="centerContinuous"/>
    </xf>
    <xf numFmtId="3" fontId="1" fillId="0" borderId="2" xfId="0" applyNumberFormat="1" applyFont="1" applyFill="1" applyBorder="1" applyAlignment="1"/>
    <xf numFmtId="3" fontId="1" fillId="0" borderId="2" xfId="0" applyNumberFormat="1" applyFont="1" applyFill="1" applyBorder="1" applyAlignment="1" applyProtection="1">
      <alignment horizontal="centerContinuous"/>
      <protection locked="0"/>
    </xf>
    <xf numFmtId="3" fontId="1" fillId="0" borderId="4" xfId="0" applyNumberFormat="1" applyFont="1" applyFill="1" applyBorder="1" applyAlignment="1">
      <alignment horizontal="centerContinuous"/>
    </xf>
    <xf numFmtId="3" fontId="10" fillId="0" borderId="0" xfId="0" applyNumberFormat="1" applyFont="1" applyFill="1" applyAlignment="1"/>
    <xf numFmtId="3" fontId="1" fillId="0" borderId="0" xfId="0" applyNumberFormat="1" applyFont="1" applyFill="1" applyBorder="1" applyAlignment="1"/>
    <xf numFmtId="176" fontId="1" fillId="0" borderId="0" xfId="2" applyNumberFormat="1" applyFont="1" applyFill="1" applyAlignment="1"/>
    <xf numFmtId="173" fontId="1" fillId="0" borderId="0" xfId="0" applyNumberFormat="1" applyFont="1" applyFill="1" applyBorder="1" applyAlignment="1"/>
    <xf numFmtId="173" fontId="1" fillId="0" borderId="0" xfId="0" applyNumberFormat="1" applyFont="1" applyFill="1" applyAlignment="1"/>
    <xf numFmtId="173" fontId="1" fillId="0" borderId="4" xfId="0" applyNumberFormat="1" applyFont="1" applyFill="1" applyBorder="1" applyAlignment="1"/>
    <xf numFmtId="3" fontId="1" fillId="0" borderId="3" xfId="0" applyNumberFormat="1" applyFont="1" applyFill="1" applyBorder="1" applyAlignment="1"/>
    <xf numFmtId="37" fontId="1" fillId="0" borderId="0" xfId="0" applyNumberFormat="1" applyFont="1" applyFill="1" applyAlignment="1"/>
    <xf numFmtId="167" fontId="1" fillId="0" borderId="6" xfId="0" applyNumberFormat="1" applyFont="1" applyFill="1" applyBorder="1" applyAlignment="1"/>
    <xf numFmtId="166" fontId="1" fillId="0" borderId="0" xfId="0" applyNumberFormat="1" applyFont="1" applyFill="1" applyAlignment="1"/>
    <xf numFmtId="166" fontId="1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44" fontId="1" fillId="0" borderId="0" xfId="2" applyFont="1" applyAlignment="1"/>
    <xf numFmtId="0" fontId="1" fillId="0" borderId="0" xfId="0" applyFont="1" applyAlignment="1">
      <alignment horizontal="center"/>
    </xf>
    <xf numFmtId="0" fontId="47" fillId="0" borderId="0" xfId="0" applyNumberFormat="1" applyFont="1" applyAlignment="1">
      <alignment horizontal="centerContinuous"/>
    </xf>
    <xf numFmtId="0" fontId="0" fillId="0" borderId="0" xfId="0" applyNumberFormat="1" applyFont="1" applyAlignment="1" applyProtection="1">
      <protection locked="0"/>
    </xf>
    <xf numFmtId="0" fontId="47" fillId="0" borderId="0" xfId="0" applyNumberFormat="1" applyFont="1" applyAlignment="1"/>
    <xf numFmtId="0" fontId="18" fillId="0" borderId="0" xfId="0" applyNumberFormat="1" applyFont="1" applyAlignment="1"/>
    <xf numFmtId="0" fontId="48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>
      <alignment horizontal="centerContinuous"/>
    </xf>
    <xf numFmtId="0" fontId="48" fillId="0" borderId="0" xfId="0" applyNumberFormat="1" applyFont="1" applyFill="1" applyAlignment="1">
      <alignment horizontal="centerContinuous"/>
    </xf>
    <xf numFmtId="3" fontId="48" fillId="0" borderId="0" xfId="0" applyNumberFormat="1" applyFont="1" applyAlignment="1">
      <alignment horizontal="centerContinuous"/>
    </xf>
    <xf numFmtId="180" fontId="48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81" fontId="48" fillId="0" borderId="0" xfId="0" applyNumberFormat="1" applyFont="1" applyAlignment="1">
      <alignment horizontal="centerContinuous"/>
    </xf>
    <xf numFmtId="0" fontId="47" fillId="0" borderId="0" xfId="0" applyNumberFormat="1" applyFont="1" applyFill="1" applyAlignment="1">
      <alignment horizontal="centerContinuous"/>
    </xf>
    <xf numFmtId="0" fontId="47" fillId="0" borderId="0" xfId="0" applyNumberFormat="1" applyFont="1" applyFill="1" applyBorder="1" applyAlignment="1">
      <alignment horizontal="centerContinuous"/>
    </xf>
    <xf numFmtId="0" fontId="48" fillId="0" borderId="0" xfId="0" applyNumberFormat="1" applyFont="1" applyAlignment="1"/>
    <xf numFmtId="0" fontId="0" fillId="0" borderId="0" xfId="0" applyNumberFormat="1" applyFont="1" applyFill="1" applyAlignment="1"/>
    <xf numFmtId="0" fontId="48" fillId="0" borderId="0" xfId="0" applyNumberFormat="1" applyFont="1" applyFill="1" applyAlignment="1"/>
    <xf numFmtId="3" fontId="48" fillId="0" borderId="0" xfId="0" applyNumberFormat="1" applyFont="1" applyAlignment="1"/>
    <xf numFmtId="180" fontId="48" fillId="0" borderId="0" xfId="0" applyNumberFormat="1" applyFont="1" applyAlignment="1"/>
    <xf numFmtId="3" fontId="0" fillId="0" borderId="0" xfId="0" applyNumberFormat="1" applyFont="1" applyAlignment="1"/>
    <xf numFmtId="181" fontId="48" fillId="0" borderId="0" xfId="0" applyNumberFormat="1" applyFont="1" applyAlignment="1"/>
    <xf numFmtId="0" fontId="49" fillId="0" borderId="0" xfId="0" applyNumberFormat="1" applyFont="1" applyAlignment="1"/>
    <xf numFmtId="0" fontId="18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/>
    <xf numFmtId="3" fontId="49" fillId="0" borderId="0" xfId="0" applyNumberFormat="1" applyFont="1" applyAlignment="1"/>
    <xf numFmtId="3" fontId="49" fillId="0" borderId="0" xfId="0" applyNumberFormat="1" applyFont="1" applyAlignment="1">
      <alignment horizontal="center"/>
    </xf>
    <xf numFmtId="180" fontId="18" fillId="0" borderId="0" xfId="0" applyNumberFormat="1" applyFont="1" applyBorder="1" applyAlignment="1">
      <alignment horizontal="centerContinuous"/>
    </xf>
    <xf numFmtId="3" fontId="49" fillId="0" borderId="0" xfId="0" applyNumberFormat="1" applyFont="1" applyBorder="1" applyAlignment="1">
      <alignment horizontal="centerContinuous"/>
    </xf>
    <xf numFmtId="3" fontId="18" fillId="0" borderId="0" xfId="0" applyNumberFormat="1" applyFont="1" applyBorder="1" applyAlignment="1">
      <alignment horizontal="centerContinuous"/>
    </xf>
    <xf numFmtId="0" fontId="49" fillId="0" borderId="0" xfId="0" applyNumberFormat="1" applyFont="1" applyAlignment="1">
      <alignment horizontal="center"/>
    </xf>
    <xf numFmtId="181" fontId="49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0" fontId="18" fillId="0" borderId="0" xfId="0" applyNumberFormat="1" applyFont="1" applyFill="1" applyAlignment="1">
      <alignment horizontal="centerContinuous"/>
    </xf>
    <xf numFmtId="180" fontId="18" fillId="0" borderId="4" xfId="0" applyNumberFormat="1" applyFont="1" applyBorder="1" applyAlignment="1">
      <alignment horizontal="centerContinuous"/>
    </xf>
    <xf numFmtId="3" fontId="49" fillId="0" borderId="4" xfId="0" applyNumberFormat="1" applyFont="1" applyBorder="1" applyAlignment="1">
      <alignment horizontal="centerContinuous"/>
    </xf>
    <xf numFmtId="3" fontId="18" fillId="0" borderId="4" xfId="0" applyNumberFormat="1" applyFont="1" applyBorder="1" applyAlignment="1">
      <alignment horizontal="centerContinuous"/>
    </xf>
    <xf numFmtId="0" fontId="18" fillId="0" borderId="0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Continuous"/>
    </xf>
    <xf numFmtId="0" fontId="18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0" fontId="18" fillId="0" borderId="4" xfId="0" applyNumberFormat="1" applyFont="1" applyFill="1" applyBorder="1" applyAlignment="1">
      <alignment horizontal="centerContinuous"/>
    </xf>
    <xf numFmtId="180" fontId="18" fillId="0" borderId="0" xfId="0" applyNumberFormat="1" applyFont="1" applyAlignment="1">
      <alignment horizontal="centerContinuous"/>
    </xf>
    <xf numFmtId="3" fontId="18" fillId="0" borderId="0" xfId="0" applyNumberFormat="1" applyFont="1" applyAlignment="1">
      <alignment horizontal="center"/>
    </xf>
    <xf numFmtId="181" fontId="49" fillId="0" borderId="13" xfId="0" applyNumberFormat="1" applyFont="1" applyBorder="1" applyAlignment="1">
      <alignment horizontal="center"/>
    </xf>
    <xf numFmtId="0" fontId="18" fillId="0" borderId="8" xfId="0" quotePrefix="1" applyNumberFormat="1" applyFont="1" applyBorder="1" applyAlignment="1">
      <alignment horizontal="centerContinuous"/>
    </xf>
    <xf numFmtId="37" fontId="49" fillId="0" borderId="2" xfId="0" quotePrefix="1" applyNumberFormat="1" applyFont="1" applyBorder="1" applyAlignment="1">
      <alignment horizontal="center"/>
    </xf>
    <xf numFmtId="37" fontId="49" fillId="0" borderId="2" xfId="0" quotePrefix="1" applyNumberFormat="1" applyFont="1" applyBorder="1" applyAlignment="1">
      <alignment horizontal="centerContinuous"/>
    </xf>
    <xf numFmtId="0" fontId="18" fillId="0" borderId="0" xfId="0" applyNumberFormat="1" applyFont="1" applyBorder="1" applyAlignment="1">
      <alignment horizontal="centerContinuous"/>
    </xf>
    <xf numFmtId="0" fontId="50" fillId="0" borderId="0" xfId="0" applyNumberFormat="1" applyFont="1" applyAlignme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 applyProtection="1">
      <protection locked="0"/>
    </xf>
    <xf numFmtId="18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>
      <alignment horizontal="center"/>
    </xf>
    <xf numFmtId="181" fontId="0" fillId="0" borderId="0" xfId="0" applyNumberFormat="1" applyFont="1" applyAlignment="1" applyProtection="1">
      <protection locked="0"/>
    </xf>
    <xf numFmtId="0" fontId="51" fillId="0" borderId="0" xfId="0" applyNumberFormat="1" applyFont="1" applyAlignment="1"/>
    <xf numFmtId="0" fontId="6" fillId="0" borderId="0" xfId="0" applyNumberFormat="1" applyFont="1" applyFill="1" applyAlignment="1"/>
    <xf numFmtId="3" fontId="0" fillId="0" borderId="0" xfId="0" applyNumberFormat="1" applyFill="1"/>
    <xf numFmtId="43" fontId="0" fillId="0" borderId="0" xfId="1" applyFont="1" applyAlignment="1" applyProtection="1">
      <protection locked="0"/>
    </xf>
    <xf numFmtId="0" fontId="6" fillId="0" borderId="0" xfId="15" applyNumberFormat="1" applyFont="1" applyAlignment="1">
      <alignment horizontal="left"/>
    </xf>
    <xf numFmtId="0" fontId="6" fillId="0" borderId="0" xfId="15" applyNumberFormat="1" applyFont="1" applyAlignment="1"/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/>
    <xf numFmtId="182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right"/>
    </xf>
    <xf numFmtId="0" fontId="0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/>
    <xf numFmtId="181" fontId="0" fillId="0" borderId="0" xfId="0" applyNumberFormat="1"/>
    <xf numFmtId="168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/>
    <xf numFmtId="168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indent="2"/>
    </xf>
    <xf numFmtId="0" fontId="6" fillId="0" borderId="0" xfId="0" applyNumberFormat="1" applyFont="1" applyFill="1" applyBorder="1" applyAlignment="1"/>
    <xf numFmtId="0" fontId="52" fillId="0" borderId="0" xfId="0" applyNumberFormat="1" applyFont="1" applyFill="1" applyBorder="1" applyAlignment="1"/>
    <xf numFmtId="0" fontId="3" fillId="0" borderId="0" xfId="0" applyFont="1" applyFill="1" applyAlignment="1">
      <alignment horizontal="centerContinuous"/>
    </xf>
    <xf numFmtId="43" fontId="3" fillId="0" borderId="0" xfId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0" fillId="0" borderId="0" xfId="0" quotePrefix="1" applyNumberFormat="1" applyFont="1" applyFill="1" applyAlignment="1">
      <alignment horizontal="centerContinuous"/>
    </xf>
    <xf numFmtId="0" fontId="52" fillId="0" borderId="0" xfId="0" applyNumberFormat="1" applyFont="1" applyBorder="1" applyAlignment="1"/>
    <xf numFmtId="0" fontId="6" fillId="0" borderId="0" xfId="0" applyNumberFormat="1" applyFont="1" applyFill="1" applyAlignment="1">
      <alignment horizontal="left"/>
    </xf>
    <xf numFmtId="0" fontId="53" fillId="0" borderId="0" xfId="0" applyFont="1" applyFill="1"/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 applyProtection="1">
      <protection locked="0"/>
    </xf>
    <xf numFmtId="0" fontId="0" fillId="0" borderId="0" xfId="0" applyNumberFormat="1" applyFont="1" applyAlignment="1"/>
    <xf numFmtId="0" fontId="0" fillId="0" borderId="0" xfId="0" applyNumberFormat="1" applyFont="1" applyFill="1" applyAlignment="1">
      <alignment horizontal="left"/>
    </xf>
    <xf numFmtId="0" fontId="51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0" fontId="0" fillId="0" borderId="0" xfId="0" applyNumberFormat="1" applyAlignment="1"/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Fill="1" applyAlignment="1"/>
    <xf numFmtId="0" fontId="3" fillId="0" borderId="0" xfId="14" applyNumberFormat="1" applyFont="1" applyFill="1" applyAlignment="1">
      <alignment horizontal="left"/>
    </xf>
    <xf numFmtId="0" fontId="3" fillId="0" borderId="0" xfId="14" applyNumberFormat="1" applyFont="1" applyFill="1" applyAlignment="1" applyProtection="1">
      <protection locked="0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Fill="1" applyAlignment="1"/>
    <xf numFmtId="37" fontId="49" fillId="0" borderId="0" xfId="15" applyNumberFormat="1" applyFont="1" applyFill="1" applyAlignment="1"/>
    <xf numFmtId="43" fontId="49" fillId="0" borderId="0" xfId="1" applyFont="1" applyFill="1" applyAlignment="1"/>
    <xf numFmtId="0" fontId="0" fillId="0" borderId="0" xfId="0" applyNumberFormat="1" applyFill="1" applyAlignment="1"/>
    <xf numFmtId="168" fontId="6" fillId="0" borderId="0" xfId="0" applyNumberFormat="1" applyFont="1" applyFill="1" applyAlignment="1">
      <alignment horizontal="left"/>
    </xf>
    <xf numFmtId="37" fontId="49" fillId="0" borderId="0" xfId="15" applyNumberFormat="1" applyFont="1" applyFill="1" applyBorder="1" applyAlignment="1"/>
    <xf numFmtId="0" fontId="0" fillId="0" borderId="8" xfId="0" applyNumberFormat="1" applyFont="1" applyBorder="1" applyAlignment="1" applyProtection="1">
      <protection locked="0"/>
    </xf>
    <xf numFmtId="0" fontId="54" fillId="0" borderId="0" xfId="0" applyNumberFormat="1" applyFont="1" applyAlignment="1" applyProtection="1">
      <protection locked="0"/>
    </xf>
    <xf numFmtId="0" fontId="3" fillId="0" borderId="8" xfId="0" applyNumberFormat="1" applyFont="1" applyBorder="1" applyAlignment="1"/>
    <xf numFmtId="0" fontId="3" fillId="0" borderId="0" xfId="16" applyNumberFormat="1" applyFont="1" applyAlignment="1"/>
    <xf numFmtId="183" fontId="0" fillId="0" borderId="0" xfId="0" applyNumberFormat="1" applyAlignment="1">
      <alignment horizontal="right" indent="2"/>
    </xf>
    <xf numFmtId="180" fontId="0" fillId="0" borderId="0" xfId="0" applyNumberFormat="1"/>
    <xf numFmtId="0" fontId="11" fillId="0" borderId="0" xfId="0" applyFont="1" applyAlignment="1">
      <alignment horizontal="left"/>
    </xf>
    <xf numFmtId="0" fontId="18" fillId="0" borderId="0" xfId="0" applyNumberFormat="1" applyFont="1" applyAlignment="1">
      <alignment horizontal="centerContinuous"/>
    </xf>
    <xf numFmtId="37" fontId="18" fillId="0" borderId="2" xfId="0" quotePrefix="1" applyNumberFormat="1" applyFont="1" applyBorder="1" applyAlignment="1">
      <alignment horizontal="center"/>
    </xf>
    <xf numFmtId="37" fontId="18" fillId="0" borderId="0" xfId="15" applyNumberFormat="1" applyFont="1" applyFill="1" applyBorder="1" applyAlignment="1"/>
    <xf numFmtId="0" fontId="1" fillId="0" borderId="0" xfId="0" applyNumberFormat="1" applyFont="1" applyBorder="1"/>
    <xf numFmtId="42" fontId="1" fillId="0" borderId="0" xfId="0" applyNumberFormat="1" applyFont="1" applyAlignment="1" applyProtection="1">
      <protection locked="0"/>
    </xf>
    <xf numFmtId="37" fontId="55" fillId="0" borderId="0" xfId="5" applyFont="1"/>
    <xf numFmtId="0" fontId="37" fillId="0" borderId="0" xfId="0" applyFont="1" applyFill="1"/>
    <xf numFmtId="37" fontId="37" fillId="0" borderId="0" xfId="5" applyFont="1" applyFill="1"/>
    <xf numFmtId="37" fontId="37" fillId="0" borderId="0" xfId="5" applyNumberFormat="1" applyFont="1" applyFill="1" applyProtection="1"/>
    <xf numFmtId="37" fontId="55" fillId="0" borderId="0" xfId="5" applyFont="1" applyFill="1" applyProtection="1"/>
    <xf numFmtId="171" fontId="37" fillId="0" borderId="0" xfId="1" applyNumberFormat="1" applyFont="1"/>
    <xf numFmtId="37" fontId="37" fillId="0" borderId="0" xfId="5" applyFont="1" applyFill="1" applyAlignment="1">
      <alignment horizontal="center"/>
    </xf>
    <xf numFmtId="37" fontId="37" fillId="0" borderId="0" xfId="5" applyNumberFormat="1" applyFont="1" applyFill="1" applyProtection="1">
      <protection locked="0"/>
    </xf>
    <xf numFmtId="37" fontId="37" fillId="0" borderId="5" xfId="5" applyNumberFormat="1" applyFont="1" applyFill="1" applyBorder="1" applyProtection="1">
      <protection locked="0"/>
    </xf>
    <xf numFmtId="0" fontId="37" fillId="0" borderId="0" xfId="0" applyFont="1" applyFill="1" applyAlignment="1">
      <alignment horizontal="center"/>
    </xf>
    <xf numFmtId="37" fontId="56" fillId="0" borderId="0" xfId="5" applyFont="1" applyFill="1" applyProtection="1"/>
    <xf numFmtId="0" fontId="37" fillId="0" borderId="0" xfId="0" applyFont="1" applyFill="1" applyBorder="1" applyAlignment="1">
      <alignment horizontal="center"/>
    </xf>
    <xf numFmtId="37" fontId="37" fillId="0" borderId="0" xfId="0" applyNumberFormat="1" applyFont="1" applyFill="1"/>
    <xf numFmtId="171" fontId="37" fillId="0" borderId="0" xfId="1" applyNumberFormat="1" applyFont="1" applyFill="1" applyProtection="1"/>
    <xf numFmtId="171" fontId="37" fillId="0" borderId="4" xfId="1" applyNumberFormat="1" applyFont="1" applyFill="1" applyBorder="1" applyProtection="1"/>
    <xf numFmtId="0" fontId="37" fillId="0" borderId="0" xfId="0" applyFont="1" applyFill="1" applyBorder="1"/>
    <xf numFmtId="171" fontId="37" fillId="0" borderId="0" xfId="1" applyNumberFormat="1" applyFont="1" applyFill="1" applyBorder="1"/>
    <xf numFmtId="171" fontId="37" fillId="0" borderId="0" xfId="1" applyNumberFormat="1" applyFont="1" applyFill="1"/>
    <xf numFmtId="37" fontId="37" fillId="0" borderId="0" xfId="5" applyNumberFormat="1" applyFont="1" applyFill="1" applyBorder="1" applyProtection="1">
      <protection locked="0"/>
    </xf>
    <xf numFmtId="37" fontId="37" fillId="0" borderId="0" xfId="0" applyNumberFormat="1" applyFont="1"/>
    <xf numFmtId="37" fontId="55" fillId="0" borderId="0" xfId="5" applyFont="1" applyFill="1"/>
    <xf numFmtId="37" fontId="55" fillId="0" borderId="0" xfId="5" applyFont="1" applyFill="1" applyAlignment="1">
      <alignment horizontal="center"/>
    </xf>
    <xf numFmtId="3" fontId="37" fillId="0" borderId="0" xfId="5" quotePrefix="1" applyNumberFormat="1" applyFont="1" applyFill="1" applyAlignment="1">
      <alignment horizontal="center"/>
    </xf>
    <xf numFmtId="37" fontId="55" fillId="0" borderId="0" xfId="5" applyNumberFormat="1" applyFont="1" applyFill="1" applyProtection="1">
      <protection locked="0"/>
    </xf>
    <xf numFmtId="37" fontId="55" fillId="0" borderId="0" xfId="5" applyFont="1" applyFill="1" applyBorder="1"/>
    <xf numFmtId="37" fontId="37" fillId="0" borderId="0" xfId="5" applyNumberFormat="1" applyFont="1" applyFill="1" applyBorder="1" applyProtection="1"/>
    <xf numFmtId="37" fontId="37" fillId="0" borderId="0" xfId="5" applyNumberFormat="1" applyFont="1" applyFill="1" applyBorder="1" applyAlignment="1" applyProtection="1">
      <alignment horizontal="center"/>
    </xf>
    <xf numFmtId="37" fontId="37" fillId="0" borderId="0" xfId="0" applyNumberFormat="1" applyFont="1" applyFill="1" applyBorder="1"/>
    <xf numFmtId="37" fontId="55" fillId="0" borderId="0" xfId="5" applyFont="1" applyFill="1" applyBorder="1" applyAlignment="1">
      <alignment horizontal="center"/>
    </xf>
    <xf numFmtId="37" fontId="37" fillId="0" borderId="0" xfId="5" applyFont="1" applyFill="1" applyBorder="1" applyProtection="1"/>
    <xf numFmtId="168" fontId="37" fillId="0" borderId="0" xfId="0" applyNumberFormat="1" applyFont="1" applyBorder="1" applyAlignment="1">
      <alignment horizontal="center"/>
    </xf>
    <xf numFmtId="37" fontId="55" fillId="0" borderId="0" xfId="5" applyFont="1" applyFill="1" applyBorder="1" applyAlignment="1">
      <alignment horizontal="right"/>
    </xf>
    <xf numFmtId="37" fontId="37" fillId="5" borderId="0" xfId="0" applyNumberFormat="1" applyFont="1" applyFill="1" applyBorder="1"/>
    <xf numFmtId="37" fontId="37" fillId="5" borderId="0" xfId="5" applyFont="1" applyFill="1" applyBorder="1" applyProtection="1"/>
    <xf numFmtId="37" fontId="37" fillId="0" borderId="0" xfId="0" applyNumberFormat="1" applyFont="1" applyFill="1" applyBorder="1" applyAlignment="1">
      <alignment horizontal="center"/>
    </xf>
    <xf numFmtId="171" fontId="37" fillId="0" borderId="0" xfId="1" applyNumberFormat="1" applyFont="1" applyFill="1" applyBorder="1" applyProtection="1">
      <protection locked="0"/>
    </xf>
    <xf numFmtId="10" fontId="37" fillId="0" borderId="0" xfId="13" applyNumberFormat="1" applyFont="1" applyFill="1" applyBorder="1"/>
    <xf numFmtId="37" fontId="37" fillId="0" borderId="0" xfId="5" applyFont="1" applyFill="1" applyBorder="1" applyAlignment="1">
      <alignment horizontal="center"/>
    </xf>
    <xf numFmtId="37" fontId="37" fillId="0" borderId="0" xfId="4" applyNumberFormat="1" applyFont="1" applyFill="1" applyBorder="1" applyProtection="1"/>
    <xf numFmtId="37" fontId="55" fillId="4" borderId="0" xfId="5" applyFont="1" applyFill="1" applyBorder="1" applyAlignment="1">
      <alignment horizontal="center"/>
    </xf>
    <xf numFmtId="10" fontId="37" fillId="0" borderId="0" xfId="13" applyNumberFormat="1" applyFont="1" applyFill="1" applyBorder="1" applyAlignment="1">
      <alignment horizontal="right"/>
    </xf>
    <xf numFmtId="0" fontId="37" fillId="0" borderId="0" xfId="0" applyNumberFormat="1" applyFont="1" applyBorder="1" applyAlignment="1"/>
    <xf numFmtId="37" fontId="37" fillId="0" borderId="0" xfId="4" applyNumberFormat="1" applyFont="1" applyFill="1" applyBorder="1" applyAlignment="1" applyProtection="1">
      <alignment horizontal="center"/>
    </xf>
    <xf numFmtId="37" fontId="55" fillId="0" borderId="0" xfId="5" applyFont="1" applyFill="1" applyBorder="1" applyProtection="1"/>
    <xf numFmtId="171" fontId="11" fillId="0" borderId="0" xfId="0" applyNumberFormat="1" applyFont="1"/>
    <xf numFmtId="41" fontId="37" fillId="0" borderId="0" xfId="0" applyNumberFormat="1" applyFont="1" applyFill="1" applyBorder="1"/>
    <xf numFmtId="41" fontId="46" fillId="0" borderId="0" xfId="0" applyNumberFormat="1" applyFont="1" applyFill="1" applyBorder="1"/>
    <xf numFmtId="171" fontId="0" fillId="0" borderId="0" xfId="0" applyNumberFormat="1" applyFill="1" applyBorder="1"/>
    <xf numFmtId="37" fontId="56" fillId="0" borderId="0" xfId="5" applyFont="1" applyFill="1" applyBorder="1" applyAlignment="1">
      <alignment horizontal="center"/>
    </xf>
    <xf numFmtId="0" fontId="46" fillId="0" borderId="0" xfId="0" applyNumberFormat="1" applyFont="1" applyBorder="1" applyAlignment="1" applyProtection="1">
      <protection locked="0"/>
    </xf>
    <xf numFmtId="37" fontId="58" fillId="0" borderId="0" xfId="5" applyFont="1" applyFill="1" applyBorder="1"/>
    <xf numFmtId="37" fontId="46" fillId="0" borderId="0" xfId="5" applyNumberFormat="1" applyFont="1" applyFill="1" applyBorder="1" applyAlignment="1" applyProtection="1">
      <alignment horizontal="center"/>
    </xf>
    <xf numFmtId="171" fontId="46" fillId="0" borderId="0" xfId="1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Border="1"/>
    <xf numFmtId="165" fontId="37" fillId="0" borderId="0" xfId="0" applyNumberFormat="1" applyFont="1" applyBorder="1" applyAlignment="1">
      <alignment horizontal="left"/>
    </xf>
    <xf numFmtId="168" fontId="37" fillId="0" borderId="0" xfId="0" applyNumberFormat="1" applyFont="1" applyBorder="1" applyAlignment="1">
      <alignment horizontal="left"/>
    </xf>
    <xf numFmtId="0" fontId="46" fillId="0" borderId="0" xfId="0" applyNumberFormat="1" applyFont="1" applyBorder="1" applyAlignment="1"/>
    <xf numFmtId="0" fontId="37" fillId="0" borderId="0" xfId="0" applyNumberFormat="1" applyFont="1" applyBorder="1" applyAlignment="1" applyProtection="1">
      <protection locked="0"/>
    </xf>
    <xf numFmtId="4" fontId="37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/>
    <xf numFmtId="0" fontId="37" fillId="0" borderId="0" xfId="0" applyNumberFormat="1" applyFont="1" applyBorder="1" applyAlignment="1">
      <alignment horizontal="left"/>
    </xf>
    <xf numFmtId="0" fontId="37" fillId="0" borderId="0" xfId="14" applyNumberFormat="1" applyFont="1" applyFill="1" applyBorder="1" applyAlignment="1">
      <alignment horizontal="left"/>
    </xf>
    <xf numFmtId="168" fontId="37" fillId="0" borderId="0" xfId="14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/>
    <xf numFmtId="165" fontId="37" fillId="0" borderId="0" xfId="0" applyNumberFormat="1" applyFont="1" applyFill="1" applyBorder="1" applyAlignment="1">
      <alignment horizontal="left"/>
    </xf>
    <xf numFmtId="0" fontId="37" fillId="0" borderId="0" xfId="14" applyNumberFormat="1" applyFont="1" applyFill="1" applyBorder="1" applyAlignment="1" applyProtection="1">
      <protection locked="0"/>
    </xf>
    <xf numFmtId="2" fontId="37" fillId="0" borderId="0" xfId="14" applyNumberFormat="1" applyFont="1" applyFill="1" applyBorder="1" applyAlignment="1" applyProtection="1">
      <alignment horizontal="left"/>
    </xf>
    <xf numFmtId="0" fontId="37" fillId="0" borderId="0" xfId="0" applyFont="1" applyFill="1" applyBorder="1" applyAlignment="1">
      <alignment horizontal="left" indent="2"/>
    </xf>
    <xf numFmtId="0" fontId="0" fillId="4" borderId="0" xfId="0" applyFill="1" applyBorder="1"/>
    <xf numFmtId="168" fontId="46" fillId="0" borderId="0" xfId="0" applyNumberFormat="1" applyFont="1" applyBorder="1" applyAlignment="1">
      <alignment horizontal="left"/>
    </xf>
    <xf numFmtId="0" fontId="59" fillId="0" borderId="0" xfId="0" applyNumberFormat="1" applyFont="1" applyBorder="1" applyAlignment="1" applyProtection="1">
      <protection locked="0"/>
    </xf>
    <xf numFmtId="37" fontId="29" fillId="0" borderId="0" xfId="5" quotePrefix="1" applyFont="1" applyFill="1" applyBorder="1" applyAlignment="1">
      <alignment horizontal="center"/>
    </xf>
    <xf numFmtId="37" fontId="32" fillId="0" borderId="0" xfId="5" quotePrefix="1" applyFont="1" applyFill="1" applyBorder="1" applyAlignment="1">
      <alignment horizontal="center"/>
    </xf>
    <xf numFmtId="37" fontId="29" fillId="0" borderId="0" xfId="5" quotePrefix="1" applyNumberFormat="1" applyFont="1" applyFill="1" applyBorder="1" applyAlignment="1">
      <alignment horizontal="center"/>
    </xf>
    <xf numFmtId="0" fontId="32" fillId="0" borderId="0" xfId="6" applyFont="1" applyFill="1" applyBorder="1" applyAlignment="1">
      <alignment horizontal="left"/>
    </xf>
    <xf numFmtId="1" fontId="32" fillId="0" borderId="0" xfId="6" applyNumberFormat="1" applyFont="1" applyFill="1" applyBorder="1" applyAlignment="1">
      <alignment horizontal="center"/>
    </xf>
    <xf numFmtId="37" fontId="29" fillId="0" borderId="0" xfId="5" applyFont="1" applyFill="1" applyBorder="1"/>
    <xf numFmtId="37" fontId="32" fillId="0" borderId="0" xfId="4" applyNumberFormat="1" applyFont="1" applyFill="1" applyBorder="1" applyProtection="1"/>
    <xf numFmtId="37" fontId="32" fillId="0" borderId="0" xfId="5" applyFont="1" applyFill="1" applyBorder="1" applyAlignment="1">
      <alignment horizontal="center"/>
    </xf>
    <xf numFmtId="10" fontId="29" fillId="0" borderId="0" xfId="5" applyNumberFormat="1" applyFont="1" applyFill="1" applyBorder="1" applyProtection="1"/>
    <xf numFmtId="37" fontId="28" fillId="4" borderId="0" xfId="5" applyFill="1" applyBorder="1"/>
    <xf numFmtId="37" fontId="29" fillId="4" borderId="0" xfId="4" applyNumberFormat="1" applyFont="1" applyFill="1" applyBorder="1" applyProtection="1"/>
    <xf numFmtId="37" fontId="29" fillId="4" borderId="0" xfId="5" applyFont="1" applyFill="1" applyBorder="1" applyAlignment="1">
      <alignment horizontal="center"/>
    </xf>
    <xf numFmtId="176" fontId="31" fillId="4" borderId="0" xfId="2" applyNumberFormat="1" applyFont="1" applyFill="1" applyBorder="1" applyProtection="1">
      <protection locked="0"/>
    </xf>
    <xf numFmtId="37" fontId="28" fillId="4" borderId="0" xfId="5" applyFont="1" applyFill="1" applyBorder="1" applyProtection="1"/>
    <xf numFmtId="171" fontId="0" fillId="4" borderId="0" xfId="1" applyNumberFormat="1" applyFont="1" applyFill="1" applyBorder="1"/>
    <xf numFmtId="37" fontId="0" fillId="4" borderId="0" xfId="0" applyNumberFormat="1" applyFill="1" applyBorder="1"/>
    <xf numFmtId="37" fontId="29" fillId="0" borderId="0" xfId="5" applyFont="1" applyFill="1" applyBorder="1" applyAlignment="1" applyProtection="1">
      <alignment horizontal="center"/>
      <protection locked="0"/>
    </xf>
    <xf numFmtId="37" fontId="29" fillId="0" borderId="0" xfId="4" applyFont="1" applyFill="1" applyBorder="1" applyProtection="1"/>
    <xf numFmtId="171" fontId="29" fillId="0" borderId="0" xfId="1" applyNumberFormat="1" applyFont="1" applyFill="1" applyBorder="1" applyProtection="1"/>
    <xf numFmtId="37" fontId="28" fillId="0" borderId="0" xfId="5" applyNumberFormat="1" applyFont="1" applyFill="1" applyBorder="1" applyProtection="1"/>
    <xf numFmtId="37" fontId="31" fillId="0" borderId="0" xfId="5" applyNumberFormat="1" applyFont="1" applyFill="1" applyBorder="1" applyProtection="1"/>
    <xf numFmtId="37" fontId="11" fillId="0" borderId="0" xfId="5" applyFont="1" applyFill="1" applyBorder="1" applyAlignment="1">
      <alignment horizontal="center"/>
    </xf>
    <xf numFmtId="37" fontId="29" fillId="0" borderId="0" xfId="5" applyFont="1" applyFill="1" applyBorder="1" applyAlignment="1" applyProtection="1">
      <alignment horizontal="centerContinuous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4" xfId="0" applyNumberFormat="1" applyFont="1" applyBorder="1" applyAlignment="1" applyProtection="1">
      <protection locked="0"/>
    </xf>
    <xf numFmtId="0" fontId="1" fillId="0" borderId="2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7" fillId="0" borderId="0" xfId="0" applyNumberFormat="1" applyFont="1" applyAlignment="1"/>
    <xf numFmtId="37" fontId="1" fillId="0" borderId="0" xfId="5" applyNumberFormat="1" applyFont="1" applyFill="1" applyProtection="1">
      <protection locked="0"/>
    </xf>
    <xf numFmtId="37" fontId="1" fillId="0" borderId="5" xfId="5" applyNumberFormat="1" applyFont="1" applyFill="1" applyBorder="1" applyProtection="1">
      <protection locked="0"/>
    </xf>
    <xf numFmtId="37" fontId="1" fillId="0" borderId="0" xfId="5" applyNumberFormat="1" applyFont="1" applyFill="1" applyProtection="1"/>
    <xf numFmtId="37" fontId="1" fillId="0" borderId="5" xfId="0" applyNumberFormat="1" applyFont="1" applyBorder="1"/>
    <xf numFmtId="37" fontId="1" fillId="0" borderId="0" xfId="0" applyNumberFormat="1" applyFont="1" applyFill="1"/>
    <xf numFmtId="37" fontId="1" fillId="0" borderId="4" xfId="0" applyNumberFormat="1" applyFont="1" applyFill="1" applyBorder="1"/>
    <xf numFmtId="37" fontId="28" fillId="0" borderId="0" xfId="5" applyNumberFormat="1" applyFont="1" applyFill="1" applyProtection="1">
      <protection locked="0"/>
    </xf>
    <xf numFmtId="0" fontId="17" fillId="0" borderId="0" xfId="0" applyFont="1" applyFill="1"/>
    <xf numFmtId="37" fontId="28" fillId="0" borderId="0" xfId="5" applyFont="1" applyFill="1"/>
    <xf numFmtId="37" fontId="1" fillId="0" borderId="4" xfId="5" applyNumberFormat="1" applyFont="1" applyFill="1" applyBorder="1" applyProtection="1">
      <protection locked="0"/>
    </xf>
    <xf numFmtId="171" fontId="1" fillId="0" borderId="0" xfId="1" applyNumberFormat="1" applyFont="1" applyFill="1" applyBorder="1"/>
    <xf numFmtId="37" fontId="1" fillId="0" borderId="0" xfId="5" applyNumberFormat="1" applyFont="1" applyFill="1" applyBorder="1" applyProtection="1">
      <protection locked="0"/>
    </xf>
    <xf numFmtId="37" fontId="1" fillId="0" borderId="5" xfId="5" applyNumberFormat="1" applyFont="1" applyFill="1" applyBorder="1" applyProtection="1"/>
    <xf numFmtId="0" fontId="6" fillId="5" borderId="0" xfId="0" applyNumberFormat="1" applyFont="1" applyFill="1" applyAlignment="1">
      <alignment horizontal="left"/>
    </xf>
    <xf numFmtId="0" fontId="6" fillId="5" borderId="0" xfId="0" applyNumberFormat="1" applyFont="1" applyFill="1" applyAlignment="1"/>
    <xf numFmtId="0" fontId="3" fillId="5" borderId="0" xfId="0" applyNumberFormat="1" applyFont="1" applyFill="1" applyAlignment="1"/>
    <xf numFmtId="0" fontId="0" fillId="5" borderId="0" xfId="0" applyNumberFormat="1" applyFont="1" applyFill="1" applyAlignment="1">
      <alignment horizontal="right"/>
    </xf>
    <xf numFmtId="0" fontId="0" fillId="5" borderId="0" xfId="0" applyNumberFormat="1" applyFont="1" applyFill="1" applyAlignment="1"/>
    <xf numFmtId="0" fontId="37" fillId="5" borderId="0" xfId="0" applyFont="1" applyFill="1"/>
    <xf numFmtId="41" fontId="1" fillId="0" borderId="8" xfId="0" applyNumberFormat="1" applyFont="1" applyFill="1" applyBorder="1"/>
    <xf numFmtId="41" fontId="1" fillId="0" borderId="5" xfId="0" applyNumberFormat="1" applyFont="1" applyFill="1" applyBorder="1"/>
    <xf numFmtId="38" fontId="1" fillId="0" borderId="0" xfId="0" applyNumberFormat="1" applyFont="1" applyFill="1"/>
    <xf numFmtId="37" fontId="1" fillId="5" borderId="0" xfId="5" applyNumberFormat="1" applyFont="1" applyFill="1" applyProtection="1">
      <protection locked="0"/>
    </xf>
    <xf numFmtId="0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9" fillId="0" borderId="4" xfId="0" applyNumberFormat="1" applyFont="1" applyBorder="1" applyAlignment="1">
      <alignment horizontal="center"/>
    </xf>
    <xf numFmtId="171" fontId="39" fillId="0" borderId="2" xfId="1" applyNumberFormat="1" applyFont="1" applyBorder="1" applyAlignment="1">
      <alignment horizontal="center"/>
    </xf>
    <xf numFmtId="179" fontId="39" fillId="0" borderId="0" xfId="1" applyNumberFormat="1" applyFont="1" applyBorder="1" applyAlignment="1"/>
    <xf numFmtId="0" fontId="39" fillId="0" borderId="0" xfId="0" applyNumberFormat="1" applyFont="1" applyBorder="1"/>
    <xf numFmtId="171" fontId="45" fillId="3" borderId="0" xfId="1" applyNumberFormat="1" applyFont="1" applyFill="1" applyAlignment="1"/>
    <xf numFmtId="179" fontId="45" fillId="3" borderId="0" xfId="1" applyNumberFormat="1" applyFont="1" applyFill="1" applyAlignment="1" applyProtection="1">
      <protection locked="0"/>
    </xf>
    <xf numFmtId="171" fontId="45" fillId="3" borderId="2" xfId="1" applyNumberFormat="1" applyFont="1" applyFill="1" applyBorder="1" applyAlignment="1"/>
    <xf numFmtId="179" fontId="45" fillId="3" borderId="2" xfId="1" applyNumberFormat="1" applyFont="1" applyFill="1" applyBorder="1" applyAlignment="1" applyProtection="1">
      <protection locked="0"/>
    </xf>
    <xf numFmtId="179" fontId="39" fillId="0" borderId="6" xfId="1" applyNumberFormat="1" applyFont="1" applyBorder="1"/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centerContinuous" wrapText="1"/>
    </xf>
    <xf numFmtId="164" fontId="42" fillId="0" borderId="0" xfId="0" applyNumberFormat="1" applyFont="1" applyAlignment="1"/>
    <xf numFmtId="176" fontId="39" fillId="0" borderId="10" xfId="2" applyNumberFormat="1" applyFont="1" applyBorder="1" applyAlignment="1"/>
    <xf numFmtId="179" fontId="39" fillId="0" borderId="10" xfId="1" applyNumberFormat="1" applyFont="1" applyBorder="1" applyAlignment="1"/>
    <xf numFmtId="3" fontId="39" fillId="0" borderId="0" xfId="0" applyNumberFormat="1" applyFont="1" applyAlignment="1">
      <alignment horizontal="centerContinuous"/>
    </xf>
    <xf numFmtId="0" fontId="61" fillId="0" borderId="0" xfId="0" applyFont="1"/>
    <xf numFmtId="0" fontId="39" fillId="0" borderId="3" xfId="0" applyNumberFormat="1" applyFont="1" applyBorder="1"/>
    <xf numFmtId="167" fontId="39" fillId="0" borderId="0" xfId="0" applyNumberFormat="1" applyFont="1" applyAlignment="1"/>
    <xf numFmtId="179" fontId="39" fillId="0" borderId="0" xfId="1" applyNumberFormat="1" applyFont="1" applyAlignment="1" applyProtection="1">
      <protection locked="0"/>
    </xf>
    <xf numFmtId="167" fontId="39" fillId="0" borderId="0" xfId="0" applyNumberFormat="1" applyFont="1" applyBorder="1" applyAlignment="1"/>
    <xf numFmtId="164" fontId="39" fillId="0" borderId="0" xfId="0" applyNumberFormat="1" applyFont="1" applyBorder="1" applyAlignment="1"/>
    <xf numFmtId="0" fontId="39" fillId="0" borderId="0" xfId="0" quotePrefix="1" applyNumberFormat="1" applyFont="1" applyAlignment="1">
      <alignment horizontal="center"/>
    </xf>
    <xf numFmtId="0" fontId="39" fillId="0" borderId="4" xfId="0" quotePrefix="1" applyNumberFormat="1" applyFont="1" applyBorder="1" applyAlignment="1">
      <alignment horizontal="center"/>
    </xf>
    <xf numFmtId="175" fontId="39" fillId="0" borderId="2" xfId="0" applyNumberFormat="1" applyFont="1" applyBorder="1" applyAlignment="1">
      <alignment horizontal="centerContinuous"/>
    </xf>
    <xf numFmtId="179" fontId="39" fillId="0" borderId="3" xfId="1" applyNumberFormat="1" applyFont="1" applyBorder="1"/>
    <xf numFmtId="4" fontId="39" fillId="0" borderId="0" xfId="0" applyNumberFormat="1" applyFont="1" applyAlignment="1"/>
    <xf numFmtId="37" fontId="6" fillId="0" borderId="0" xfId="0" applyNumberFormat="1" applyFont="1" applyAlignment="1"/>
    <xf numFmtId="171" fontId="0" fillId="0" borderId="0" xfId="0" applyNumberFormat="1" applyFont="1" applyAlignment="1" applyProtection="1">
      <protection locked="0"/>
    </xf>
    <xf numFmtId="171" fontId="35" fillId="0" borderId="0" xfId="0" applyNumberFormat="1" applyFont="1" applyFill="1" applyBorder="1"/>
    <xf numFmtId="0" fontId="1" fillId="0" borderId="0" xfId="1" applyNumberFormat="1" applyFont="1" applyFill="1" applyBorder="1" applyAlignment="1"/>
    <xf numFmtId="0" fontId="1" fillId="0" borderId="0" xfId="1" applyNumberFormat="1" applyFont="1" applyFill="1" applyBorder="1" applyAlignment="1">
      <alignment horizontal="left"/>
    </xf>
    <xf numFmtId="14" fontId="1" fillId="0" borderId="0" xfId="0" applyNumberFormat="1" applyFont="1" applyAlignment="1">
      <alignment horizontal="left"/>
    </xf>
    <xf numFmtId="187" fontId="1" fillId="0" borderId="0" xfId="0" applyNumberFormat="1" applyFont="1" applyAlignment="1"/>
    <xf numFmtId="0" fontId="3" fillId="0" borderId="0" xfId="0" quotePrefix="1" applyNumberFormat="1" applyFont="1" applyAlignment="1"/>
    <xf numFmtId="0" fontId="1" fillId="0" borderId="4" xfId="0" applyFont="1" applyBorder="1" applyAlignment="1">
      <alignment horizontal="center"/>
    </xf>
    <xf numFmtId="176" fontId="39" fillId="0" borderId="0" xfId="2" applyNumberFormat="1" applyFont="1"/>
    <xf numFmtId="41" fontId="39" fillId="0" borderId="0" xfId="0" applyNumberFormat="1" applyFont="1"/>
    <xf numFmtId="41" fontId="39" fillId="0" borderId="4" xfId="0" applyNumberFormat="1" applyFont="1" applyBorder="1"/>
    <xf numFmtId="0" fontId="39" fillId="0" borderId="0" xfId="0" applyFont="1"/>
    <xf numFmtId="176" fontId="39" fillId="0" borderId="4" xfId="2" applyNumberFormat="1" applyFont="1" applyBorder="1"/>
    <xf numFmtId="44" fontId="39" fillId="0" borderId="0" xfId="2" applyFont="1"/>
    <xf numFmtId="0" fontId="1" fillId="0" borderId="0" xfId="0" quotePrefix="1" applyFont="1" applyAlignment="1">
      <alignment horizontal="center"/>
    </xf>
    <xf numFmtId="43" fontId="8" fillId="0" borderId="0" xfId="1" applyFont="1" applyBorder="1" applyAlignment="1">
      <alignment horizontal="center"/>
    </xf>
    <xf numFmtId="43" fontId="1" fillId="0" borderId="0" xfId="1" applyNumberFormat="1" applyFont="1" applyAlignment="1"/>
    <xf numFmtId="179" fontId="38" fillId="0" borderId="0" xfId="1" applyNumberFormat="1" applyFont="1" applyAlignment="1"/>
    <xf numFmtId="0" fontId="1" fillId="0" borderId="0" xfId="0" applyFont="1" applyAlignment="1">
      <alignment horizontal="center"/>
    </xf>
    <xf numFmtId="37" fontId="28" fillId="0" borderId="0" xfId="5" applyFont="1"/>
    <xf numFmtId="37" fontId="1" fillId="0" borderId="0" xfId="5" applyNumberFormat="1" applyFont="1" applyProtection="1"/>
    <xf numFmtId="37" fontId="1" fillId="0" borderId="0" xfId="5" applyNumberFormat="1" applyFont="1" applyFill="1" applyAlignment="1" applyProtection="1">
      <alignment horizontal="center"/>
    </xf>
    <xf numFmtId="37" fontId="1" fillId="0" borderId="0" xfId="5" applyFont="1" applyFill="1" applyAlignment="1">
      <alignment horizontal="center"/>
    </xf>
    <xf numFmtId="37" fontId="11" fillId="0" borderId="4" xfId="5" applyNumberFormat="1" applyFont="1" applyFill="1" applyBorder="1" applyAlignment="1" applyProtection="1">
      <alignment horizontal="center"/>
      <protection locked="0"/>
    </xf>
    <xf numFmtId="37" fontId="30" fillId="0" borderId="4" xfId="5" applyFont="1" applyFill="1" applyBorder="1" applyAlignment="1" applyProtection="1">
      <alignment horizontal="center"/>
    </xf>
    <xf numFmtId="37" fontId="28" fillId="0" borderId="0" xfId="5" applyNumberFormat="1" applyFont="1" applyProtection="1"/>
    <xf numFmtId="37" fontId="11" fillId="0" borderId="0" xfId="5" applyNumberFormat="1" applyFont="1" applyAlignment="1" applyProtection="1">
      <alignment horizontal="center"/>
    </xf>
    <xf numFmtId="37" fontId="1" fillId="0" borderId="0" xfId="5" applyNumberFormat="1" applyFont="1" applyAlignment="1" applyProtection="1">
      <alignment horizontal="center"/>
    </xf>
    <xf numFmtId="37" fontId="11" fillId="0" borderId="0" xfId="5" applyNumberFormat="1" applyFont="1" applyFill="1" applyProtection="1"/>
    <xf numFmtId="0" fontId="1" fillId="5" borderId="0" xfId="1" applyNumberFormat="1" applyFont="1" applyFill="1" applyBorder="1" applyAlignment="1"/>
    <xf numFmtId="37" fontId="1" fillId="5" borderId="0" xfId="5" applyNumberFormat="1" applyFont="1" applyFill="1" applyProtection="1"/>
    <xf numFmtId="37" fontId="1" fillId="0" borderId="0" xfId="5" quotePrefix="1" applyFont="1" applyFill="1" applyAlignment="1">
      <alignment horizontal="center"/>
    </xf>
    <xf numFmtId="37" fontId="1" fillId="0" borderId="0" xfId="4" applyFont="1" applyFill="1" applyAlignment="1">
      <alignment horizontal="center"/>
    </xf>
    <xf numFmtId="37" fontId="1" fillId="0" borderId="8" xfId="17" applyNumberFormat="1" applyFont="1" applyFill="1" applyBorder="1"/>
    <xf numFmtId="37" fontId="1" fillId="0" borderId="0" xfId="17" applyNumberFormat="1" applyFont="1" applyFill="1" applyBorder="1"/>
    <xf numFmtId="37" fontId="1" fillId="0" borderId="0" xfId="1" applyNumberFormat="1" applyFont="1" applyFill="1" applyBorder="1"/>
    <xf numFmtId="37" fontId="1" fillId="0" borderId="8" xfId="1" applyNumberFormat="1" applyFont="1" applyFill="1" applyBorder="1"/>
    <xf numFmtId="37" fontId="1" fillId="0" borderId="4" xfId="1" applyNumberFormat="1" applyFont="1" applyFill="1" applyBorder="1"/>
    <xf numFmtId="37" fontId="1" fillId="0" borderId="0" xfId="1" applyNumberFormat="1" applyFont="1" applyFill="1"/>
    <xf numFmtId="37" fontId="62" fillId="0" borderId="0" xfId="5" applyNumberFormat="1" applyFont="1" applyFill="1" applyProtection="1"/>
    <xf numFmtId="37" fontId="28" fillId="0" borderId="5" xfId="5" applyFont="1" applyFill="1" applyBorder="1" applyProtection="1"/>
    <xf numFmtId="37" fontId="1" fillId="0" borderId="8" xfId="0" applyNumberFormat="1" applyFont="1" applyFill="1" applyBorder="1"/>
    <xf numFmtId="37" fontId="28" fillId="0" borderId="0" xfId="5" applyNumberFormat="1" applyFont="1" applyFill="1" applyProtection="1"/>
    <xf numFmtId="37" fontId="55" fillId="0" borderId="0" xfId="5" applyNumberFormat="1" applyFont="1" applyFill="1" applyProtection="1"/>
    <xf numFmtId="37" fontId="56" fillId="0" borderId="0" xfId="5" applyNumberFormat="1" applyFont="1" applyFill="1" applyProtection="1"/>
    <xf numFmtId="37" fontId="1" fillId="0" borderId="0" xfId="1" applyNumberFormat="1" applyFont="1" applyFill="1" applyProtection="1"/>
    <xf numFmtId="37" fontId="1" fillId="0" borderId="4" xfId="1" applyNumberFormat="1" applyFont="1" applyFill="1" applyBorder="1" applyProtection="1"/>
    <xf numFmtId="37" fontId="1" fillId="0" borderId="0" xfId="0" applyNumberFormat="1" applyFont="1" applyFill="1" applyBorder="1"/>
    <xf numFmtId="37" fontId="37" fillId="0" borderId="0" xfId="1" applyNumberFormat="1" applyFont="1" applyFill="1" applyBorder="1"/>
    <xf numFmtId="37" fontId="1" fillId="0" borderId="0" xfId="5" applyFont="1" applyFill="1" applyProtection="1">
      <protection locked="0"/>
    </xf>
    <xf numFmtId="37" fontId="1" fillId="0" borderId="4" xfId="5" applyFont="1" applyFill="1" applyBorder="1" applyProtection="1">
      <protection locked="0"/>
    </xf>
    <xf numFmtId="171" fontId="41" fillId="0" borderId="0" xfId="1" applyNumberFormat="1" applyFont="1" applyAlignment="1"/>
    <xf numFmtId="37" fontId="38" fillId="0" borderId="0" xfId="15" applyNumberFormat="1" applyFont="1" applyAlignment="1"/>
    <xf numFmtId="0" fontId="37" fillId="0" borderId="0" xfId="0" applyNumberFormat="1" applyFont="1" applyFill="1" applyAlignment="1" applyProtection="1">
      <protection locked="0"/>
    </xf>
    <xf numFmtId="0" fontId="37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/>
    </xf>
    <xf numFmtId="41" fontId="37" fillId="0" borderId="0" xfId="17" applyFont="1" applyAlignment="1" applyProtection="1">
      <protection locked="0"/>
    </xf>
    <xf numFmtId="0" fontId="37" fillId="0" borderId="0" xfId="0" applyNumberFormat="1" applyFont="1" applyAlignment="1" applyProtection="1">
      <protection locked="0"/>
    </xf>
    <xf numFmtId="37" fontId="63" fillId="0" borderId="8" xfId="15" applyNumberFormat="1" applyFont="1" applyFill="1" applyBorder="1" applyAlignment="1"/>
    <xf numFmtId="3" fontId="37" fillId="0" borderId="0" xfId="0" applyNumberFormat="1" applyFont="1" applyAlignment="1" applyProtection="1">
      <protection locked="0"/>
    </xf>
    <xf numFmtId="43" fontId="63" fillId="0" borderId="0" xfId="1" applyFont="1" applyAlignment="1">
      <alignment horizontal="right" indent="1"/>
    </xf>
    <xf numFmtId="37" fontId="63" fillId="5" borderId="8" xfId="15" applyNumberFormat="1" applyFont="1" applyFill="1" applyBorder="1" applyAlignment="1"/>
    <xf numFmtId="0" fontId="38" fillId="0" borderId="0" xfId="0" applyNumberFormat="1" applyFont="1" applyFill="1" applyAlignment="1"/>
    <xf numFmtId="43" fontId="37" fillId="0" borderId="0" xfId="1" applyFont="1" applyAlignment="1" applyProtection="1">
      <protection locked="0"/>
    </xf>
    <xf numFmtId="181" fontId="37" fillId="0" borderId="0" xfId="0" applyNumberFormat="1" applyFont="1" applyAlignment="1" applyProtection="1">
      <protection locked="0"/>
    </xf>
    <xf numFmtId="37" fontId="37" fillId="0" borderId="0" xfId="0" applyNumberFormat="1" applyFont="1" applyAlignment="1"/>
    <xf numFmtId="43" fontId="37" fillId="0" borderId="0" xfId="1" applyFont="1" applyAlignment="1">
      <alignment horizontal="right" indent="1"/>
    </xf>
    <xf numFmtId="165" fontId="63" fillId="0" borderId="0" xfId="0" applyNumberFormat="1" applyFont="1" applyAlignment="1">
      <alignment horizontal="center"/>
    </xf>
    <xf numFmtId="41" fontId="37" fillId="0" borderId="8" xfId="17" applyFont="1" applyBorder="1" applyAlignment="1" applyProtection="1">
      <protection locked="0"/>
    </xf>
    <xf numFmtId="43" fontId="37" fillId="0" borderId="0" xfId="1" applyFont="1" applyAlignment="1">
      <alignment horizontal="right"/>
    </xf>
    <xf numFmtId="181" fontId="37" fillId="0" borderId="0" xfId="0" applyNumberFormat="1" applyFont="1"/>
    <xf numFmtId="37" fontId="37" fillId="0" borderId="0" xfId="0" applyNumberFormat="1" applyFont="1" applyAlignment="1" applyProtection="1">
      <protection locked="0"/>
    </xf>
    <xf numFmtId="186" fontId="37" fillId="0" borderId="0" xfId="13" applyNumberFormat="1" applyFont="1" applyAlignment="1" applyProtection="1">
      <protection locked="0"/>
    </xf>
    <xf numFmtId="43" fontId="37" fillId="0" borderId="0" xfId="1" applyFont="1" applyAlignment="1">
      <alignment horizontal="right" indent="2"/>
    </xf>
    <xf numFmtId="165" fontId="37" fillId="0" borderId="0" xfId="0" applyNumberFormat="1" applyFont="1" applyAlignment="1">
      <alignment horizontal="center"/>
    </xf>
    <xf numFmtId="3" fontId="37" fillId="0" borderId="0" xfId="0" applyNumberFormat="1" applyFont="1" applyFill="1"/>
    <xf numFmtId="43" fontId="37" fillId="0" borderId="0" xfId="1" applyFont="1" applyFill="1" applyAlignment="1">
      <alignment horizontal="right" indent="2"/>
    </xf>
    <xf numFmtId="0" fontId="37" fillId="0" borderId="0" xfId="0" applyNumberFormat="1" applyFont="1" applyFill="1" applyAlignment="1">
      <alignment horizontal="center"/>
    </xf>
    <xf numFmtId="165" fontId="37" fillId="0" borderId="0" xfId="0" applyNumberFormat="1" applyFont="1" applyFill="1" applyAlignment="1">
      <alignment horizontal="center"/>
    </xf>
    <xf numFmtId="41" fontId="37" fillId="0" borderId="0" xfId="0" applyNumberFormat="1" applyFont="1" applyAlignment="1" applyProtection="1">
      <protection locked="0"/>
    </xf>
    <xf numFmtId="0" fontId="38" fillId="0" borderId="0" xfId="0" applyNumberFormat="1" applyFont="1" applyFill="1" applyAlignment="1" applyProtection="1">
      <protection locked="0"/>
    </xf>
    <xf numFmtId="3" fontId="38" fillId="0" borderId="0" xfId="0" applyNumberFormat="1" applyFont="1" applyFill="1"/>
    <xf numFmtId="0" fontId="38" fillId="0" borderId="0" xfId="0" applyNumberFormat="1" applyFont="1" applyFill="1" applyAlignment="1">
      <alignment horizontal="center"/>
    </xf>
    <xf numFmtId="171" fontId="38" fillId="0" borderId="0" xfId="1" applyNumberFormat="1" applyFont="1" applyBorder="1"/>
    <xf numFmtId="43" fontId="38" fillId="0" borderId="0" xfId="1" applyFont="1" applyAlignment="1">
      <alignment horizontal="right" indent="1"/>
    </xf>
    <xf numFmtId="171" fontId="37" fillId="0" borderId="0" xfId="1" applyNumberFormat="1" applyFont="1" applyAlignment="1" applyProtection="1">
      <protection locked="0"/>
    </xf>
    <xf numFmtId="37" fontId="63" fillId="5" borderId="5" xfId="15" applyNumberFormat="1" applyFont="1" applyFill="1" applyBorder="1" applyAlignment="1"/>
    <xf numFmtId="41" fontId="37" fillId="0" borderId="5" xfId="17" applyFont="1" applyBorder="1" applyAlignment="1" applyProtection="1">
      <protection locked="0"/>
    </xf>
    <xf numFmtId="3" fontId="38" fillId="0" borderId="8" xfId="0" applyNumberFormat="1" applyFont="1" applyBorder="1" applyAlignment="1"/>
    <xf numFmtId="0" fontId="37" fillId="0" borderId="0" xfId="0" applyNumberFormat="1" applyFont="1" applyBorder="1" applyAlignment="1">
      <alignment horizontal="center"/>
    </xf>
    <xf numFmtId="37" fontId="63" fillId="0" borderId="6" xfId="15" applyNumberFormat="1" applyFont="1" applyFill="1" applyBorder="1" applyAlignment="1"/>
    <xf numFmtId="0" fontId="37" fillId="0" borderId="3" xfId="0" applyNumberFormat="1" applyFont="1" applyBorder="1" applyAlignment="1"/>
    <xf numFmtId="3" fontId="37" fillId="0" borderId="3" xfId="0" applyNumberFormat="1" applyFont="1" applyBorder="1"/>
    <xf numFmtId="3" fontId="37" fillId="0" borderId="3" xfId="0" applyNumberFormat="1" applyFont="1" applyBorder="1" applyAlignment="1">
      <alignment horizontal="center"/>
    </xf>
    <xf numFmtId="3" fontId="63" fillId="0" borderId="0" xfId="0" applyNumberFormat="1" applyFont="1" applyAlignment="1"/>
    <xf numFmtId="4" fontId="63" fillId="0" borderId="0" xfId="0" applyNumberFormat="1" applyFont="1" applyAlignment="1"/>
    <xf numFmtId="0" fontId="37" fillId="0" borderId="0" xfId="0" applyFont="1" applyAlignment="1"/>
    <xf numFmtId="0" fontId="63" fillId="0" borderId="0" xfId="0" applyNumberFormat="1" applyFont="1" applyAlignment="1"/>
    <xf numFmtId="3" fontId="63" fillId="0" borderId="0" xfId="0" applyNumberFormat="1" applyFont="1" applyBorder="1" applyAlignment="1"/>
    <xf numFmtId="0" fontId="63" fillId="0" borderId="0" xfId="0" applyNumberFormat="1" applyFont="1" applyAlignment="1">
      <alignment horizontal="center"/>
    </xf>
    <xf numFmtId="37" fontId="63" fillId="0" borderId="0" xfId="15" applyNumberFormat="1" applyFont="1" applyFill="1" applyAlignment="1"/>
    <xf numFmtId="43" fontId="63" fillId="0" borderId="0" xfId="1" applyFont="1" applyFill="1" applyAlignment="1"/>
    <xf numFmtId="3" fontId="37" fillId="0" borderId="0" xfId="0" applyNumberFormat="1" applyFont="1" applyBorder="1" applyAlignment="1"/>
    <xf numFmtId="43" fontId="37" fillId="0" borderId="0" xfId="1" applyFont="1" applyBorder="1" applyAlignment="1">
      <alignment horizontal="right" indent="1"/>
    </xf>
    <xf numFmtId="184" fontId="63" fillId="0" borderId="0" xfId="0" applyNumberFormat="1" applyFont="1" applyAlignment="1"/>
    <xf numFmtId="37" fontId="38" fillId="0" borderId="0" xfId="15" applyNumberFormat="1" applyFont="1" applyFill="1" applyAlignment="1"/>
    <xf numFmtId="37" fontId="63" fillId="0" borderId="0" xfId="0" applyNumberFormat="1" applyFont="1" applyAlignment="1" applyProtection="1">
      <protection locked="0"/>
    </xf>
    <xf numFmtId="37" fontId="63" fillId="0" borderId="0" xfId="15" applyNumberFormat="1" applyFont="1" applyFill="1" applyBorder="1" applyAlignment="1"/>
    <xf numFmtId="0" fontId="37" fillId="0" borderId="8" xfId="0" applyNumberFormat="1" applyFont="1" applyBorder="1" applyAlignment="1" applyProtection="1">
      <protection locked="0"/>
    </xf>
    <xf numFmtId="37" fontId="63" fillId="0" borderId="6" xfId="0" applyNumberFormat="1" applyFont="1" applyBorder="1" applyAlignment="1" applyProtection="1">
      <protection locked="0"/>
    </xf>
    <xf numFmtId="37" fontId="64" fillId="0" borderId="0" xfId="15" applyNumberFormat="1" applyFont="1" applyFill="1" applyBorder="1" applyAlignment="1"/>
    <xf numFmtId="41" fontId="37" fillId="0" borderId="0" xfId="0" applyNumberFormat="1" applyFont="1"/>
    <xf numFmtId="41" fontId="37" fillId="5" borderId="0" xfId="0" applyNumberFormat="1" applyFont="1" applyFill="1"/>
    <xf numFmtId="178" fontId="37" fillId="0" borderId="0" xfId="0" applyNumberFormat="1" applyFont="1"/>
    <xf numFmtId="171" fontId="37" fillId="0" borderId="0" xfId="1" applyNumberFormat="1" applyFont="1" applyAlignment="1"/>
    <xf numFmtId="0" fontId="41" fillId="0" borderId="0" xfId="0" applyNumberFormat="1" applyFont="1" applyAlignment="1">
      <alignment horizontal="center"/>
    </xf>
    <xf numFmtId="0" fontId="41" fillId="0" borderId="0" xfId="0" applyFont="1" applyAlignment="1"/>
    <xf numFmtId="0" fontId="41" fillId="0" borderId="0" xfId="0" applyNumberFormat="1" applyFont="1" applyBorder="1" applyAlignment="1"/>
    <xf numFmtId="0" fontId="1" fillId="0" borderId="4" xfId="0" applyFont="1" applyFill="1" applyBorder="1" applyAlignment="1">
      <alignment horizontal="center"/>
    </xf>
    <xf numFmtId="41" fontId="35" fillId="0" borderId="0" xfId="17" applyFont="1"/>
    <xf numFmtId="41" fontId="0" fillId="0" borderId="0" xfId="17" applyFont="1"/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quotePrefix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37" fontId="3" fillId="0" borderId="0" xfId="15" applyNumberFormat="1" applyFont="1" applyAlignment="1"/>
    <xf numFmtId="0" fontId="1" fillId="0" borderId="0" xfId="0" applyNumberFormat="1" applyFont="1" applyFill="1" applyAlignment="1" applyProtection="1">
      <protection locked="0"/>
    </xf>
    <xf numFmtId="37" fontId="18" fillId="0" borderId="8" xfId="15" applyNumberFormat="1" applyFont="1" applyFill="1" applyBorder="1" applyAlignment="1"/>
    <xf numFmtId="185" fontId="3" fillId="0" borderId="0" xfId="17" applyNumberFormat="1" applyFont="1" applyAlignment="1">
      <alignment horizontal="right"/>
    </xf>
    <xf numFmtId="43" fontId="18" fillId="0" borderId="0" xfId="1" applyFont="1" applyAlignment="1">
      <alignment horizontal="right" indent="1"/>
    </xf>
    <xf numFmtId="165" fontId="3" fillId="0" borderId="0" xfId="0" applyNumberFormat="1" applyFont="1" applyAlignment="1">
      <alignment horizontal="center"/>
    </xf>
    <xf numFmtId="3" fontId="1" fillId="0" borderId="0" xfId="0" applyNumberFormat="1" applyFont="1"/>
    <xf numFmtId="37" fontId="3" fillId="0" borderId="0" xfId="0" applyNumberFormat="1" applyFont="1" applyAlignment="1"/>
    <xf numFmtId="41" fontId="1" fillId="0" borderId="0" xfId="17" applyFont="1" applyAlignment="1">
      <alignment horizontal="right"/>
    </xf>
    <xf numFmtId="41" fontId="1" fillId="0" borderId="0" xfId="17" applyFont="1" applyAlignment="1" applyProtection="1">
      <alignment horizontal="right"/>
      <protection locked="0"/>
    </xf>
    <xf numFmtId="165" fontId="18" fillId="0" borderId="8" xfId="0" applyNumberFormat="1" applyFont="1" applyBorder="1" applyAlignment="1">
      <alignment horizontal="center"/>
    </xf>
    <xf numFmtId="39" fontId="3" fillId="0" borderId="0" xfId="15" applyNumberFormat="1" applyFont="1" applyAlignment="1"/>
    <xf numFmtId="182" fontId="0" fillId="0" borderId="0" xfId="0" applyNumberFormat="1" applyAlignment="1">
      <alignment horizontal="center"/>
    </xf>
    <xf numFmtId="0" fontId="7" fillId="0" borderId="0" xfId="0" applyFont="1"/>
    <xf numFmtId="37" fontId="65" fillId="0" borderId="8" xfId="15" applyNumberFormat="1" applyFont="1" applyFill="1" applyBorder="1" applyAlignment="1"/>
    <xf numFmtId="3" fontId="3" fillId="0" borderId="0" xfId="0" applyNumberFormat="1" applyFont="1" applyFill="1"/>
    <xf numFmtId="43" fontId="65" fillId="0" borderId="0" xfId="1" applyFont="1" applyAlignment="1">
      <alignment horizontal="right" indent="1"/>
    </xf>
    <xf numFmtId="165" fontId="65" fillId="0" borderId="0" xfId="0" applyNumberFormat="1" applyFont="1" applyAlignment="1">
      <alignment horizontal="center"/>
    </xf>
    <xf numFmtId="3" fontId="3" fillId="0" borderId="8" xfId="0" applyNumberFormat="1" applyFont="1" applyBorder="1" applyAlignment="1"/>
    <xf numFmtId="0" fontId="1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/>
    <xf numFmtId="43" fontId="1" fillId="0" borderId="0" xfId="1" applyFont="1" applyBorder="1" applyAlignment="1">
      <alignment horizontal="right" indent="2"/>
    </xf>
    <xf numFmtId="37" fontId="18" fillId="0" borderId="6" xfId="15" applyNumberFormat="1" applyFont="1" applyFill="1" applyBorder="1" applyAlignment="1"/>
    <xf numFmtId="3" fontId="18" fillId="0" borderId="8" xfId="0" applyNumberFormat="1" applyFont="1" applyBorder="1" applyAlignment="1"/>
    <xf numFmtId="37" fontId="3" fillId="5" borderId="0" xfId="15" applyNumberFormat="1" applyFont="1" applyFill="1" applyAlignment="1"/>
    <xf numFmtId="165" fontId="1" fillId="0" borderId="0" xfId="0" applyNumberFormat="1" applyFont="1" applyAlignment="1">
      <alignment horizontal="center"/>
    </xf>
    <xf numFmtId="0" fontId="18" fillId="5" borderId="0" xfId="0" applyNumberFormat="1" applyFont="1" applyFill="1" applyAlignment="1"/>
    <xf numFmtId="0" fontId="7" fillId="5" borderId="0" xfId="0" applyNumberFormat="1" applyFont="1" applyFill="1" applyAlignment="1">
      <alignment horizontal="left"/>
    </xf>
    <xf numFmtId="0" fontId="0" fillId="5" borderId="0" xfId="0" applyNumberFormat="1" applyFont="1" applyFill="1" applyAlignment="1">
      <alignment horizontal="left"/>
    </xf>
    <xf numFmtId="37" fontId="63" fillId="5" borderId="0" xfId="15" applyNumberFormat="1" applyFont="1" applyFill="1" applyAlignment="1"/>
    <xf numFmtId="43" fontId="63" fillId="5" borderId="0" xfId="1" applyFont="1" applyFill="1" applyAlignment="1"/>
    <xf numFmtId="0" fontId="63" fillId="5" borderId="0" xfId="0" applyNumberFormat="1" applyFont="1" applyFill="1" applyAlignment="1"/>
    <xf numFmtId="0" fontId="63" fillId="5" borderId="0" xfId="0" applyNumberFormat="1" applyFont="1" applyFill="1" applyAlignment="1">
      <alignment horizontal="center"/>
    </xf>
    <xf numFmtId="0" fontId="63" fillId="5" borderId="0" xfId="0" applyNumberFormat="1" applyFont="1" applyFill="1" applyBorder="1" applyAlignment="1"/>
    <xf numFmtId="3" fontId="63" fillId="5" borderId="0" xfId="0" applyNumberFormat="1" applyFont="1" applyFill="1" applyBorder="1" applyAlignment="1"/>
    <xf numFmtId="43" fontId="63" fillId="5" borderId="0" xfId="1" applyFont="1" applyFill="1" applyBorder="1" applyAlignment="1">
      <alignment horizontal="right" indent="1"/>
    </xf>
    <xf numFmtId="37" fontId="3" fillId="0" borderId="0" xfId="15" applyNumberFormat="1" applyFont="1" applyFill="1" applyAlignment="1"/>
    <xf numFmtId="0" fontId="3" fillId="0" borderId="0" xfId="0" applyFont="1" applyFill="1"/>
    <xf numFmtId="0" fontId="18" fillId="0" borderId="0" xfId="0" applyFont="1"/>
    <xf numFmtId="0" fontId="3" fillId="0" borderId="0" xfId="0" applyFont="1" applyProtection="1"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37" fontId="38" fillId="0" borderId="8" xfId="15" applyNumberFormat="1" applyFont="1" applyFill="1" applyBorder="1" applyAlignment="1"/>
    <xf numFmtId="37" fontId="18" fillId="0" borderId="0" xfId="0" applyNumberFormat="1" applyFont="1" applyAlignment="1" applyProtection="1">
      <protection locked="0"/>
    </xf>
    <xf numFmtId="0" fontId="3" fillId="5" borderId="0" xfId="0" applyNumberFormat="1" applyFont="1" applyFill="1" applyBorder="1" applyAlignment="1"/>
    <xf numFmtId="0" fontId="1" fillId="5" borderId="0" xfId="0" applyNumberFormat="1" applyFont="1" applyFill="1" applyAlignment="1" applyProtection="1">
      <protection locked="0"/>
    </xf>
    <xf numFmtId="182" fontId="1" fillId="5" borderId="0" xfId="0" applyNumberFormat="1" applyFont="1" applyFill="1" applyBorder="1" applyAlignment="1">
      <alignment horizontal="center"/>
    </xf>
    <xf numFmtId="0" fontId="1" fillId="5" borderId="0" xfId="0" applyNumberFormat="1" applyFont="1" applyFill="1" applyAlignment="1">
      <alignment horizontal="right"/>
    </xf>
    <xf numFmtId="0" fontId="1" fillId="5" borderId="0" xfId="0" quotePrefix="1" applyNumberFormat="1" applyFont="1" applyFill="1" applyAlignment="1">
      <alignment horizontal="right"/>
    </xf>
    <xf numFmtId="0" fontId="1" fillId="5" borderId="0" xfId="0" applyNumberFormat="1" applyFont="1" applyFill="1" applyAlignment="1"/>
    <xf numFmtId="0" fontId="1" fillId="5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37" fontId="18" fillId="0" borderId="6" xfId="0" applyNumberFormat="1" applyFont="1" applyBorder="1" applyAlignment="1" applyProtection="1">
      <protection locked="0"/>
    </xf>
    <xf numFmtId="37" fontId="18" fillId="0" borderId="0" xfId="15" applyNumberFormat="1" applyFont="1" applyFill="1" applyAlignment="1"/>
    <xf numFmtId="43" fontId="18" fillId="0" borderId="0" xfId="1" applyFont="1" applyFill="1" applyAlignment="1"/>
    <xf numFmtId="37" fontId="65" fillId="5" borderId="0" xfId="15" applyNumberFormat="1" applyFont="1" applyFill="1" applyBorder="1" applyAlignment="1"/>
    <xf numFmtId="0" fontId="63" fillId="0" borderId="0" xfId="0" applyNumberFormat="1" applyFont="1" applyFill="1" applyBorder="1" applyAlignment="1"/>
    <xf numFmtId="3" fontId="63" fillId="0" borderId="0" xfId="0" applyNumberFormat="1" applyFont="1" applyFill="1" applyBorder="1" applyAlignment="1"/>
    <xf numFmtId="43" fontId="63" fillId="0" borderId="0" xfId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center"/>
    </xf>
    <xf numFmtId="171" fontId="3" fillId="0" borderId="0" xfId="1" applyNumberFormat="1" applyFont="1" applyAlignment="1"/>
    <xf numFmtId="0" fontId="37" fillId="5" borderId="0" xfId="0" applyNumberFormat="1" applyFont="1" applyFill="1" applyAlignment="1">
      <alignment horizontal="center"/>
    </xf>
    <xf numFmtId="165" fontId="37" fillId="5" borderId="0" xfId="0" applyNumberFormat="1" applyFont="1" applyFill="1" applyAlignment="1">
      <alignment horizontal="center"/>
    </xf>
    <xf numFmtId="37" fontId="38" fillId="5" borderId="0" xfId="15" applyNumberFormat="1" applyFont="1" applyFill="1" applyAlignment="1"/>
    <xf numFmtId="0" fontId="38" fillId="5" borderId="0" xfId="0" applyFont="1" applyFill="1" applyAlignment="1">
      <alignment horizontal="left"/>
    </xf>
    <xf numFmtId="0" fontId="38" fillId="5" borderId="0" xfId="0" applyFont="1" applyFill="1"/>
    <xf numFmtId="182" fontId="37" fillId="5" borderId="0" xfId="0" applyNumberFormat="1" applyFont="1" applyFill="1" applyAlignment="1">
      <alignment horizontal="center"/>
    </xf>
    <xf numFmtId="0" fontId="37" fillId="5" borderId="0" xfId="0" applyFont="1" applyFill="1" applyAlignment="1">
      <alignment horizontal="right"/>
    </xf>
    <xf numFmtId="0" fontId="37" fillId="5" borderId="0" xfId="0" quotePrefix="1" applyFont="1" applyFill="1" applyAlignment="1">
      <alignment horizontal="right"/>
    </xf>
    <xf numFmtId="0" fontId="38" fillId="5" borderId="0" xfId="0" applyNumberFormat="1" applyFont="1" applyFill="1" applyAlignment="1"/>
    <xf numFmtId="0" fontId="37" fillId="5" borderId="0" xfId="0" applyNumberFormat="1" applyFont="1" applyFill="1" applyAlignment="1" applyProtection="1">
      <protection locked="0"/>
    </xf>
    <xf numFmtId="10" fontId="6" fillId="5" borderId="0" xfId="13" applyNumberFormat="1" applyFont="1" applyFill="1" applyAlignment="1"/>
    <xf numFmtId="4" fontId="8" fillId="0" borderId="0" xfId="0" applyNumberFormat="1" applyFont="1" applyAlignment="1"/>
    <xf numFmtId="171" fontId="35" fillId="0" borderId="8" xfId="0" applyNumberFormat="1" applyFont="1" applyBorder="1"/>
    <xf numFmtId="41" fontId="11" fillId="0" borderId="5" xfId="0" applyNumberFormat="1" applyFont="1" applyBorder="1"/>
    <xf numFmtId="0" fontId="35" fillId="0" borderId="8" xfId="0" applyFont="1" applyBorder="1"/>
    <xf numFmtId="41" fontId="1" fillId="0" borderId="0" xfId="17" applyFont="1" applyAlignment="1" applyProtection="1">
      <protection locked="0"/>
    </xf>
    <xf numFmtId="41" fontId="1" fillId="0" borderId="4" xfId="17" applyFont="1" applyBorder="1" applyAlignment="1" applyProtection="1">
      <protection locked="0"/>
    </xf>
    <xf numFmtId="41" fontId="1" fillId="0" borderId="8" xfId="17" applyFont="1" applyBorder="1" applyAlignment="1" applyProtection="1">
      <protection locked="0"/>
    </xf>
    <xf numFmtId="41" fontId="1" fillId="0" borderId="5" xfId="17" applyFont="1" applyBorder="1" applyAlignment="1" applyProtection="1">
      <protection locked="0"/>
    </xf>
    <xf numFmtId="179" fontId="39" fillId="0" borderId="3" xfId="0" applyNumberFormat="1" applyFont="1" applyBorder="1" applyAlignment="1"/>
    <xf numFmtId="0" fontId="39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/>
    </xf>
    <xf numFmtId="0" fontId="39" fillId="0" borderId="0" xfId="0" quotePrefix="1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9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10" borderId="0" xfId="0" applyNumberFormat="1" applyFont="1" applyFill="1" applyAlignment="1" applyProtection="1">
      <protection locked="0"/>
    </xf>
    <xf numFmtId="0" fontId="0" fillId="10" borderId="0" xfId="0" applyNumberFormat="1" applyFont="1" applyFill="1" applyAlignment="1" applyProtection="1">
      <protection locked="0"/>
    </xf>
    <xf numFmtId="3" fontId="0" fillId="10" borderId="0" xfId="0" applyNumberFormat="1" applyFill="1"/>
    <xf numFmtId="3" fontId="0" fillId="10" borderId="0" xfId="0" applyNumberFormat="1" applyFont="1" applyFill="1" applyAlignment="1" applyProtection="1">
      <protection locked="0"/>
    </xf>
    <xf numFmtId="0" fontId="1" fillId="10" borderId="0" xfId="0" applyNumberFormat="1" applyFont="1" applyFill="1" applyAlignment="1" applyProtection="1">
      <protection locked="0"/>
    </xf>
    <xf numFmtId="0" fontId="1" fillId="10" borderId="4" xfId="0" applyNumberFormat="1" applyFont="1" applyFill="1" applyBorder="1" applyAlignment="1" applyProtection="1">
      <protection locked="0"/>
    </xf>
    <xf numFmtId="0" fontId="1" fillId="10" borderId="0" xfId="0" applyFont="1" applyFill="1"/>
    <xf numFmtId="3" fontId="1" fillId="10" borderId="0" xfId="0" applyNumberFormat="1" applyFont="1" applyFill="1"/>
    <xf numFmtId="3" fontId="1" fillId="10" borderId="4" xfId="0" applyNumberFormat="1" applyFont="1" applyFill="1" applyBorder="1"/>
    <xf numFmtId="3" fontId="1" fillId="10" borderId="4" xfId="0" applyNumberFormat="1" applyFont="1" applyFill="1" applyBorder="1" applyAlignment="1" applyProtection="1">
      <protection locked="0"/>
    </xf>
    <xf numFmtId="171" fontId="1" fillId="10" borderId="0" xfId="1" applyNumberFormat="1" applyFont="1" applyFill="1" applyAlignment="1" applyProtection="1">
      <protection locked="0"/>
    </xf>
    <xf numFmtId="171" fontId="1" fillId="10" borderId="0" xfId="1" applyNumberFormat="1" applyFont="1" applyFill="1"/>
    <xf numFmtId="171" fontId="39" fillId="0" borderId="0" xfId="1" applyNumberFormat="1" applyFont="1" applyFill="1" applyAlignment="1">
      <alignment horizontal="centerContinuous" vertical="top" wrapText="1"/>
    </xf>
    <xf numFmtId="176" fontId="39" fillId="0" borderId="0" xfId="2" applyNumberFormat="1" applyFont="1" applyFill="1" applyAlignment="1"/>
    <xf numFmtId="176" fontId="39" fillId="0" borderId="6" xfId="2" applyNumberFormat="1" applyFont="1" applyFill="1" applyBorder="1" applyAlignment="1"/>
    <xf numFmtId="43" fontId="1" fillId="10" borderId="0" xfId="0" applyNumberFormat="1" applyFont="1" applyFill="1"/>
    <xf numFmtId="1" fontId="1" fillId="0" borderId="0" xfId="0" applyNumberFormat="1" applyFont="1"/>
    <xf numFmtId="41" fontId="11" fillId="0" borderId="0" xfId="0" applyNumberFormat="1" applyFont="1" applyFill="1"/>
    <xf numFmtId="0" fontId="1" fillId="0" borderId="0" xfId="0" quotePrefix="1" applyFont="1" applyFill="1"/>
    <xf numFmtId="171" fontId="1" fillId="0" borderId="0" xfId="0" quotePrefix="1" applyNumberFormat="1" applyFont="1" applyFill="1"/>
    <xf numFmtId="37" fontId="1" fillId="0" borderId="0" xfId="0" applyNumberFormat="1" applyFont="1"/>
    <xf numFmtId="171" fontId="1" fillId="0" borderId="0" xfId="0" applyNumberFormat="1" applyFont="1" applyBorder="1"/>
    <xf numFmtId="168" fontId="1" fillId="0" borderId="0" xfId="0" applyNumberFormat="1" applyFont="1" applyAlignment="1">
      <alignment horizontal="center"/>
    </xf>
    <xf numFmtId="171" fontId="1" fillId="0" borderId="4" xfId="0" applyNumberFormat="1" applyFont="1" applyBorder="1"/>
    <xf numFmtId="41" fontId="1" fillId="0" borderId="0" xfId="0" applyNumberFormat="1" applyFont="1" applyBorder="1"/>
    <xf numFmtId="171" fontId="1" fillId="0" borderId="0" xfId="0" applyNumberFormat="1" applyFont="1" applyFill="1" applyBorder="1"/>
    <xf numFmtId="2" fontId="1" fillId="0" borderId="0" xfId="0" applyNumberFormat="1" applyFont="1" applyAlignment="1">
      <alignment horizontal="center"/>
    </xf>
    <xf numFmtId="171" fontId="1" fillId="0" borderId="0" xfId="1" applyNumberFormat="1" applyFont="1" applyBorder="1"/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/>
    <xf numFmtId="42" fontId="11" fillId="0" borderId="4" xfId="0" applyNumberFormat="1" applyFont="1" applyFill="1" applyBorder="1"/>
    <xf numFmtId="171" fontId="1" fillId="0" borderId="4" xfId="1" applyNumberFormat="1" applyFont="1" applyFill="1" applyBorder="1"/>
    <xf numFmtId="0" fontId="1" fillId="0" borderId="0" xfId="0" quotePrefix="1" applyFont="1" applyFill="1" applyAlignment="1">
      <alignment horizontal="left"/>
    </xf>
    <xf numFmtId="171" fontId="1" fillId="0" borderId="0" xfId="1" quotePrefix="1" applyNumberFormat="1" applyFont="1" applyFill="1" applyAlignment="1">
      <alignment horizontal="left"/>
    </xf>
    <xf numFmtId="43" fontId="1" fillId="0" borderId="0" xfId="0" applyNumberFormat="1" applyFont="1" applyFill="1"/>
    <xf numFmtId="0" fontId="1" fillId="0" borderId="0" xfId="0" applyFont="1" applyBorder="1" applyAlignment="1">
      <alignment horizontal="center"/>
    </xf>
    <xf numFmtId="41" fontId="1" fillId="0" borderId="8" xfId="0" applyNumberFormat="1" applyFont="1" applyBorder="1"/>
    <xf numFmtId="171" fontId="1" fillId="0" borderId="8" xfId="1" applyNumberFormat="1" applyFont="1" applyBorder="1"/>
    <xf numFmtId="0" fontId="1" fillId="10" borderId="0" xfId="0" applyFont="1" applyFill="1" applyAlignment="1">
      <alignment horizontal="center"/>
    </xf>
    <xf numFmtId="41" fontId="1" fillId="0" borderId="5" xfId="0" applyNumberFormat="1" applyFont="1" applyBorder="1"/>
    <xf numFmtId="171" fontId="1" fillId="0" borderId="5" xfId="1" applyNumberFormat="1" applyFont="1" applyBorder="1"/>
    <xf numFmtId="171" fontId="1" fillId="0" borderId="4" xfId="1" applyNumberFormat="1" applyFont="1" applyBorder="1"/>
    <xf numFmtId="1" fontId="1" fillId="0" borderId="0" xfId="0" applyNumberFormat="1" applyFont="1" applyBorder="1"/>
    <xf numFmtId="43" fontId="1" fillId="0" borderId="0" xfId="0" applyNumberFormat="1" applyFont="1"/>
    <xf numFmtId="172" fontId="35" fillId="0" borderId="0" xfId="0" applyNumberFormat="1" applyFont="1" applyFill="1"/>
    <xf numFmtId="3" fontId="1" fillId="0" borderId="0" xfId="0" applyNumberFormat="1" applyFont="1" applyFill="1"/>
    <xf numFmtId="178" fontId="1" fillId="0" borderId="0" xfId="0" applyNumberFormat="1" applyFont="1" applyFill="1"/>
    <xf numFmtId="1" fontId="1" fillId="0" borderId="0" xfId="0" applyNumberFormat="1" applyFont="1" applyFill="1"/>
    <xf numFmtId="0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/>
    <xf numFmtId="0" fontId="39" fillId="0" borderId="0" xfId="0" applyNumberFormat="1" applyFont="1" applyFill="1" applyBorder="1" applyAlignment="1">
      <alignment horizontal="center"/>
    </xf>
    <xf numFmtId="0" fontId="39" fillId="0" borderId="2" xfId="0" applyNumberFormat="1" applyFont="1" applyFill="1" applyBorder="1" applyAlignment="1">
      <alignment horizontal="center"/>
    </xf>
    <xf numFmtId="0" fontId="39" fillId="0" borderId="2" xfId="0" applyNumberFormat="1" applyFont="1" applyFill="1" applyBorder="1" applyAlignment="1"/>
    <xf numFmtId="175" fontId="39" fillId="0" borderId="2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centerContinuous" vertical="top" wrapText="1"/>
    </xf>
    <xf numFmtId="3" fontId="38" fillId="0" borderId="0" xfId="0" applyNumberFormat="1" applyFont="1" applyBorder="1" applyAlignment="1"/>
    <xf numFmtId="0" fontId="37" fillId="0" borderId="0" xfId="0" applyNumberFormat="1" applyFont="1" applyBorder="1"/>
    <xf numFmtId="0" fontId="3" fillId="0" borderId="0" xfId="0" applyNumberFormat="1" applyFont="1" applyFill="1" applyAlignment="1">
      <alignment horizontal="center"/>
    </xf>
    <xf numFmtId="175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/>
    <xf numFmtId="179" fontId="3" fillId="0" borderId="0" xfId="1" applyNumberFormat="1" applyFont="1" applyFill="1" applyBorder="1" applyAlignment="1"/>
    <xf numFmtId="43" fontId="1" fillId="0" borderId="0" xfId="1" applyFont="1" applyFill="1"/>
    <xf numFmtId="168" fontId="1" fillId="0" borderId="0" xfId="0" applyNumberFormat="1" applyFont="1" applyFill="1" applyAlignment="1">
      <alignment horizontal="center"/>
    </xf>
    <xf numFmtId="0" fontId="39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2" xfId="0" quotePrefix="1" applyNumberFormat="1" applyFont="1" applyBorder="1" applyAlignment="1">
      <alignment horizontal="center"/>
    </xf>
    <xf numFmtId="44" fontId="1" fillId="0" borderId="0" xfId="2" applyFont="1" applyFill="1" applyAlignment="1"/>
    <xf numFmtId="171" fontId="39" fillId="0" borderId="0" xfId="1" applyNumberFormat="1" applyFont="1" applyFill="1"/>
    <xf numFmtId="0" fontId="39" fillId="0" borderId="0" xfId="0" applyFont="1" applyFill="1"/>
    <xf numFmtId="176" fontId="35" fillId="0" borderId="0" xfId="2" applyNumberFormat="1" applyFont="1" applyFill="1"/>
    <xf numFmtId="176" fontId="35" fillId="0" borderId="4" xfId="2" applyNumberFormat="1" applyFont="1" applyFill="1" applyBorder="1"/>
    <xf numFmtId="0" fontId="46" fillId="0" borderId="0" xfId="0" applyFont="1" applyFill="1" applyBorder="1" applyAlignment="1">
      <alignment horizontal="center"/>
    </xf>
    <xf numFmtId="37" fontId="11" fillId="0" borderId="4" xfId="5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/>
    </xf>
    <xf numFmtId="37" fontId="1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9" fillId="0" borderId="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9" fillId="0" borderId="0" xfId="0" applyNumberFormat="1" applyFont="1" applyBorder="1" applyAlignment="1">
      <alignment horizontal="justify" vertical="top" wrapText="1"/>
    </xf>
    <xf numFmtId="0" fontId="39" fillId="0" borderId="0" xfId="0" applyFont="1" applyBorder="1" applyAlignment="1">
      <alignment horizontal="justify" vertical="top" wrapText="1"/>
    </xf>
    <xf numFmtId="0" fontId="39" fillId="0" borderId="0" xfId="0" applyNumberFormat="1" applyFont="1" applyFill="1" applyBorder="1" applyAlignment="1">
      <alignment horizontal="justify" vertical="top" wrapText="1"/>
    </xf>
    <xf numFmtId="0" fontId="39" fillId="0" borderId="0" xfId="0" applyFont="1" applyFill="1" applyBorder="1" applyAlignment="1">
      <alignment horizontal="justify" vertical="top" wrapText="1"/>
    </xf>
    <xf numFmtId="0" fontId="3" fillId="0" borderId="4" xfId="0" applyNumberFormat="1" applyFon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5" fillId="0" borderId="7" xfId="0" applyFont="1" applyFill="1" applyBorder="1"/>
    <xf numFmtId="0" fontId="35" fillId="0" borderId="8" xfId="0" applyFont="1" applyFill="1" applyBorder="1"/>
    <xf numFmtId="3" fontId="38" fillId="0" borderId="0" xfId="0" applyNumberFormat="1" applyFont="1" applyFill="1" applyAlignment="1"/>
    <xf numFmtId="42" fontId="37" fillId="0" borderId="0" xfId="0" applyNumberFormat="1" applyFont="1" applyFill="1"/>
    <xf numFmtId="3" fontId="38" fillId="0" borderId="0" xfId="0" quotePrefix="1" applyNumberFormat="1" applyFont="1" applyFill="1" applyAlignment="1"/>
    <xf numFmtId="3" fontId="3" fillId="0" borderId="0" xfId="0" quotePrefix="1" applyNumberFormat="1" applyFont="1" applyFill="1" applyAlignment="1"/>
    <xf numFmtId="3" fontId="14" fillId="0" borderId="0" xfId="0" applyNumberFormat="1" applyFont="1" applyFill="1" applyBorder="1" applyAlignment="1">
      <alignment horizontal="centerContinuous"/>
    </xf>
    <xf numFmtId="37" fontId="1" fillId="0" borderId="0" xfId="0" applyNumberFormat="1" applyFont="1" applyFill="1" applyBorder="1" applyAlignment="1">
      <alignment horizontal="center"/>
    </xf>
    <xf numFmtId="176" fontId="0" fillId="0" borderId="0" xfId="2" applyNumberFormat="1" applyFont="1" applyFill="1" applyBorder="1"/>
    <xf numFmtId="41" fontId="1" fillId="0" borderId="0" xfId="0" applyNumberFormat="1" applyFont="1" applyFill="1" applyBorder="1" applyAlignment="1" applyProtection="1">
      <protection locked="0"/>
    </xf>
    <xf numFmtId="43" fontId="0" fillId="0" borderId="0" xfId="0" applyNumberFormat="1" applyFill="1" applyBorder="1"/>
    <xf numFmtId="10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 applyProtection="1">
      <protection locked="0"/>
    </xf>
    <xf numFmtId="172" fontId="3" fillId="0" borderId="0" xfId="0" applyNumberFormat="1" applyFont="1" applyFill="1" applyBorder="1" applyAlignment="1" applyProtection="1">
      <protection locked="0"/>
    </xf>
    <xf numFmtId="3" fontId="19" fillId="0" borderId="0" xfId="0" applyNumberFormat="1" applyFont="1" applyFill="1" applyBorder="1" applyAlignment="1"/>
    <xf numFmtId="3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centerContinuous"/>
    </xf>
  </cellXfs>
  <cellStyles count="18">
    <cellStyle name="Comma" xfId="1" builtinId="3"/>
    <cellStyle name="Comma [0]" xfId="17" builtinId="6"/>
    <cellStyle name="Currency" xfId="2" builtinId="4"/>
    <cellStyle name="Normal" xfId="0" builtinId="0"/>
    <cellStyle name="Normal 10" xfId="16" xr:uid="{6F9CAA8E-9F86-460E-B9FC-CB82A3F0CC60}"/>
    <cellStyle name="Normal_F   6   7" xfId="3" xr:uid="{00000000-0005-0000-0000-000003000000}"/>
    <cellStyle name="Normal_PECO Gas Exhibits" xfId="4" xr:uid="{00000000-0005-0000-0000-000004000000}"/>
    <cellStyle name="Normal_PGW 2006" xfId="5" xr:uid="{00000000-0005-0000-0000-000005000000}"/>
    <cellStyle name="Normal_PGW Budget FY06-07 Final 08Jun06" xfId="6" xr:uid="{00000000-0005-0000-0000-000006000000}"/>
    <cellStyle name="Normal_Proof Sheets (20A3 Less MD)" xfId="7" xr:uid="{00000000-0005-0000-0000-000007000000}"/>
    <cellStyle name="Normal_Table 3" xfId="14" xr:uid="{00000000-0005-0000-0000-000008000000}"/>
    <cellStyle name="Normal_Table 4" xfId="15" xr:uid="{A7722C5E-2AC5-49AA-A028-7E6EF3320635}"/>
    <cellStyle name="Output Amounts" xfId="8" xr:uid="{00000000-0005-0000-0000-000009000000}"/>
    <cellStyle name="Output Column Headings" xfId="9" xr:uid="{00000000-0005-0000-0000-00000A000000}"/>
    <cellStyle name="Output Line Items" xfId="10" xr:uid="{00000000-0005-0000-0000-00000B000000}"/>
    <cellStyle name="Output Report Heading" xfId="11" xr:uid="{00000000-0005-0000-0000-00000C000000}"/>
    <cellStyle name="Output Report Title" xfId="12" xr:uid="{00000000-0005-0000-0000-00000D000000}"/>
    <cellStyle name="Percent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781050" y="136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0</xdr:colOff>
      <xdr:row>78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7810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0</xdr:colOff>
      <xdr:row>84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ChangeShapeType="1"/>
        </xdr:cNvSpPr>
      </xdr:nvSpPr>
      <xdr:spPr bwMode="auto">
        <a:xfrm>
          <a:off x="78105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96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>
          <a:off x="781050" y="1184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ShapeType="1"/>
        </xdr:cNvSpPr>
      </xdr:nvSpPr>
      <xdr:spPr bwMode="auto">
        <a:xfrm>
          <a:off x="781050" y="1299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>
          <a:off x="781050" y="14706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ShapeType="1"/>
        </xdr:cNvSpPr>
      </xdr:nvSpPr>
      <xdr:spPr bwMode="auto">
        <a:xfrm>
          <a:off x="781050" y="174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0</xdr:colOff>
      <xdr:row>78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>
          <a:spLocks noChangeShapeType="1"/>
        </xdr:cNvSpPr>
      </xdr:nvSpPr>
      <xdr:spPr bwMode="auto">
        <a:xfrm>
          <a:off x="7810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0</xdr:colOff>
      <xdr:row>84</xdr:row>
      <xdr:rowOff>0</xdr:rowOff>
    </xdr:to>
    <xdr:sp macro="" textlink="">
      <xdr:nvSpPr>
        <xdr:cNvPr id="1033" name="Line 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>
          <a:spLocks noChangeShapeType="1"/>
        </xdr:cNvSpPr>
      </xdr:nvSpPr>
      <xdr:spPr bwMode="auto">
        <a:xfrm>
          <a:off x="78105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96</xdr:row>
      <xdr:rowOff>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ShapeType="1"/>
        </xdr:cNvSpPr>
      </xdr:nvSpPr>
      <xdr:spPr bwMode="auto">
        <a:xfrm>
          <a:off x="781050" y="1184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0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>
          <a:spLocks noChangeShapeType="1"/>
        </xdr:cNvSpPr>
      </xdr:nvSpPr>
      <xdr:spPr bwMode="auto">
        <a:xfrm>
          <a:off x="781050" y="1299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ShapeType="1"/>
        </xdr:cNvSpPr>
      </xdr:nvSpPr>
      <xdr:spPr bwMode="auto">
        <a:xfrm>
          <a:off x="781050" y="600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ShapeType="1"/>
        </xdr:cNvSpPr>
      </xdr:nvSpPr>
      <xdr:spPr bwMode="auto">
        <a:xfrm>
          <a:off x="781050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038" name="Line 1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>
          <a:spLocks noChangeShapeType="1"/>
        </xdr:cNvSpPr>
      </xdr:nvSpPr>
      <xdr:spPr bwMode="auto">
        <a:xfrm>
          <a:off x="781050" y="9372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ShapeType="1"/>
        </xdr:cNvSpPr>
      </xdr:nvSpPr>
      <xdr:spPr bwMode="auto">
        <a:xfrm>
          <a:off x="781050" y="1146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 macro="" textlink="">
      <xdr:nvSpPr>
        <xdr:cNvPr id="1040" name="Line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ShapeType="1"/>
        </xdr:cNvSpPr>
      </xdr:nvSpPr>
      <xdr:spPr bwMode="auto">
        <a:xfrm>
          <a:off x="781050" y="1261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 macro="" textlink="">
      <xdr:nvSpPr>
        <xdr:cNvPr id="1041" name="Line 17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>
          <a:spLocks noChangeShapeType="1"/>
        </xdr:cNvSpPr>
      </xdr:nvSpPr>
      <xdr:spPr bwMode="auto">
        <a:xfrm>
          <a:off x="78105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%20-%20PROJECT%20FILES/331050%20AND%20100350%20-%20HARRISBURG/UGI%20Utilities/Gas%20Division/059058-COS/5-ProjectWorking/B-PreliminaryReport/UGI-PNG%20ADR%202007%203%2030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UGI%20Utilities/Gas%20Division/066475-2020RateCase/200-COS/5-ProjWrkng/A-ClientSupFiles/COS-6-UGI%20Services%20Vintage%20Survivors%20Report%20by%20FERC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UGI%20Utilities/Gas%20Division/066475-2020RateCase/200-COS/5-ProjWrkng/A-ClientSupFiles/UGI%20Gas%20Net%20Write-Off%20Analysis%202017%20-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UGI%20Utilities/Gas%20Division/066475-2020RateCase/200-COS/5-ProjWrkng/A-ClientSupFiles/Forfeited%20Discou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UGI%20Utilities/Gas%20Division/066475-2020RateCase/200-COS/5-ProjWrkng/A-ClientSupFiles/UGI%20Gas%20Exhibit%20A%20-%20%20FPFTY%20(01.11.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UGI%20Utilities/Gas%20Division/066475-2020RateCase/200-COS/5-ProjWrkng/B-PrelimRpt/Depreciation/UGI%20Gas%202021%20FPFTY%20Schedules_1.8.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UGI%20Utilities/Gas%20Division/064336-2019RateCase/200-COS/5-ProjWrkng/B-PrelimRpt/IS%20Account%2039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UGI%20Utilities/Gas%20Division/066475-2020RateCase/200-COS/5-ProjWrkng/A-ClientSupFiles/Summary%20874%20Labor%20Productivity%20-%20FY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UGI%20Utilities/Gas%20Division/066475-2020RateCase/200-COS/5-ProjWrkng/A-ClientSupFiles/Mains%20(SDR-COS-4)%20Original%20Cost%20Footage%20-%20UPDATED%2012.12.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UGI%20Utilities/Gas%20Division/066475-2020RateCase/200-COS/5-ProjWrkng/A-ClientSupFiles/2021%20Gas%20POR%202020_01_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UGI%20Utilities/Gas%20Division/066475-2020RateCase/200-COS/5-ProjWrkng/A-ClientSupFiles/Direct%20Assignment%20-%20XD%20Customer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UGI%20Utilities/Gas%20Division/066475-2020RateCase/200-COS/5-ProjWrkng/A-ClientSupFiles/COS-7-Meters%20UGI%20Vintage%20Survivors%20Report%20by%20FERC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Deprate"/>
      <sheetName val="Descriptions"/>
      <sheetName val="Plant Statement"/>
      <sheetName val="Reserve Schedule"/>
      <sheetName val="Reserve for LDS"/>
      <sheetName val="Reserve Allocation"/>
      <sheetName val="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301</v>
          </cell>
          <cell r="B2" t="str">
            <v xml:space="preserve">       </v>
          </cell>
          <cell r="C2">
            <v>0</v>
          </cell>
          <cell r="D2" t="str">
            <v xml:space="preserve">ND   </v>
          </cell>
          <cell r="E2">
            <v>0</v>
          </cell>
          <cell r="F2">
            <v>86238.28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A3">
            <v>302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9422.34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374.1</v>
          </cell>
          <cell r="B4" t="str">
            <v xml:space="preserve">       </v>
          </cell>
          <cell r="C4">
            <v>0</v>
          </cell>
          <cell r="D4" t="str">
            <v xml:space="preserve">ND   </v>
          </cell>
          <cell r="E4">
            <v>0</v>
          </cell>
          <cell r="F4">
            <v>301213.95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>
            <v>374.2</v>
          </cell>
          <cell r="B5" t="str">
            <v xml:space="preserve">       </v>
          </cell>
          <cell r="C5">
            <v>0</v>
          </cell>
          <cell r="D5" t="str">
            <v xml:space="preserve">ND   </v>
          </cell>
          <cell r="E5">
            <v>0</v>
          </cell>
          <cell r="F5">
            <v>2073898.06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 xml:space="preserve">375.00 00010000     </v>
          </cell>
          <cell r="B6">
            <v>45992</v>
          </cell>
          <cell r="C6">
            <v>55</v>
          </cell>
          <cell r="D6" t="str">
            <v xml:space="preserve">R1.5 </v>
          </cell>
          <cell r="E6">
            <v>0</v>
          </cell>
          <cell r="F6">
            <v>4834.8500000000004</v>
          </cell>
          <cell r="G6">
            <v>3703</v>
          </cell>
          <cell r="H6">
            <v>1132</v>
          </cell>
          <cell r="I6">
            <v>69</v>
          </cell>
          <cell r="J6">
            <v>1.43</v>
          </cell>
          <cell r="K6">
            <v>16.399999999999999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76.599999999999994</v>
          </cell>
          <cell r="P6">
            <v>29.1</v>
          </cell>
          <cell r="Q6">
            <v>2903</v>
          </cell>
          <cell r="R6">
            <v>119</v>
          </cell>
          <cell r="S6">
            <v>2.46</v>
          </cell>
        </row>
        <row r="7">
          <cell r="A7" t="str">
            <v xml:space="preserve">375.00 00020000     </v>
          </cell>
          <cell r="B7">
            <v>40878</v>
          </cell>
          <cell r="C7">
            <v>55</v>
          </cell>
          <cell r="D7" t="str">
            <v xml:space="preserve">R1.5 </v>
          </cell>
          <cell r="E7">
            <v>0</v>
          </cell>
          <cell r="F7">
            <v>2171.17</v>
          </cell>
          <cell r="G7">
            <v>2484</v>
          </cell>
          <cell r="H7">
            <v>-313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114.4</v>
          </cell>
          <cell r="P7">
            <v>41.3</v>
          </cell>
          <cell r="Q7">
            <v>1947</v>
          </cell>
          <cell r="R7">
            <v>55</v>
          </cell>
          <cell r="S7">
            <v>2.5299999999999998</v>
          </cell>
        </row>
        <row r="8">
          <cell r="A8" t="str">
            <v xml:space="preserve">375.00 00070000     </v>
          </cell>
          <cell r="B8">
            <v>42339</v>
          </cell>
          <cell r="C8">
            <v>55</v>
          </cell>
          <cell r="D8" t="str">
            <v xml:space="preserve">R1.5 </v>
          </cell>
          <cell r="E8">
            <v>0</v>
          </cell>
          <cell r="F8">
            <v>1283</v>
          </cell>
          <cell r="G8">
            <v>1214</v>
          </cell>
          <cell r="H8">
            <v>69</v>
          </cell>
          <cell r="I8">
            <v>9</v>
          </cell>
          <cell r="J8">
            <v>0.7</v>
          </cell>
          <cell r="K8">
            <v>7.7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94.6</v>
          </cell>
          <cell r="P8">
            <v>25.3</v>
          </cell>
          <cell r="Q8">
            <v>952</v>
          </cell>
          <cell r="R8">
            <v>42</v>
          </cell>
          <cell r="S8">
            <v>3.27</v>
          </cell>
        </row>
        <row r="9">
          <cell r="A9" t="str">
            <v xml:space="preserve">375.00 00110000     </v>
          </cell>
          <cell r="B9">
            <v>42339</v>
          </cell>
          <cell r="C9">
            <v>55</v>
          </cell>
          <cell r="D9" t="str">
            <v xml:space="preserve">R1.5 </v>
          </cell>
          <cell r="E9">
            <v>0</v>
          </cell>
          <cell r="F9">
            <v>685.13</v>
          </cell>
          <cell r="G9">
            <v>654</v>
          </cell>
          <cell r="H9">
            <v>31</v>
          </cell>
          <cell r="I9">
            <v>4</v>
          </cell>
          <cell r="J9">
            <v>0.57999999999999996</v>
          </cell>
          <cell r="K9">
            <v>7.8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95.5</v>
          </cell>
          <cell r="P9">
            <v>26.3</v>
          </cell>
          <cell r="Q9">
            <v>513</v>
          </cell>
          <cell r="R9">
            <v>22</v>
          </cell>
          <cell r="S9">
            <v>3.21</v>
          </cell>
        </row>
        <row r="10">
          <cell r="A10" t="str">
            <v xml:space="preserve">375.00 00160000     </v>
          </cell>
          <cell r="B10">
            <v>42339</v>
          </cell>
          <cell r="C10">
            <v>55</v>
          </cell>
          <cell r="D10" t="str">
            <v xml:space="preserve">R1.5 </v>
          </cell>
          <cell r="E10">
            <v>0</v>
          </cell>
          <cell r="F10">
            <v>44728.75</v>
          </cell>
          <cell r="G10">
            <v>45947</v>
          </cell>
          <cell r="H10">
            <v>-1218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102.7</v>
          </cell>
          <cell r="P10">
            <v>37.299999999999997</v>
          </cell>
          <cell r="Q10">
            <v>36016</v>
          </cell>
          <cell r="R10">
            <v>1123</v>
          </cell>
          <cell r="S10">
            <v>2.5099999999999998</v>
          </cell>
        </row>
        <row r="11">
          <cell r="A11" t="str">
            <v xml:space="preserve">375.00 00190000     </v>
          </cell>
          <cell r="B11">
            <v>42339</v>
          </cell>
          <cell r="C11">
            <v>55</v>
          </cell>
          <cell r="D11" t="str">
            <v xml:space="preserve">R1.5 </v>
          </cell>
          <cell r="E11">
            <v>0</v>
          </cell>
          <cell r="F11">
            <v>31446.97</v>
          </cell>
          <cell r="G11">
            <v>30884</v>
          </cell>
          <cell r="H11">
            <v>563</v>
          </cell>
          <cell r="I11">
            <v>70</v>
          </cell>
          <cell r="J11">
            <v>0.22</v>
          </cell>
          <cell r="K11">
            <v>8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98.2</v>
          </cell>
          <cell r="P11">
            <v>36.700000000000003</v>
          </cell>
          <cell r="Q11">
            <v>24209</v>
          </cell>
          <cell r="R11">
            <v>929</v>
          </cell>
          <cell r="S11">
            <v>2.95</v>
          </cell>
        </row>
        <row r="12">
          <cell r="A12" t="str">
            <v xml:space="preserve">375.00 00200000     </v>
          </cell>
          <cell r="B12">
            <v>41244</v>
          </cell>
          <cell r="C12">
            <v>55</v>
          </cell>
          <cell r="D12" t="str">
            <v xml:space="preserve">R1.5 </v>
          </cell>
          <cell r="E12">
            <v>0</v>
          </cell>
          <cell r="F12">
            <v>1705.05</v>
          </cell>
          <cell r="G12">
            <v>1888</v>
          </cell>
          <cell r="H12">
            <v>-183</v>
          </cell>
          <cell r="I12">
            <v>0</v>
          </cell>
          <cell r="J12">
            <v>0</v>
          </cell>
          <cell r="K12">
            <v>0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110.7</v>
          </cell>
          <cell r="P12">
            <v>38.4</v>
          </cell>
          <cell r="Q12">
            <v>1480</v>
          </cell>
          <cell r="R12">
            <v>45</v>
          </cell>
          <cell r="S12">
            <v>2.64</v>
          </cell>
        </row>
        <row r="13">
          <cell r="A13" t="str">
            <v xml:space="preserve">375.00 00210000     </v>
          </cell>
          <cell r="B13">
            <v>40148</v>
          </cell>
          <cell r="C13">
            <v>55</v>
          </cell>
          <cell r="D13" t="str">
            <v xml:space="preserve">R1.5 </v>
          </cell>
          <cell r="E13">
            <v>0</v>
          </cell>
          <cell r="F13">
            <v>2980.16</v>
          </cell>
          <cell r="G13">
            <v>3591</v>
          </cell>
          <cell r="H13">
            <v>-611</v>
          </cell>
          <cell r="I13">
            <v>0</v>
          </cell>
          <cell r="J13">
            <v>0</v>
          </cell>
          <cell r="K13">
            <v>0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120.5</v>
          </cell>
          <cell r="P13">
            <v>43.3</v>
          </cell>
          <cell r="Q13">
            <v>2815</v>
          </cell>
          <cell r="R13">
            <v>75</v>
          </cell>
          <cell r="S13">
            <v>2.52</v>
          </cell>
        </row>
        <row r="14">
          <cell r="A14" t="str">
            <v xml:space="preserve">375.00 00230000     </v>
          </cell>
          <cell r="B14">
            <v>43435</v>
          </cell>
          <cell r="C14">
            <v>55</v>
          </cell>
          <cell r="D14" t="str">
            <v xml:space="preserve">R1.5 </v>
          </cell>
          <cell r="E14">
            <v>0</v>
          </cell>
          <cell r="F14">
            <v>9832.89</v>
          </cell>
          <cell r="G14">
            <v>9262</v>
          </cell>
          <cell r="H14">
            <v>571</v>
          </cell>
          <cell r="I14">
            <v>55</v>
          </cell>
          <cell r="J14">
            <v>0.56000000000000005</v>
          </cell>
          <cell r="K14">
            <v>10.4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94.2</v>
          </cell>
          <cell r="P14">
            <v>34.299999999999997</v>
          </cell>
          <cell r="Q14">
            <v>7260</v>
          </cell>
          <cell r="R14">
            <v>247</v>
          </cell>
          <cell r="S14">
            <v>2.5099999999999998</v>
          </cell>
        </row>
        <row r="15">
          <cell r="A15" t="str">
            <v xml:space="preserve">375.00 00240000     </v>
          </cell>
          <cell r="B15">
            <v>42705</v>
          </cell>
          <cell r="C15">
            <v>55</v>
          </cell>
          <cell r="D15" t="str">
            <v xml:space="preserve">R1.5 </v>
          </cell>
          <cell r="E15">
            <v>0</v>
          </cell>
          <cell r="F15">
            <v>12354.87</v>
          </cell>
          <cell r="G15">
            <v>11498</v>
          </cell>
          <cell r="H15">
            <v>857</v>
          </cell>
          <cell r="I15">
            <v>95</v>
          </cell>
          <cell r="J15">
            <v>0.77</v>
          </cell>
          <cell r="K15">
            <v>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93.1</v>
          </cell>
          <cell r="P15">
            <v>30.6</v>
          </cell>
          <cell r="Q15">
            <v>9013</v>
          </cell>
          <cell r="R15">
            <v>380</v>
          </cell>
          <cell r="S15">
            <v>3.08</v>
          </cell>
        </row>
        <row r="16">
          <cell r="A16" t="str">
            <v xml:space="preserve">375.00 00250000     </v>
          </cell>
          <cell r="B16">
            <v>43435</v>
          </cell>
          <cell r="C16">
            <v>55</v>
          </cell>
          <cell r="D16" t="str">
            <v xml:space="preserve">R1.5 </v>
          </cell>
          <cell r="E16">
            <v>0</v>
          </cell>
          <cell r="F16">
            <v>8778.07</v>
          </cell>
          <cell r="G16">
            <v>5028</v>
          </cell>
          <cell r="H16">
            <v>3751</v>
          </cell>
          <cell r="I16">
            <v>344</v>
          </cell>
          <cell r="J16">
            <v>3.92</v>
          </cell>
          <cell r="K16">
            <v>10.9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57.3</v>
          </cell>
          <cell r="P16">
            <v>14.8</v>
          </cell>
          <cell r="Q16">
            <v>3941</v>
          </cell>
          <cell r="R16">
            <v>444</v>
          </cell>
          <cell r="S16">
            <v>5.0599999999999996</v>
          </cell>
        </row>
        <row r="17">
          <cell r="A17" t="str">
            <v xml:space="preserve">375.00 00260000     </v>
          </cell>
          <cell r="B17">
            <v>43435</v>
          </cell>
          <cell r="C17">
            <v>55</v>
          </cell>
          <cell r="D17" t="str">
            <v xml:space="preserve">R1.5 </v>
          </cell>
          <cell r="E17">
            <v>0</v>
          </cell>
          <cell r="F17">
            <v>13855.77</v>
          </cell>
          <cell r="G17">
            <v>10409</v>
          </cell>
          <cell r="H17">
            <v>3447</v>
          </cell>
          <cell r="I17">
            <v>317</v>
          </cell>
          <cell r="J17">
            <v>2.29</v>
          </cell>
          <cell r="K17">
            <v>10.9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75.099999999999994</v>
          </cell>
          <cell r="P17">
            <v>24</v>
          </cell>
          <cell r="Q17">
            <v>8159</v>
          </cell>
          <cell r="R17">
            <v>530</v>
          </cell>
          <cell r="S17">
            <v>3.83</v>
          </cell>
        </row>
        <row r="18">
          <cell r="A18" t="str">
            <v xml:space="preserve">375.00 00270000     </v>
          </cell>
          <cell r="B18">
            <v>42339</v>
          </cell>
          <cell r="C18">
            <v>55</v>
          </cell>
          <cell r="D18" t="str">
            <v xml:space="preserve">R1.5 </v>
          </cell>
          <cell r="E18">
            <v>0</v>
          </cell>
          <cell r="F18">
            <v>690.3</v>
          </cell>
          <cell r="G18">
            <v>730</v>
          </cell>
          <cell r="H18">
            <v>-40</v>
          </cell>
          <cell r="I18">
            <v>0</v>
          </cell>
          <cell r="J18">
            <v>0</v>
          </cell>
          <cell r="K18">
            <v>0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105.8</v>
          </cell>
          <cell r="P18">
            <v>44.3</v>
          </cell>
          <cell r="Q18">
            <v>572</v>
          </cell>
          <cell r="R18">
            <v>16</v>
          </cell>
          <cell r="S18">
            <v>2.3199999999999998</v>
          </cell>
        </row>
        <row r="19">
          <cell r="A19" t="str">
            <v xml:space="preserve">375.00 00280000     </v>
          </cell>
          <cell r="B19">
            <v>42705</v>
          </cell>
          <cell r="C19">
            <v>55</v>
          </cell>
          <cell r="D19" t="str">
            <v xml:space="preserve">R1.5 </v>
          </cell>
          <cell r="E19">
            <v>0</v>
          </cell>
          <cell r="F19">
            <v>9592.74</v>
          </cell>
          <cell r="G19">
            <v>9579</v>
          </cell>
          <cell r="H19">
            <v>14</v>
          </cell>
          <cell r="I19">
            <v>2</v>
          </cell>
          <cell r="J19">
            <v>0.02</v>
          </cell>
          <cell r="K19">
            <v>7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99.9</v>
          </cell>
          <cell r="P19">
            <v>36.299999999999997</v>
          </cell>
          <cell r="Q19">
            <v>7509</v>
          </cell>
          <cell r="R19">
            <v>241</v>
          </cell>
          <cell r="S19">
            <v>2.5099999999999998</v>
          </cell>
        </row>
        <row r="20">
          <cell r="A20" t="str">
            <v xml:space="preserve">375.00 00290000     </v>
          </cell>
          <cell r="B20">
            <v>54027</v>
          </cell>
          <cell r="C20">
            <v>55</v>
          </cell>
          <cell r="D20" t="str">
            <v xml:space="preserve">R1.5 </v>
          </cell>
          <cell r="E20">
            <v>0</v>
          </cell>
          <cell r="F20">
            <v>8668.67</v>
          </cell>
          <cell r="G20">
            <v>2654</v>
          </cell>
          <cell r="H20">
            <v>6015</v>
          </cell>
          <cell r="I20">
            <v>180</v>
          </cell>
          <cell r="J20">
            <v>2.08</v>
          </cell>
          <cell r="K20">
            <v>33.4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30.6</v>
          </cell>
          <cell r="P20">
            <v>15.2</v>
          </cell>
          <cell r="Q20">
            <v>2080</v>
          </cell>
          <cell r="R20">
            <v>201</v>
          </cell>
          <cell r="S20">
            <v>2.3199999999999998</v>
          </cell>
        </row>
        <row r="21">
          <cell r="A21" t="str">
            <v xml:space="preserve">375.00 00300000     </v>
          </cell>
          <cell r="B21">
            <v>41244</v>
          </cell>
          <cell r="C21">
            <v>55</v>
          </cell>
          <cell r="D21" t="str">
            <v xml:space="preserve">R1.5 </v>
          </cell>
          <cell r="E21">
            <v>0</v>
          </cell>
          <cell r="F21">
            <v>17260.810000000001</v>
          </cell>
          <cell r="G21">
            <v>19237</v>
          </cell>
          <cell r="H21">
            <v>-1976</v>
          </cell>
          <cell r="I21">
            <v>0</v>
          </cell>
          <cell r="J21">
            <v>0</v>
          </cell>
          <cell r="K21">
            <v>0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111.4</v>
          </cell>
          <cell r="P21">
            <v>40.299999999999997</v>
          </cell>
          <cell r="Q21">
            <v>15079</v>
          </cell>
          <cell r="R21">
            <v>433</v>
          </cell>
          <cell r="S21">
            <v>2.5099999999999998</v>
          </cell>
        </row>
        <row r="22">
          <cell r="A22" t="str">
            <v xml:space="preserve">375.00 00310000     </v>
          </cell>
          <cell r="B22">
            <v>41609</v>
          </cell>
          <cell r="C22">
            <v>55</v>
          </cell>
          <cell r="D22" t="str">
            <v xml:space="preserve">R1.5 </v>
          </cell>
          <cell r="E22">
            <v>0</v>
          </cell>
          <cell r="F22">
            <v>5093.8599999999997</v>
          </cell>
          <cell r="G22">
            <v>5003</v>
          </cell>
          <cell r="H22">
            <v>91</v>
          </cell>
          <cell r="I22">
            <v>15</v>
          </cell>
          <cell r="J22">
            <v>0.28999999999999998</v>
          </cell>
          <cell r="K22">
            <v>6.1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98.2</v>
          </cell>
          <cell r="P22">
            <v>28.1</v>
          </cell>
          <cell r="Q22">
            <v>3922</v>
          </cell>
          <cell r="R22">
            <v>193</v>
          </cell>
          <cell r="S22">
            <v>3.79</v>
          </cell>
        </row>
        <row r="23">
          <cell r="A23" t="str">
            <v xml:space="preserve">375.00 00320000     </v>
          </cell>
          <cell r="B23">
            <v>51105</v>
          </cell>
          <cell r="C23">
            <v>55</v>
          </cell>
          <cell r="D23" t="str">
            <v xml:space="preserve">R1.5 </v>
          </cell>
          <cell r="E23">
            <v>0</v>
          </cell>
          <cell r="F23">
            <v>14723.61</v>
          </cell>
          <cell r="G23">
            <v>5387</v>
          </cell>
          <cell r="H23">
            <v>9337</v>
          </cell>
          <cell r="I23">
            <v>329</v>
          </cell>
          <cell r="J23">
            <v>2.23</v>
          </cell>
          <cell r="K23">
            <v>28.4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36.6</v>
          </cell>
          <cell r="P23">
            <v>13.3</v>
          </cell>
          <cell r="Q23">
            <v>4223</v>
          </cell>
          <cell r="R23">
            <v>370</v>
          </cell>
          <cell r="S23">
            <v>2.5099999999999998</v>
          </cell>
        </row>
        <row r="24">
          <cell r="A24" t="str">
            <v xml:space="preserve">375.00 00330000     </v>
          </cell>
          <cell r="B24">
            <v>41244</v>
          </cell>
          <cell r="C24">
            <v>55</v>
          </cell>
          <cell r="D24" t="str">
            <v xml:space="preserve">R1.5 </v>
          </cell>
          <cell r="E24">
            <v>0</v>
          </cell>
          <cell r="F24">
            <v>1549.58</v>
          </cell>
          <cell r="G24">
            <v>1727</v>
          </cell>
          <cell r="H24">
            <v>-177</v>
          </cell>
          <cell r="I24">
            <v>0</v>
          </cell>
          <cell r="J24">
            <v>0</v>
          </cell>
          <cell r="K24">
            <v>0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111.4</v>
          </cell>
          <cell r="P24">
            <v>40.299999999999997</v>
          </cell>
          <cell r="Q24">
            <v>1354</v>
          </cell>
          <cell r="R24">
            <v>39</v>
          </cell>
          <cell r="S24">
            <v>2.52</v>
          </cell>
        </row>
        <row r="25">
          <cell r="A25" t="str">
            <v xml:space="preserve">375.00 00340000     </v>
          </cell>
          <cell r="B25">
            <v>46722</v>
          </cell>
          <cell r="C25">
            <v>55</v>
          </cell>
          <cell r="D25" t="str">
            <v xml:space="preserve">R1.5 </v>
          </cell>
          <cell r="E25">
            <v>0</v>
          </cell>
          <cell r="F25">
            <v>29305.57</v>
          </cell>
          <cell r="G25">
            <v>19258</v>
          </cell>
          <cell r="H25">
            <v>10048</v>
          </cell>
          <cell r="I25">
            <v>547</v>
          </cell>
          <cell r="J25">
            <v>1.87</v>
          </cell>
          <cell r="K25">
            <v>18.399999999999999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65.7</v>
          </cell>
          <cell r="P25">
            <v>28.4</v>
          </cell>
          <cell r="Q25">
            <v>15096</v>
          </cell>
          <cell r="R25">
            <v>797</v>
          </cell>
          <cell r="S25">
            <v>2.72</v>
          </cell>
        </row>
        <row r="26">
          <cell r="A26" t="str">
            <v xml:space="preserve">375.00 00350000     </v>
          </cell>
          <cell r="B26">
            <v>46357</v>
          </cell>
          <cell r="C26">
            <v>55</v>
          </cell>
          <cell r="D26" t="str">
            <v xml:space="preserve">R1.5 </v>
          </cell>
          <cell r="E26">
            <v>0</v>
          </cell>
          <cell r="F26">
            <v>20048.48</v>
          </cell>
          <cell r="G26">
            <v>12690</v>
          </cell>
          <cell r="H26">
            <v>7358</v>
          </cell>
          <cell r="I26">
            <v>416</v>
          </cell>
          <cell r="J26">
            <v>2.0699999999999998</v>
          </cell>
          <cell r="K26">
            <v>17.7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63.3</v>
          </cell>
          <cell r="P26">
            <v>21.9</v>
          </cell>
          <cell r="Q26">
            <v>9947</v>
          </cell>
          <cell r="R26">
            <v>573</v>
          </cell>
          <cell r="S26">
            <v>2.86</v>
          </cell>
        </row>
        <row r="27">
          <cell r="A27" t="str">
            <v xml:space="preserve">375.00 00360000     </v>
          </cell>
          <cell r="B27">
            <v>43800</v>
          </cell>
          <cell r="C27">
            <v>55</v>
          </cell>
          <cell r="D27" t="str">
            <v xml:space="preserve">R1.5 </v>
          </cell>
          <cell r="E27">
            <v>0</v>
          </cell>
          <cell r="F27">
            <v>3910.02</v>
          </cell>
          <cell r="G27">
            <v>3719</v>
          </cell>
          <cell r="H27">
            <v>191</v>
          </cell>
          <cell r="I27">
            <v>17</v>
          </cell>
          <cell r="J27">
            <v>0.43</v>
          </cell>
          <cell r="K27">
            <v>11.2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95.1</v>
          </cell>
          <cell r="P27">
            <v>40.5</v>
          </cell>
          <cell r="Q27">
            <v>2915</v>
          </cell>
          <cell r="R27">
            <v>91</v>
          </cell>
          <cell r="S27">
            <v>2.33</v>
          </cell>
        </row>
        <row r="28">
          <cell r="A28" t="str">
            <v xml:space="preserve">375.00 00370000     </v>
          </cell>
          <cell r="B28">
            <v>44531</v>
          </cell>
          <cell r="C28">
            <v>55</v>
          </cell>
          <cell r="D28" t="str">
            <v xml:space="preserve">R1.5 </v>
          </cell>
          <cell r="E28">
            <v>0</v>
          </cell>
          <cell r="F28">
            <v>7301.09</v>
          </cell>
          <cell r="G28">
            <v>4696</v>
          </cell>
          <cell r="H28">
            <v>2605</v>
          </cell>
          <cell r="I28">
            <v>191</v>
          </cell>
          <cell r="J28">
            <v>2.62</v>
          </cell>
          <cell r="K28">
            <v>13.6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64.3</v>
          </cell>
          <cell r="P28">
            <v>22.5</v>
          </cell>
          <cell r="Q28">
            <v>3681</v>
          </cell>
          <cell r="R28">
            <v>270</v>
          </cell>
          <cell r="S28">
            <v>3.7</v>
          </cell>
        </row>
        <row r="29">
          <cell r="A29" t="str">
            <v xml:space="preserve">375.00 00380000     </v>
          </cell>
          <cell r="B29">
            <v>42339</v>
          </cell>
          <cell r="C29">
            <v>55</v>
          </cell>
          <cell r="D29" t="str">
            <v xml:space="preserve">R1.5 </v>
          </cell>
          <cell r="E29">
            <v>0</v>
          </cell>
          <cell r="F29">
            <v>14864.07</v>
          </cell>
          <cell r="G29">
            <v>13687</v>
          </cell>
          <cell r="H29">
            <v>1177</v>
          </cell>
          <cell r="I29">
            <v>145</v>
          </cell>
          <cell r="J29">
            <v>0.98</v>
          </cell>
          <cell r="K29">
            <v>8.1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92.1</v>
          </cell>
          <cell r="P29">
            <v>30.8</v>
          </cell>
          <cell r="Q29">
            <v>10729</v>
          </cell>
          <cell r="R29">
            <v>523</v>
          </cell>
          <cell r="S29">
            <v>3.52</v>
          </cell>
        </row>
        <row r="30">
          <cell r="A30" t="str">
            <v xml:space="preserve">375.00 00400000     </v>
          </cell>
          <cell r="B30">
            <v>42705</v>
          </cell>
          <cell r="C30">
            <v>55</v>
          </cell>
          <cell r="D30" t="str">
            <v xml:space="preserve">R1.5 </v>
          </cell>
          <cell r="E30">
            <v>0</v>
          </cell>
          <cell r="F30">
            <v>11199.51</v>
          </cell>
          <cell r="G30">
            <v>9622</v>
          </cell>
          <cell r="H30">
            <v>1578</v>
          </cell>
          <cell r="I30">
            <v>174</v>
          </cell>
          <cell r="J30">
            <v>1.55</v>
          </cell>
          <cell r="K30">
            <v>9.1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85.9</v>
          </cell>
          <cell r="P30">
            <v>28.6</v>
          </cell>
          <cell r="Q30">
            <v>7542</v>
          </cell>
          <cell r="R30">
            <v>413</v>
          </cell>
          <cell r="S30">
            <v>3.69</v>
          </cell>
        </row>
        <row r="31">
          <cell r="A31" t="str">
            <v xml:space="preserve">375.00 00410000     </v>
          </cell>
          <cell r="B31">
            <v>42339</v>
          </cell>
          <cell r="C31">
            <v>55</v>
          </cell>
          <cell r="D31" t="str">
            <v xml:space="preserve">R1.5 </v>
          </cell>
          <cell r="E31">
            <v>0</v>
          </cell>
          <cell r="F31">
            <v>14781.45</v>
          </cell>
          <cell r="G31">
            <v>13509</v>
          </cell>
          <cell r="H31">
            <v>1273</v>
          </cell>
          <cell r="I31">
            <v>157</v>
          </cell>
          <cell r="J31">
            <v>1.06</v>
          </cell>
          <cell r="K31">
            <v>8.1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91.4</v>
          </cell>
          <cell r="P31">
            <v>30.2</v>
          </cell>
          <cell r="Q31">
            <v>10589</v>
          </cell>
          <cell r="R31">
            <v>530</v>
          </cell>
          <cell r="S31">
            <v>3.59</v>
          </cell>
        </row>
        <row r="32">
          <cell r="A32" t="str">
            <v xml:space="preserve">375.00 00420000     </v>
          </cell>
          <cell r="B32">
            <v>42339</v>
          </cell>
          <cell r="C32">
            <v>55</v>
          </cell>
          <cell r="D32" t="str">
            <v xml:space="preserve">R1.5 </v>
          </cell>
          <cell r="E32">
            <v>0</v>
          </cell>
          <cell r="F32">
            <v>6161.24</v>
          </cell>
          <cell r="G32">
            <v>6329</v>
          </cell>
          <cell r="H32">
            <v>-168</v>
          </cell>
          <cell r="I32">
            <v>0</v>
          </cell>
          <cell r="J32">
            <v>0</v>
          </cell>
          <cell r="K32">
            <v>0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102.7</v>
          </cell>
          <cell r="P32">
            <v>37.299999999999997</v>
          </cell>
          <cell r="Q32">
            <v>4961</v>
          </cell>
          <cell r="R32">
            <v>155</v>
          </cell>
          <cell r="S32">
            <v>2.52</v>
          </cell>
        </row>
        <row r="33">
          <cell r="A33" t="str">
            <v xml:space="preserve">375.00 00430000     </v>
          </cell>
          <cell r="B33">
            <v>54027</v>
          </cell>
          <cell r="C33">
            <v>55</v>
          </cell>
          <cell r="D33" t="str">
            <v xml:space="preserve">R1.5 </v>
          </cell>
          <cell r="E33">
            <v>0</v>
          </cell>
          <cell r="F33">
            <v>13508.25</v>
          </cell>
          <cell r="G33">
            <v>4216</v>
          </cell>
          <cell r="H33">
            <v>9293</v>
          </cell>
          <cell r="I33">
            <v>280</v>
          </cell>
          <cell r="J33">
            <v>2.0699999999999998</v>
          </cell>
          <cell r="K33">
            <v>33.200000000000003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31.2</v>
          </cell>
          <cell r="P33">
            <v>16</v>
          </cell>
          <cell r="Q33">
            <v>3305</v>
          </cell>
          <cell r="R33">
            <v>314</v>
          </cell>
          <cell r="S33">
            <v>2.3199999999999998</v>
          </cell>
        </row>
        <row r="34">
          <cell r="A34" t="str">
            <v xml:space="preserve">375.00 00440000     </v>
          </cell>
          <cell r="B34">
            <v>41974</v>
          </cell>
          <cell r="C34">
            <v>55</v>
          </cell>
          <cell r="D34" t="str">
            <v xml:space="preserve">R1.5 </v>
          </cell>
          <cell r="E34">
            <v>0</v>
          </cell>
          <cell r="F34">
            <v>8523.89</v>
          </cell>
          <cell r="G34">
            <v>6659</v>
          </cell>
          <cell r="H34">
            <v>1865</v>
          </cell>
          <cell r="I34">
            <v>262</v>
          </cell>
          <cell r="J34">
            <v>3.07</v>
          </cell>
          <cell r="K34">
            <v>7.1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78.099999999999994</v>
          </cell>
          <cell r="P34">
            <v>18.899999999999999</v>
          </cell>
          <cell r="Q34">
            <v>5220</v>
          </cell>
          <cell r="R34">
            <v>467</v>
          </cell>
          <cell r="S34">
            <v>5.48</v>
          </cell>
        </row>
        <row r="35">
          <cell r="A35" t="str">
            <v xml:space="preserve">375.00 00450000     </v>
          </cell>
          <cell r="B35">
            <v>43435</v>
          </cell>
          <cell r="C35">
            <v>55</v>
          </cell>
          <cell r="D35" t="str">
            <v xml:space="preserve">R1.5 </v>
          </cell>
          <cell r="E35">
            <v>0</v>
          </cell>
          <cell r="F35">
            <v>9864.89</v>
          </cell>
          <cell r="G35">
            <v>9291</v>
          </cell>
          <cell r="H35">
            <v>574</v>
          </cell>
          <cell r="I35">
            <v>55</v>
          </cell>
          <cell r="J35">
            <v>0.56000000000000005</v>
          </cell>
          <cell r="K35">
            <v>10.4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94.2</v>
          </cell>
          <cell r="P35">
            <v>34.299999999999997</v>
          </cell>
          <cell r="Q35">
            <v>7283</v>
          </cell>
          <cell r="R35">
            <v>248</v>
          </cell>
          <cell r="S35">
            <v>2.5099999999999998</v>
          </cell>
        </row>
        <row r="36">
          <cell r="A36" t="str">
            <v xml:space="preserve">375.00 00460000     </v>
          </cell>
          <cell r="B36">
            <v>42339</v>
          </cell>
          <cell r="C36">
            <v>55</v>
          </cell>
          <cell r="D36" t="str">
            <v xml:space="preserve">R1.5 </v>
          </cell>
          <cell r="E36">
            <v>0</v>
          </cell>
          <cell r="F36">
            <v>9413.2900000000009</v>
          </cell>
          <cell r="G36">
            <v>8119</v>
          </cell>
          <cell r="H36">
            <v>1294</v>
          </cell>
          <cell r="I36">
            <v>160</v>
          </cell>
          <cell r="J36">
            <v>1.7</v>
          </cell>
          <cell r="K36">
            <v>8.1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86.3</v>
          </cell>
          <cell r="P36">
            <v>27.1</v>
          </cell>
          <cell r="Q36">
            <v>6364</v>
          </cell>
          <cell r="R36">
            <v>383</v>
          </cell>
          <cell r="S36">
            <v>4.07</v>
          </cell>
        </row>
        <row r="37">
          <cell r="A37" t="str">
            <v xml:space="preserve">375.00 00470000     </v>
          </cell>
          <cell r="B37">
            <v>54027</v>
          </cell>
          <cell r="C37">
            <v>55</v>
          </cell>
          <cell r="D37" t="str">
            <v xml:space="preserve">R1.5 </v>
          </cell>
          <cell r="E37">
            <v>0</v>
          </cell>
          <cell r="F37">
            <v>5749.58</v>
          </cell>
          <cell r="G37">
            <v>2289</v>
          </cell>
          <cell r="H37">
            <v>3461</v>
          </cell>
          <cell r="I37">
            <v>108</v>
          </cell>
          <cell r="J37">
            <v>1.88</v>
          </cell>
          <cell r="K37">
            <v>32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39.799999999999997</v>
          </cell>
          <cell r="P37">
            <v>21.1</v>
          </cell>
          <cell r="Q37">
            <v>1794</v>
          </cell>
          <cell r="R37">
            <v>128</v>
          </cell>
          <cell r="S37">
            <v>2.23</v>
          </cell>
        </row>
        <row r="38">
          <cell r="A38" t="str">
            <v xml:space="preserve">375.00 00480000     </v>
          </cell>
          <cell r="B38">
            <v>39783</v>
          </cell>
          <cell r="C38">
            <v>55</v>
          </cell>
          <cell r="D38" t="str">
            <v xml:space="preserve">R1.5 </v>
          </cell>
          <cell r="E38">
            <v>0</v>
          </cell>
          <cell r="F38">
            <v>6790.07</v>
          </cell>
          <cell r="G38">
            <v>8195</v>
          </cell>
          <cell r="H38">
            <v>-1405</v>
          </cell>
          <cell r="I38">
            <v>0</v>
          </cell>
          <cell r="J38">
            <v>0</v>
          </cell>
          <cell r="K38">
            <v>0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120.7</v>
          </cell>
          <cell r="P38">
            <v>37.200000000000003</v>
          </cell>
          <cell r="Q38">
            <v>6424</v>
          </cell>
          <cell r="R38">
            <v>294</v>
          </cell>
          <cell r="S38">
            <v>4.33</v>
          </cell>
        </row>
        <row r="39">
          <cell r="A39" t="str">
            <v xml:space="preserve">375.00 00490000     </v>
          </cell>
          <cell r="B39">
            <v>40148</v>
          </cell>
          <cell r="C39">
            <v>55</v>
          </cell>
          <cell r="D39" t="str">
            <v xml:space="preserve">R1.5 </v>
          </cell>
          <cell r="E39">
            <v>0</v>
          </cell>
          <cell r="F39">
            <v>2256.4499999999998</v>
          </cell>
          <cell r="G39">
            <v>2716</v>
          </cell>
          <cell r="H39">
            <v>-460</v>
          </cell>
          <cell r="I39">
            <v>0</v>
          </cell>
          <cell r="J39">
            <v>0</v>
          </cell>
          <cell r="K39">
            <v>0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120.4</v>
          </cell>
          <cell r="P39">
            <v>42.3</v>
          </cell>
          <cell r="Q39">
            <v>2129</v>
          </cell>
          <cell r="R39">
            <v>58</v>
          </cell>
          <cell r="S39">
            <v>2.57</v>
          </cell>
        </row>
        <row r="40">
          <cell r="A40" t="str">
            <v xml:space="preserve">375.00 00500000     </v>
          </cell>
          <cell r="B40">
            <v>40513</v>
          </cell>
          <cell r="C40">
            <v>55</v>
          </cell>
          <cell r="D40" t="str">
            <v xml:space="preserve">R1.5 </v>
          </cell>
          <cell r="E40">
            <v>0</v>
          </cell>
          <cell r="F40">
            <v>3654.36</v>
          </cell>
          <cell r="G40">
            <v>3936</v>
          </cell>
          <cell r="H40">
            <v>-281</v>
          </cell>
          <cell r="I40">
            <v>0</v>
          </cell>
          <cell r="J40">
            <v>0</v>
          </cell>
          <cell r="K40">
            <v>0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107.7</v>
          </cell>
          <cell r="P40">
            <v>30.5</v>
          </cell>
          <cell r="Q40">
            <v>3085</v>
          </cell>
          <cell r="R40">
            <v>177</v>
          </cell>
          <cell r="S40">
            <v>4.84</v>
          </cell>
        </row>
        <row r="41">
          <cell r="A41" t="str">
            <v xml:space="preserve">375.00 00510000     </v>
          </cell>
          <cell r="B41">
            <v>40513</v>
          </cell>
          <cell r="C41">
            <v>55</v>
          </cell>
          <cell r="D41" t="str">
            <v xml:space="preserve">R1.5 </v>
          </cell>
          <cell r="E41">
            <v>0</v>
          </cell>
          <cell r="F41">
            <v>6058.79</v>
          </cell>
          <cell r="G41">
            <v>5898</v>
          </cell>
          <cell r="H41">
            <v>161</v>
          </cell>
          <cell r="I41">
            <v>50</v>
          </cell>
          <cell r="J41">
            <v>0.83</v>
          </cell>
          <cell r="K41">
            <v>3.2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97.3</v>
          </cell>
          <cell r="P41">
            <v>19.8</v>
          </cell>
          <cell r="Q41">
            <v>4623</v>
          </cell>
          <cell r="R41">
            <v>446</v>
          </cell>
          <cell r="S41">
            <v>7.36</v>
          </cell>
        </row>
        <row r="42">
          <cell r="A42" t="str">
            <v xml:space="preserve">375.00 00560000     </v>
          </cell>
          <cell r="B42">
            <v>46722</v>
          </cell>
          <cell r="C42">
            <v>55</v>
          </cell>
          <cell r="D42" t="str">
            <v xml:space="preserve">R1.5 </v>
          </cell>
          <cell r="E42">
            <v>0</v>
          </cell>
          <cell r="F42">
            <v>15230.57</v>
          </cell>
          <cell r="G42">
            <v>9929</v>
          </cell>
          <cell r="H42">
            <v>5302</v>
          </cell>
          <cell r="I42">
            <v>289</v>
          </cell>
          <cell r="J42">
            <v>1.9</v>
          </cell>
          <cell r="K42">
            <v>18.3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65.2</v>
          </cell>
          <cell r="P42">
            <v>25.6</v>
          </cell>
          <cell r="Q42">
            <v>7783</v>
          </cell>
          <cell r="R42">
            <v>411</v>
          </cell>
          <cell r="S42">
            <v>2.7</v>
          </cell>
        </row>
        <row r="43">
          <cell r="A43" t="str">
            <v xml:space="preserve">375.00 00590000     </v>
          </cell>
          <cell r="B43">
            <v>41974</v>
          </cell>
          <cell r="C43">
            <v>55</v>
          </cell>
          <cell r="D43" t="str">
            <v xml:space="preserve">R1.5 </v>
          </cell>
          <cell r="E43">
            <v>0</v>
          </cell>
          <cell r="F43">
            <v>11120.5</v>
          </cell>
          <cell r="G43">
            <v>9035</v>
          </cell>
          <cell r="H43">
            <v>2086</v>
          </cell>
          <cell r="I43">
            <v>292</v>
          </cell>
          <cell r="J43">
            <v>2.63</v>
          </cell>
          <cell r="K43">
            <v>7.1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81.2</v>
          </cell>
          <cell r="P43">
            <v>22.3</v>
          </cell>
          <cell r="Q43">
            <v>7082</v>
          </cell>
          <cell r="R43">
            <v>571</v>
          </cell>
          <cell r="S43">
            <v>5.13</v>
          </cell>
        </row>
        <row r="44">
          <cell r="A44" t="str">
            <v xml:space="preserve">375.00 00620000     </v>
          </cell>
          <cell r="B44">
            <v>41974</v>
          </cell>
          <cell r="C44">
            <v>55</v>
          </cell>
          <cell r="D44" t="str">
            <v xml:space="preserve">R1.5 </v>
          </cell>
          <cell r="E44">
            <v>0</v>
          </cell>
          <cell r="F44">
            <v>4163.1000000000004</v>
          </cell>
          <cell r="G44">
            <v>1994</v>
          </cell>
          <cell r="H44">
            <v>2169</v>
          </cell>
          <cell r="I44">
            <v>303</v>
          </cell>
          <cell r="J44">
            <v>7.28</v>
          </cell>
          <cell r="K44">
            <v>7.2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47.9</v>
          </cell>
          <cell r="P44">
            <v>17.600000000000001</v>
          </cell>
          <cell r="Q44">
            <v>1709</v>
          </cell>
          <cell r="R44">
            <v>345</v>
          </cell>
          <cell r="S44">
            <v>8.2899999999999991</v>
          </cell>
        </row>
        <row r="45">
          <cell r="A45" t="str">
            <v xml:space="preserve">375.00 00640000     </v>
          </cell>
          <cell r="B45">
            <v>54027</v>
          </cell>
          <cell r="C45">
            <v>55</v>
          </cell>
          <cell r="D45" t="str">
            <v xml:space="preserve">R1.5 </v>
          </cell>
          <cell r="E45">
            <v>0</v>
          </cell>
          <cell r="F45">
            <v>9079.5499999999993</v>
          </cell>
          <cell r="G45">
            <v>2842</v>
          </cell>
          <cell r="H45">
            <v>6238</v>
          </cell>
          <cell r="I45">
            <v>185</v>
          </cell>
          <cell r="J45">
            <v>2.04</v>
          </cell>
          <cell r="K45">
            <v>33.700000000000003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31.3</v>
          </cell>
          <cell r="P45">
            <v>16.399999999999999</v>
          </cell>
          <cell r="Q45">
            <v>2228</v>
          </cell>
          <cell r="R45">
            <v>212</v>
          </cell>
          <cell r="S45">
            <v>2.33</v>
          </cell>
        </row>
        <row r="46">
          <cell r="A46" t="str">
            <v xml:space="preserve">375.00 00660000     </v>
          </cell>
          <cell r="B46">
            <v>42339</v>
          </cell>
          <cell r="C46">
            <v>55</v>
          </cell>
          <cell r="D46" t="str">
            <v xml:space="preserve">R1.5 </v>
          </cell>
          <cell r="E46">
            <v>0</v>
          </cell>
          <cell r="F46">
            <v>10799.19</v>
          </cell>
          <cell r="G46">
            <v>10000</v>
          </cell>
          <cell r="H46">
            <v>799</v>
          </cell>
          <cell r="I46">
            <v>99</v>
          </cell>
          <cell r="J46">
            <v>0.92</v>
          </cell>
          <cell r="K46">
            <v>8.1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92.6</v>
          </cell>
          <cell r="P46">
            <v>30.2</v>
          </cell>
          <cell r="Q46">
            <v>7839</v>
          </cell>
          <cell r="R46">
            <v>374</v>
          </cell>
          <cell r="S46">
            <v>3.46</v>
          </cell>
        </row>
        <row r="47">
          <cell r="A47" t="str">
            <v xml:space="preserve">375.00 00670000     </v>
          </cell>
          <cell r="B47">
            <v>42339</v>
          </cell>
          <cell r="C47">
            <v>55</v>
          </cell>
          <cell r="D47" t="str">
            <v xml:space="preserve">R1.5 </v>
          </cell>
          <cell r="E47">
            <v>0</v>
          </cell>
          <cell r="F47">
            <v>6989.08</v>
          </cell>
          <cell r="G47">
            <v>6862</v>
          </cell>
          <cell r="H47">
            <v>127</v>
          </cell>
          <cell r="I47">
            <v>16</v>
          </cell>
          <cell r="J47">
            <v>0.23</v>
          </cell>
          <cell r="K47">
            <v>7.9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98.2</v>
          </cell>
          <cell r="P47">
            <v>34.1</v>
          </cell>
          <cell r="Q47">
            <v>5379</v>
          </cell>
          <cell r="R47">
            <v>205</v>
          </cell>
          <cell r="S47">
            <v>2.93</v>
          </cell>
        </row>
        <row r="48">
          <cell r="A48" t="str">
            <v xml:space="preserve">375.00 00680000     </v>
          </cell>
          <cell r="B48">
            <v>40513</v>
          </cell>
          <cell r="C48">
            <v>55</v>
          </cell>
          <cell r="D48" t="str">
            <v xml:space="preserve">R1.5 </v>
          </cell>
          <cell r="E48">
            <v>0</v>
          </cell>
          <cell r="F48">
            <v>6531.13</v>
          </cell>
          <cell r="G48">
            <v>6241</v>
          </cell>
          <cell r="H48">
            <v>290</v>
          </cell>
          <cell r="I48">
            <v>90</v>
          </cell>
          <cell r="J48">
            <v>1.38</v>
          </cell>
          <cell r="K48">
            <v>3.2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95.6</v>
          </cell>
          <cell r="P48">
            <v>18.399999999999999</v>
          </cell>
          <cell r="Q48">
            <v>4892</v>
          </cell>
          <cell r="R48">
            <v>509</v>
          </cell>
          <cell r="S48">
            <v>7.79</v>
          </cell>
        </row>
        <row r="49">
          <cell r="A49" t="str">
            <v xml:space="preserve">375.00 00720000     </v>
          </cell>
          <cell r="B49">
            <v>53297</v>
          </cell>
          <cell r="C49">
            <v>55</v>
          </cell>
          <cell r="D49" t="str">
            <v xml:space="preserve">R1.5 </v>
          </cell>
          <cell r="E49">
            <v>0</v>
          </cell>
          <cell r="F49">
            <v>2279.36</v>
          </cell>
          <cell r="G49">
            <v>477</v>
          </cell>
          <cell r="H49">
            <v>1802</v>
          </cell>
          <cell r="I49">
            <v>54</v>
          </cell>
          <cell r="J49">
            <v>2.37</v>
          </cell>
          <cell r="K49">
            <v>33.4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20.9</v>
          </cell>
          <cell r="P49">
            <v>7.6</v>
          </cell>
          <cell r="Q49">
            <v>374</v>
          </cell>
          <cell r="R49">
            <v>57</v>
          </cell>
          <cell r="S49">
            <v>2.5</v>
          </cell>
        </row>
        <row r="50">
          <cell r="A50" t="str">
            <v xml:space="preserve">375.00 00740000     </v>
          </cell>
          <cell r="B50">
            <v>43435</v>
          </cell>
          <cell r="C50">
            <v>55</v>
          </cell>
          <cell r="D50" t="str">
            <v xml:space="preserve">R1.5 </v>
          </cell>
          <cell r="E50">
            <v>0</v>
          </cell>
          <cell r="F50">
            <v>31894.23</v>
          </cell>
          <cell r="G50">
            <v>26914</v>
          </cell>
          <cell r="H50">
            <v>4979</v>
          </cell>
          <cell r="I50">
            <v>461</v>
          </cell>
          <cell r="J50">
            <v>1.45</v>
          </cell>
          <cell r="K50">
            <v>10.8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84.4</v>
          </cell>
          <cell r="P50">
            <v>27.4</v>
          </cell>
          <cell r="Q50">
            <v>21097</v>
          </cell>
          <cell r="R50">
            <v>1017</v>
          </cell>
          <cell r="S50">
            <v>3.19</v>
          </cell>
        </row>
        <row r="51">
          <cell r="A51" t="str">
            <v xml:space="preserve">375.00 00760000     </v>
          </cell>
          <cell r="B51">
            <v>40513</v>
          </cell>
          <cell r="C51">
            <v>55</v>
          </cell>
          <cell r="D51" t="str">
            <v xml:space="preserve">R1.5 </v>
          </cell>
          <cell r="E51">
            <v>0</v>
          </cell>
          <cell r="F51">
            <v>2372.27</v>
          </cell>
          <cell r="G51">
            <v>2786</v>
          </cell>
          <cell r="H51">
            <v>-414</v>
          </cell>
          <cell r="I51">
            <v>0</v>
          </cell>
          <cell r="J51">
            <v>0</v>
          </cell>
          <cell r="K51">
            <v>0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117.4</v>
          </cell>
          <cell r="P51">
            <v>42.3</v>
          </cell>
          <cell r="Q51">
            <v>2184</v>
          </cell>
          <cell r="R51">
            <v>60</v>
          </cell>
          <cell r="S51">
            <v>2.5299999999999998</v>
          </cell>
        </row>
        <row r="52">
          <cell r="A52" t="str">
            <v xml:space="preserve">375.00 00810000     </v>
          </cell>
          <cell r="B52">
            <v>41244</v>
          </cell>
          <cell r="C52">
            <v>55</v>
          </cell>
          <cell r="D52" t="str">
            <v xml:space="preserve">R1.5 </v>
          </cell>
          <cell r="E52">
            <v>0</v>
          </cell>
          <cell r="F52">
            <v>12635.08</v>
          </cell>
          <cell r="G52">
            <v>10131</v>
          </cell>
          <cell r="H52">
            <v>2504</v>
          </cell>
          <cell r="I52">
            <v>482</v>
          </cell>
          <cell r="J52">
            <v>3.81</v>
          </cell>
          <cell r="K52">
            <v>5.2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80.2</v>
          </cell>
          <cell r="P52">
            <v>17.3</v>
          </cell>
          <cell r="Q52">
            <v>7941</v>
          </cell>
          <cell r="R52">
            <v>908</v>
          </cell>
          <cell r="S52">
            <v>7.19</v>
          </cell>
        </row>
        <row r="53">
          <cell r="A53" t="str">
            <v xml:space="preserve">375.00 00830000     </v>
          </cell>
          <cell r="B53">
            <v>41244</v>
          </cell>
          <cell r="C53">
            <v>55</v>
          </cell>
          <cell r="D53" t="str">
            <v xml:space="preserve">R1.5 </v>
          </cell>
          <cell r="E53">
            <v>0</v>
          </cell>
          <cell r="F53">
            <v>10750.08</v>
          </cell>
          <cell r="G53">
            <v>8891</v>
          </cell>
          <cell r="H53">
            <v>1859</v>
          </cell>
          <cell r="I53">
            <v>358</v>
          </cell>
          <cell r="J53">
            <v>3.33</v>
          </cell>
          <cell r="K53">
            <v>5.2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82.7</v>
          </cell>
          <cell r="P53">
            <v>19.2</v>
          </cell>
          <cell r="Q53">
            <v>6969</v>
          </cell>
          <cell r="R53">
            <v>732</v>
          </cell>
          <cell r="S53">
            <v>6.81</v>
          </cell>
        </row>
        <row r="54">
          <cell r="A54" t="str">
            <v xml:space="preserve">375.00 00840000     </v>
          </cell>
          <cell r="B54">
            <v>43435</v>
          </cell>
          <cell r="C54">
            <v>55</v>
          </cell>
          <cell r="D54" t="str">
            <v xml:space="preserve">R1.5 </v>
          </cell>
          <cell r="E54">
            <v>0</v>
          </cell>
          <cell r="F54">
            <v>11282.14</v>
          </cell>
          <cell r="G54">
            <v>10064</v>
          </cell>
          <cell r="H54">
            <v>1218</v>
          </cell>
          <cell r="I54">
            <v>114</v>
          </cell>
          <cell r="J54">
            <v>1.01</v>
          </cell>
          <cell r="K54">
            <v>10.7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89.2</v>
          </cell>
          <cell r="P54">
            <v>30.5</v>
          </cell>
          <cell r="Q54">
            <v>7889</v>
          </cell>
          <cell r="R54">
            <v>322</v>
          </cell>
          <cell r="S54">
            <v>2.85</v>
          </cell>
        </row>
        <row r="55">
          <cell r="A55" t="str">
            <v xml:space="preserve">375.00 00850000     </v>
          </cell>
          <cell r="B55">
            <v>46722</v>
          </cell>
          <cell r="C55">
            <v>55</v>
          </cell>
          <cell r="D55" t="str">
            <v xml:space="preserve">R1.5 </v>
          </cell>
          <cell r="E55">
            <v>0</v>
          </cell>
          <cell r="F55">
            <v>28199.75</v>
          </cell>
          <cell r="G55">
            <v>18194</v>
          </cell>
          <cell r="H55">
            <v>10005</v>
          </cell>
          <cell r="I55">
            <v>545</v>
          </cell>
          <cell r="J55">
            <v>1.93</v>
          </cell>
          <cell r="K55">
            <v>18.399999999999999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64.5</v>
          </cell>
          <cell r="P55">
            <v>24.9</v>
          </cell>
          <cell r="Q55">
            <v>14262</v>
          </cell>
          <cell r="R55">
            <v>766</v>
          </cell>
          <cell r="S55">
            <v>2.72</v>
          </cell>
        </row>
        <row r="56">
          <cell r="A56" t="str">
            <v xml:space="preserve">375.00 00860000     </v>
          </cell>
          <cell r="B56">
            <v>41974</v>
          </cell>
          <cell r="C56">
            <v>55</v>
          </cell>
          <cell r="D56" t="str">
            <v xml:space="preserve">R1.5 </v>
          </cell>
          <cell r="E56">
            <v>0</v>
          </cell>
          <cell r="F56">
            <v>6344.66</v>
          </cell>
          <cell r="G56">
            <v>6700</v>
          </cell>
          <cell r="H56">
            <v>-355</v>
          </cell>
          <cell r="I56">
            <v>0</v>
          </cell>
          <cell r="J56">
            <v>0</v>
          </cell>
          <cell r="K56">
            <v>0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105.6</v>
          </cell>
          <cell r="P56">
            <v>38.299999999999997</v>
          </cell>
          <cell r="Q56">
            <v>5252</v>
          </cell>
          <cell r="R56">
            <v>159</v>
          </cell>
          <cell r="S56">
            <v>2.5099999999999998</v>
          </cell>
        </row>
        <row r="57">
          <cell r="A57" t="str">
            <v xml:space="preserve">375.00 00870000     </v>
          </cell>
          <cell r="B57">
            <v>40513</v>
          </cell>
          <cell r="C57">
            <v>55</v>
          </cell>
          <cell r="D57" t="str">
            <v xml:space="preserve">R1.5 </v>
          </cell>
          <cell r="E57">
            <v>0</v>
          </cell>
          <cell r="F57">
            <v>7265.99</v>
          </cell>
          <cell r="G57">
            <v>7241</v>
          </cell>
          <cell r="H57">
            <v>25</v>
          </cell>
          <cell r="I57">
            <v>8</v>
          </cell>
          <cell r="J57">
            <v>0.11</v>
          </cell>
          <cell r="K57">
            <v>3.1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99.7</v>
          </cell>
          <cell r="P57">
            <v>22.7</v>
          </cell>
          <cell r="Q57">
            <v>5676</v>
          </cell>
          <cell r="R57">
            <v>494</v>
          </cell>
          <cell r="S57">
            <v>6.8</v>
          </cell>
        </row>
        <row r="58">
          <cell r="A58" t="str">
            <v xml:space="preserve">375.00 00880000     </v>
          </cell>
          <cell r="B58">
            <v>54027</v>
          </cell>
          <cell r="C58">
            <v>55</v>
          </cell>
          <cell r="D58" t="str">
            <v xml:space="preserve">R1.5 </v>
          </cell>
          <cell r="E58">
            <v>0</v>
          </cell>
          <cell r="F58">
            <v>8739.5</v>
          </cell>
          <cell r="G58">
            <v>1708</v>
          </cell>
          <cell r="H58">
            <v>7032</v>
          </cell>
          <cell r="I58">
            <v>203</v>
          </cell>
          <cell r="J58">
            <v>2.3199999999999998</v>
          </cell>
          <cell r="K58">
            <v>34.6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19.5</v>
          </cell>
          <cell r="P58">
            <v>8.5</v>
          </cell>
          <cell r="Q58">
            <v>1339</v>
          </cell>
          <cell r="R58">
            <v>215</v>
          </cell>
          <cell r="S58">
            <v>2.46</v>
          </cell>
        </row>
        <row r="59">
          <cell r="A59" t="str">
            <v xml:space="preserve">375.00 00890000     </v>
          </cell>
          <cell r="B59">
            <v>42339</v>
          </cell>
          <cell r="C59">
            <v>55</v>
          </cell>
          <cell r="D59" t="str">
            <v xml:space="preserve">R1.5 </v>
          </cell>
          <cell r="E59">
            <v>0</v>
          </cell>
          <cell r="F59">
            <v>1580.5</v>
          </cell>
          <cell r="G59">
            <v>1692</v>
          </cell>
          <cell r="H59">
            <v>-112</v>
          </cell>
          <cell r="I59">
            <v>0</v>
          </cell>
          <cell r="J59">
            <v>0</v>
          </cell>
          <cell r="K59">
            <v>0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107.1</v>
          </cell>
          <cell r="P59">
            <v>48.3</v>
          </cell>
          <cell r="Q59">
            <v>1326</v>
          </cell>
          <cell r="R59">
            <v>34</v>
          </cell>
          <cell r="S59">
            <v>2.15</v>
          </cell>
        </row>
        <row r="60">
          <cell r="A60" t="str">
            <v xml:space="preserve">375.00 00900000     </v>
          </cell>
          <cell r="B60">
            <v>46357</v>
          </cell>
          <cell r="C60">
            <v>55</v>
          </cell>
          <cell r="D60" t="str">
            <v xml:space="preserve">R1.5 </v>
          </cell>
          <cell r="E60">
            <v>0</v>
          </cell>
          <cell r="F60">
            <v>46634.21</v>
          </cell>
          <cell r="G60">
            <v>31749</v>
          </cell>
          <cell r="H60">
            <v>14885</v>
          </cell>
          <cell r="I60">
            <v>849</v>
          </cell>
          <cell r="J60">
            <v>1.82</v>
          </cell>
          <cell r="K60">
            <v>17.5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68.099999999999994</v>
          </cell>
          <cell r="P60">
            <v>24.2</v>
          </cell>
          <cell r="Q60">
            <v>24887</v>
          </cell>
          <cell r="R60">
            <v>1244</v>
          </cell>
          <cell r="S60">
            <v>2.67</v>
          </cell>
        </row>
        <row r="61">
          <cell r="A61" t="str">
            <v xml:space="preserve">375.00 00910000     </v>
          </cell>
          <cell r="B61">
            <v>46357</v>
          </cell>
          <cell r="C61">
            <v>55</v>
          </cell>
          <cell r="D61" t="str">
            <v xml:space="preserve">R1.5 </v>
          </cell>
          <cell r="E61">
            <v>0</v>
          </cell>
          <cell r="F61">
            <v>10579.89</v>
          </cell>
          <cell r="G61">
            <v>7625</v>
          </cell>
          <cell r="H61">
            <v>2955</v>
          </cell>
          <cell r="I61">
            <v>171</v>
          </cell>
          <cell r="J61">
            <v>1.62</v>
          </cell>
          <cell r="K61">
            <v>17.3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72.099999999999994</v>
          </cell>
          <cell r="P61">
            <v>26.3</v>
          </cell>
          <cell r="Q61">
            <v>5977</v>
          </cell>
          <cell r="R61">
            <v>266</v>
          </cell>
          <cell r="S61">
            <v>2.5099999999999998</v>
          </cell>
        </row>
        <row r="62">
          <cell r="A62" t="str">
            <v xml:space="preserve">375.00 00950000     </v>
          </cell>
          <cell r="B62">
            <v>48914</v>
          </cell>
          <cell r="C62">
            <v>55</v>
          </cell>
          <cell r="D62" t="str">
            <v xml:space="preserve">R1.5 </v>
          </cell>
          <cell r="E62">
            <v>0</v>
          </cell>
          <cell r="F62">
            <v>38095.57</v>
          </cell>
          <cell r="G62">
            <v>17636</v>
          </cell>
          <cell r="H62">
            <v>20460</v>
          </cell>
          <cell r="I62">
            <v>866</v>
          </cell>
          <cell r="J62">
            <v>2.27</v>
          </cell>
          <cell r="K62">
            <v>23.6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46.3</v>
          </cell>
          <cell r="P62">
            <v>16.2</v>
          </cell>
          <cell r="Q62">
            <v>13824</v>
          </cell>
          <cell r="R62">
            <v>1029</v>
          </cell>
          <cell r="S62">
            <v>2.7</v>
          </cell>
        </row>
        <row r="63">
          <cell r="A63" t="str">
            <v xml:space="preserve">375.00 00960000     </v>
          </cell>
          <cell r="B63">
            <v>40513</v>
          </cell>
          <cell r="C63">
            <v>55</v>
          </cell>
          <cell r="D63" t="str">
            <v xml:space="preserve">R1.5 </v>
          </cell>
          <cell r="E63">
            <v>0</v>
          </cell>
          <cell r="F63">
            <v>2962.47</v>
          </cell>
          <cell r="G63">
            <v>3479</v>
          </cell>
          <cell r="H63">
            <v>-517</v>
          </cell>
          <cell r="I63">
            <v>0</v>
          </cell>
          <cell r="J63">
            <v>0</v>
          </cell>
          <cell r="K63">
            <v>0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117.4</v>
          </cell>
          <cell r="P63">
            <v>42.2</v>
          </cell>
          <cell r="Q63">
            <v>2727</v>
          </cell>
          <cell r="R63">
            <v>74</v>
          </cell>
          <cell r="S63">
            <v>2.5</v>
          </cell>
        </row>
        <row r="64">
          <cell r="A64" t="str">
            <v xml:space="preserve">375.00 01000000     </v>
          </cell>
          <cell r="B64">
            <v>52201</v>
          </cell>
          <cell r="C64">
            <v>55</v>
          </cell>
          <cell r="D64" t="str">
            <v xml:space="preserve">R1.5 </v>
          </cell>
          <cell r="E64">
            <v>0</v>
          </cell>
          <cell r="F64">
            <v>38375.660000000003</v>
          </cell>
          <cell r="G64">
            <v>10888</v>
          </cell>
          <cell r="H64">
            <v>27488</v>
          </cell>
          <cell r="I64">
            <v>889</v>
          </cell>
          <cell r="J64">
            <v>2.3199999999999998</v>
          </cell>
          <cell r="K64">
            <v>30.9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28.4</v>
          </cell>
          <cell r="P64">
            <v>10.199999999999999</v>
          </cell>
          <cell r="Q64">
            <v>8535</v>
          </cell>
          <cell r="R64">
            <v>963</v>
          </cell>
          <cell r="S64">
            <v>2.5099999999999998</v>
          </cell>
        </row>
        <row r="65">
          <cell r="A65" t="str">
            <v xml:space="preserve">375.00 02260000     </v>
          </cell>
          <cell r="B65">
            <v>40148</v>
          </cell>
          <cell r="C65">
            <v>55</v>
          </cell>
          <cell r="D65" t="str">
            <v xml:space="preserve">R1.5 </v>
          </cell>
          <cell r="E65">
            <v>0</v>
          </cell>
          <cell r="F65">
            <v>2575.75</v>
          </cell>
          <cell r="G65">
            <v>3103</v>
          </cell>
          <cell r="H65">
            <v>-527</v>
          </cell>
          <cell r="I65">
            <v>0</v>
          </cell>
          <cell r="J65">
            <v>0</v>
          </cell>
          <cell r="K65">
            <v>0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120.5</v>
          </cell>
          <cell r="P65">
            <v>42.8</v>
          </cell>
          <cell r="Q65">
            <v>2432</v>
          </cell>
          <cell r="R65">
            <v>65</v>
          </cell>
          <cell r="S65">
            <v>2.52</v>
          </cell>
        </row>
        <row r="66">
          <cell r="A66" t="str">
            <v xml:space="preserve">375.00 02270000     </v>
          </cell>
          <cell r="B66">
            <v>41974</v>
          </cell>
          <cell r="C66">
            <v>55</v>
          </cell>
          <cell r="D66" t="str">
            <v xml:space="preserve">R1.5 </v>
          </cell>
          <cell r="E66">
            <v>0</v>
          </cell>
          <cell r="F66">
            <v>8248.5</v>
          </cell>
          <cell r="G66">
            <v>7020</v>
          </cell>
          <cell r="H66">
            <v>1229</v>
          </cell>
          <cell r="I66">
            <v>172</v>
          </cell>
          <cell r="J66">
            <v>2.09</v>
          </cell>
          <cell r="K66">
            <v>7.1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85.1</v>
          </cell>
          <cell r="P66">
            <v>24.9</v>
          </cell>
          <cell r="Q66">
            <v>5503</v>
          </cell>
          <cell r="R66">
            <v>389</v>
          </cell>
          <cell r="S66">
            <v>4.72</v>
          </cell>
        </row>
        <row r="67">
          <cell r="A67" t="str">
            <v xml:space="preserve">375.00 02280000     </v>
          </cell>
          <cell r="B67">
            <v>53662</v>
          </cell>
          <cell r="C67">
            <v>55</v>
          </cell>
          <cell r="D67" t="str">
            <v xml:space="preserve">R1.5 </v>
          </cell>
          <cell r="E67">
            <v>0</v>
          </cell>
          <cell r="F67">
            <v>15107.04</v>
          </cell>
          <cell r="G67">
            <v>8727</v>
          </cell>
          <cell r="H67">
            <v>6381</v>
          </cell>
          <cell r="I67">
            <v>224</v>
          </cell>
          <cell r="J67">
            <v>1.48</v>
          </cell>
          <cell r="K67">
            <v>28.5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57.8</v>
          </cell>
          <cell r="P67">
            <v>33.200000000000003</v>
          </cell>
          <cell r="Q67">
            <v>6841</v>
          </cell>
          <cell r="R67">
            <v>312</v>
          </cell>
          <cell r="S67">
            <v>2.0699999999999998</v>
          </cell>
        </row>
        <row r="68">
          <cell r="A68" t="str">
            <v xml:space="preserve">375.00 02300000     </v>
          </cell>
          <cell r="B68">
            <v>41244</v>
          </cell>
          <cell r="C68">
            <v>55</v>
          </cell>
          <cell r="D68" t="str">
            <v xml:space="preserve">R1.5 </v>
          </cell>
          <cell r="E68">
            <v>0</v>
          </cell>
          <cell r="F68">
            <v>6535.36</v>
          </cell>
          <cell r="G68">
            <v>6454</v>
          </cell>
          <cell r="H68">
            <v>82</v>
          </cell>
          <cell r="I68">
            <v>16</v>
          </cell>
          <cell r="J68">
            <v>0.24</v>
          </cell>
          <cell r="K68">
            <v>5.0999999999999996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98.8</v>
          </cell>
          <cell r="P68">
            <v>27.4</v>
          </cell>
          <cell r="Q68">
            <v>5059</v>
          </cell>
          <cell r="R68">
            <v>288</v>
          </cell>
          <cell r="S68">
            <v>4.41</v>
          </cell>
        </row>
        <row r="69">
          <cell r="A69" t="str">
            <v xml:space="preserve">375.00 02310000     </v>
          </cell>
          <cell r="B69">
            <v>47453</v>
          </cell>
          <cell r="C69">
            <v>55</v>
          </cell>
          <cell r="D69" t="str">
            <v xml:space="preserve">R1.5 </v>
          </cell>
          <cell r="E69">
            <v>0</v>
          </cell>
          <cell r="F69">
            <v>4634.17</v>
          </cell>
          <cell r="G69">
            <v>2961</v>
          </cell>
          <cell r="H69">
            <v>1673</v>
          </cell>
          <cell r="I69">
            <v>84</v>
          </cell>
          <cell r="J69">
            <v>1.81</v>
          </cell>
          <cell r="K69">
            <v>19.899999999999999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63.9</v>
          </cell>
          <cell r="P69">
            <v>23.3</v>
          </cell>
          <cell r="Q69">
            <v>2321</v>
          </cell>
          <cell r="R69">
            <v>116</v>
          </cell>
          <cell r="S69">
            <v>2.5</v>
          </cell>
        </row>
        <row r="70">
          <cell r="A70" t="str">
            <v xml:space="preserve">375.00 02320000     </v>
          </cell>
          <cell r="B70">
            <v>40148</v>
          </cell>
          <cell r="C70">
            <v>55</v>
          </cell>
          <cell r="D70" t="str">
            <v xml:space="preserve">R1.5 </v>
          </cell>
          <cell r="E70">
            <v>0</v>
          </cell>
          <cell r="F70">
            <v>10206.200000000001</v>
          </cell>
          <cell r="G70">
            <v>10682</v>
          </cell>
          <cell r="H70">
            <v>-477</v>
          </cell>
          <cell r="I70">
            <v>0</v>
          </cell>
          <cell r="J70">
            <v>0</v>
          </cell>
          <cell r="K70">
            <v>0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104.7</v>
          </cell>
          <cell r="P70">
            <v>20.9</v>
          </cell>
          <cell r="Q70">
            <v>8373</v>
          </cell>
          <cell r="R70">
            <v>820</v>
          </cell>
          <cell r="S70">
            <v>8.0299999999999994</v>
          </cell>
        </row>
        <row r="71">
          <cell r="A71" t="str">
            <v xml:space="preserve">375.00 02380000     </v>
          </cell>
          <cell r="B71">
            <v>42339</v>
          </cell>
          <cell r="C71">
            <v>55</v>
          </cell>
          <cell r="D71" t="str">
            <v xml:space="preserve">R1.5 </v>
          </cell>
          <cell r="E71">
            <v>0</v>
          </cell>
          <cell r="F71">
            <v>888.58</v>
          </cell>
          <cell r="G71">
            <v>1017</v>
          </cell>
          <cell r="H71">
            <v>-128</v>
          </cell>
          <cell r="I71">
            <v>0</v>
          </cell>
          <cell r="J71">
            <v>0</v>
          </cell>
          <cell r="K71">
            <v>0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114.5</v>
          </cell>
          <cell r="P71">
            <v>81.3</v>
          </cell>
          <cell r="Q71">
            <v>797</v>
          </cell>
          <cell r="R71">
            <v>16</v>
          </cell>
          <cell r="S71">
            <v>1.8</v>
          </cell>
        </row>
        <row r="72">
          <cell r="A72" t="str">
            <v xml:space="preserve">375.00 02390000     </v>
          </cell>
          <cell r="B72">
            <v>43435</v>
          </cell>
          <cell r="C72">
            <v>55</v>
          </cell>
          <cell r="D72" t="str">
            <v xml:space="preserve">R1.5 </v>
          </cell>
          <cell r="E72">
            <v>0</v>
          </cell>
          <cell r="F72">
            <v>10407.66</v>
          </cell>
          <cell r="G72">
            <v>9379</v>
          </cell>
          <cell r="H72">
            <v>1029</v>
          </cell>
          <cell r="I72">
            <v>96</v>
          </cell>
          <cell r="J72">
            <v>0.92</v>
          </cell>
          <cell r="K72">
            <v>10.7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90.1</v>
          </cell>
          <cell r="P72">
            <v>31.2</v>
          </cell>
          <cell r="Q72">
            <v>7352</v>
          </cell>
          <cell r="R72">
            <v>290</v>
          </cell>
          <cell r="S72">
            <v>2.79</v>
          </cell>
        </row>
        <row r="73">
          <cell r="A73" t="str">
            <v xml:space="preserve">375.00 02400000     </v>
          </cell>
          <cell r="B73">
            <v>42339</v>
          </cell>
          <cell r="C73">
            <v>55</v>
          </cell>
          <cell r="D73" t="str">
            <v xml:space="preserve">R1.5 </v>
          </cell>
          <cell r="E73">
            <v>0</v>
          </cell>
          <cell r="F73">
            <v>20124.830000000002</v>
          </cell>
          <cell r="G73">
            <v>21016</v>
          </cell>
          <cell r="H73">
            <v>-891</v>
          </cell>
          <cell r="I73">
            <v>0</v>
          </cell>
          <cell r="J73">
            <v>0</v>
          </cell>
          <cell r="K73">
            <v>0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104.4</v>
          </cell>
          <cell r="P73">
            <v>42.6</v>
          </cell>
          <cell r="Q73">
            <v>16474</v>
          </cell>
          <cell r="R73">
            <v>479</v>
          </cell>
          <cell r="S73">
            <v>2.38</v>
          </cell>
        </row>
        <row r="74">
          <cell r="A74" t="str">
            <v xml:space="preserve">375.00 02420000     </v>
          </cell>
          <cell r="B74">
            <v>52201</v>
          </cell>
          <cell r="C74">
            <v>55</v>
          </cell>
          <cell r="D74" t="str">
            <v xml:space="preserve">R1.5 </v>
          </cell>
          <cell r="E74">
            <v>0</v>
          </cell>
          <cell r="F74">
            <v>27347.27</v>
          </cell>
          <cell r="G74">
            <v>14941</v>
          </cell>
          <cell r="H74">
            <v>12407</v>
          </cell>
          <cell r="I74">
            <v>449</v>
          </cell>
          <cell r="J74">
            <v>1.64</v>
          </cell>
          <cell r="K74">
            <v>27.6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54.6</v>
          </cell>
          <cell r="P74">
            <v>28.8</v>
          </cell>
          <cell r="Q74">
            <v>11712</v>
          </cell>
          <cell r="R74">
            <v>591</v>
          </cell>
          <cell r="S74">
            <v>2.16</v>
          </cell>
        </row>
        <row r="75">
          <cell r="A75" t="str">
            <v xml:space="preserve">375.00 02430000     </v>
          </cell>
          <cell r="B75">
            <v>42339</v>
          </cell>
          <cell r="C75">
            <v>55</v>
          </cell>
          <cell r="D75" t="str">
            <v xml:space="preserve">R1.5 </v>
          </cell>
          <cell r="E75">
            <v>0</v>
          </cell>
          <cell r="F75">
            <v>5515.47</v>
          </cell>
          <cell r="G75">
            <v>5824</v>
          </cell>
          <cell r="H75">
            <v>-308</v>
          </cell>
          <cell r="I75">
            <v>0</v>
          </cell>
          <cell r="J75">
            <v>0</v>
          </cell>
          <cell r="K75">
            <v>0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105.6</v>
          </cell>
          <cell r="P75">
            <v>44</v>
          </cell>
          <cell r="Q75">
            <v>4565</v>
          </cell>
          <cell r="R75">
            <v>125</v>
          </cell>
          <cell r="S75">
            <v>2.27</v>
          </cell>
        </row>
        <row r="76">
          <cell r="A76" t="str">
            <v xml:space="preserve">375.00 02440000     </v>
          </cell>
          <cell r="B76">
            <v>41244</v>
          </cell>
          <cell r="C76">
            <v>55</v>
          </cell>
          <cell r="D76" t="str">
            <v xml:space="preserve">R1.5 </v>
          </cell>
          <cell r="E76">
            <v>0</v>
          </cell>
          <cell r="F76">
            <v>10015.32</v>
          </cell>
          <cell r="G76">
            <v>9093</v>
          </cell>
          <cell r="H76">
            <v>923</v>
          </cell>
          <cell r="I76">
            <v>178</v>
          </cell>
          <cell r="J76">
            <v>1.78</v>
          </cell>
          <cell r="K76">
            <v>5.2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90.8</v>
          </cell>
          <cell r="P76">
            <v>26.3</v>
          </cell>
          <cell r="Q76">
            <v>7128</v>
          </cell>
          <cell r="R76">
            <v>560</v>
          </cell>
          <cell r="S76">
            <v>5.59</v>
          </cell>
        </row>
        <row r="77">
          <cell r="A77" t="str">
            <v xml:space="preserve">375.00 02470000     </v>
          </cell>
          <cell r="B77">
            <v>48183</v>
          </cell>
          <cell r="C77">
            <v>55</v>
          </cell>
          <cell r="D77" t="str">
            <v xml:space="preserve">R1.5 </v>
          </cell>
          <cell r="E77">
            <v>0</v>
          </cell>
          <cell r="F77">
            <v>12379.01</v>
          </cell>
          <cell r="G77">
            <v>7785</v>
          </cell>
          <cell r="H77">
            <v>4592</v>
          </cell>
          <cell r="I77">
            <v>217</v>
          </cell>
          <cell r="J77">
            <v>1.75</v>
          </cell>
          <cell r="K77">
            <v>21.2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62.9</v>
          </cell>
          <cell r="P77">
            <v>25.4</v>
          </cell>
          <cell r="Q77">
            <v>6102</v>
          </cell>
          <cell r="R77">
            <v>298</v>
          </cell>
          <cell r="S77">
            <v>2.41</v>
          </cell>
        </row>
        <row r="78">
          <cell r="A78" t="str">
            <v xml:space="preserve">375.00 02490000     </v>
          </cell>
          <cell r="B78">
            <v>40148</v>
          </cell>
          <cell r="C78">
            <v>55</v>
          </cell>
          <cell r="D78" t="str">
            <v xml:space="preserve">R1.5 </v>
          </cell>
          <cell r="E78">
            <v>0</v>
          </cell>
          <cell r="F78">
            <v>11399.21</v>
          </cell>
          <cell r="G78">
            <v>12544</v>
          </cell>
          <cell r="H78">
            <v>-1145</v>
          </cell>
          <cell r="I78">
            <v>0</v>
          </cell>
          <cell r="J78">
            <v>0</v>
          </cell>
          <cell r="K78">
            <v>0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110</v>
          </cell>
          <cell r="P78">
            <v>27.5</v>
          </cell>
          <cell r="Q78">
            <v>9833</v>
          </cell>
          <cell r="R78">
            <v>702</v>
          </cell>
          <cell r="S78">
            <v>6.16</v>
          </cell>
        </row>
        <row r="79">
          <cell r="A79" t="str">
            <v xml:space="preserve">375.00 02500000     </v>
          </cell>
          <cell r="B79">
            <v>44166</v>
          </cell>
          <cell r="C79">
            <v>55</v>
          </cell>
          <cell r="D79" t="str">
            <v xml:space="preserve">R1.5 </v>
          </cell>
          <cell r="E79">
            <v>0</v>
          </cell>
          <cell r="F79">
            <v>11554.64</v>
          </cell>
          <cell r="G79">
            <v>9026</v>
          </cell>
          <cell r="H79">
            <v>2529</v>
          </cell>
          <cell r="I79">
            <v>201</v>
          </cell>
          <cell r="J79">
            <v>1.74</v>
          </cell>
          <cell r="K79">
            <v>12.6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78.099999999999994</v>
          </cell>
          <cell r="P79">
            <v>27.3</v>
          </cell>
          <cell r="Q79">
            <v>7075</v>
          </cell>
          <cell r="R79">
            <v>361</v>
          </cell>
          <cell r="S79">
            <v>3.12</v>
          </cell>
        </row>
        <row r="80">
          <cell r="A80" t="str">
            <v xml:space="preserve">375.00 02510000     </v>
          </cell>
          <cell r="B80">
            <v>40148</v>
          </cell>
          <cell r="C80">
            <v>55</v>
          </cell>
          <cell r="D80" t="str">
            <v xml:space="preserve">R1.5 </v>
          </cell>
          <cell r="E80">
            <v>0</v>
          </cell>
          <cell r="F80">
            <v>17033.439999999999</v>
          </cell>
          <cell r="G80">
            <v>20528</v>
          </cell>
          <cell r="H80">
            <v>-3495</v>
          </cell>
          <cell r="I80">
            <v>0</v>
          </cell>
          <cell r="J80">
            <v>0</v>
          </cell>
          <cell r="K80">
            <v>0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120.5</v>
          </cell>
          <cell r="P80">
            <v>43.3</v>
          </cell>
          <cell r="Q80">
            <v>16091</v>
          </cell>
          <cell r="R80">
            <v>428</v>
          </cell>
          <cell r="S80">
            <v>2.5099999999999998</v>
          </cell>
        </row>
        <row r="81">
          <cell r="A81" t="str">
            <v xml:space="preserve">375.00 02530000     </v>
          </cell>
          <cell r="B81">
            <v>51471</v>
          </cell>
          <cell r="C81">
            <v>55</v>
          </cell>
          <cell r="D81" t="str">
            <v xml:space="preserve">R1.5 </v>
          </cell>
          <cell r="E81">
            <v>0</v>
          </cell>
          <cell r="F81">
            <v>4491.24</v>
          </cell>
          <cell r="G81">
            <v>2298</v>
          </cell>
          <cell r="H81">
            <v>2193</v>
          </cell>
          <cell r="I81">
            <v>80</v>
          </cell>
          <cell r="J81">
            <v>1.78</v>
          </cell>
          <cell r="K81">
            <v>27.4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51.2</v>
          </cell>
          <cell r="P81">
            <v>25.4</v>
          </cell>
          <cell r="Q81">
            <v>1801</v>
          </cell>
          <cell r="R81">
            <v>102</v>
          </cell>
          <cell r="S81">
            <v>2.27</v>
          </cell>
        </row>
        <row r="82">
          <cell r="A82" t="str">
            <v xml:space="preserve">375.00 02570000     </v>
          </cell>
          <cell r="B82">
            <v>43070</v>
          </cell>
          <cell r="C82">
            <v>55</v>
          </cell>
          <cell r="D82" t="str">
            <v xml:space="preserve">R1.5 </v>
          </cell>
          <cell r="E82">
            <v>0</v>
          </cell>
          <cell r="F82">
            <v>11472.15</v>
          </cell>
          <cell r="G82">
            <v>11128</v>
          </cell>
          <cell r="H82">
            <v>344</v>
          </cell>
          <cell r="I82">
            <v>36</v>
          </cell>
          <cell r="J82">
            <v>0.31</v>
          </cell>
          <cell r="K82">
            <v>9.6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97</v>
          </cell>
          <cell r="P82">
            <v>35.299999999999997</v>
          </cell>
          <cell r="Q82">
            <v>8723</v>
          </cell>
          <cell r="R82">
            <v>288</v>
          </cell>
          <cell r="S82">
            <v>2.5099999999999998</v>
          </cell>
        </row>
        <row r="83">
          <cell r="A83" t="str">
            <v xml:space="preserve">375.00 02600000     </v>
          </cell>
          <cell r="B83">
            <v>42339</v>
          </cell>
          <cell r="C83">
            <v>55</v>
          </cell>
          <cell r="D83" t="str">
            <v xml:space="preserve">R1.5 </v>
          </cell>
          <cell r="E83">
            <v>0</v>
          </cell>
          <cell r="F83">
            <v>6369.87</v>
          </cell>
          <cell r="G83">
            <v>5939</v>
          </cell>
          <cell r="H83">
            <v>431</v>
          </cell>
          <cell r="I83">
            <v>53</v>
          </cell>
          <cell r="J83">
            <v>0.83</v>
          </cell>
          <cell r="K83">
            <v>8.1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93.2</v>
          </cell>
          <cell r="P83">
            <v>33.9</v>
          </cell>
          <cell r="Q83">
            <v>4655</v>
          </cell>
          <cell r="R83">
            <v>218</v>
          </cell>
          <cell r="S83">
            <v>3.42</v>
          </cell>
        </row>
        <row r="84">
          <cell r="A84" t="str">
            <v xml:space="preserve">375.00 02610000     </v>
          </cell>
          <cell r="B84">
            <v>52932</v>
          </cell>
          <cell r="C84">
            <v>55</v>
          </cell>
          <cell r="D84" t="str">
            <v xml:space="preserve">R1.5 </v>
          </cell>
          <cell r="E84">
            <v>0</v>
          </cell>
          <cell r="F84">
            <v>7662.63</v>
          </cell>
          <cell r="G84">
            <v>3358</v>
          </cell>
          <cell r="H84">
            <v>4305</v>
          </cell>
          <cell r="I84">
            <v>143</v>
          </cell>
          <cell r="J84">
            <v>1.87</v>
          </cell>
          <cell r="K84">
            <v>30.1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43.8</v>
          </cell>
          <cell r="P84">
            <v>22</v>
          </cell>
          <cell r="Q84">
            <v>2632</v>
          </cell>
          <cell r="R84">
            <v>172</v>
          </cell>
          <cell r="S84">
            <v>2.2400000000000002</v>
          </cell>
        </row>
        <row r="85">
          <cell r="A85" t="str">
            <v xml:space="preserve">375.00 02620000     </v>
          </cell>
          <cell r="B85">
            <v>41609</v>
          </cell>
          <cell r="C85">
            <v>55</v>
          </cell>
          <cell r="D85" t="str">
            <v xml:space="preserve">R1.5 </v>
          </cell>
          <cell r="E85">
            <v>0</v>
          </cell>
          <cell r="F85">
            <v>14226.8</v>
          </cell>
          <cell r="G85">
            <v>13587</v>
          </cell>
          <cell r="H85">
            <v>640</v>
          </cell>
          <cell r="I85">
            <v>104</v>
          </cell>
          <cell r="J85">
            <v>0.73</v>
          </cell>
          <cell r="K85">
            <v>6.2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95.5</v>
          </cell>
          <cell r="P85">
            <v>30.2</v>
          </cell>
          <cell r="Q85">
            <v>10650</v>
          </cell>
          <cell r="R85">
            <v>589</v>
          </cell>
          <cell r="S85">
            <v>4.1399999999999997</v>
          </cell>
        </row>
        <row r="86">
          <cell r="A86" t="str">
            <v xml:space="preserve">375.00 02630000     </v>
          </cell>
          <cell r="B86">
            <v>47818</v>
          </cell>
          <cell r="C86">
            <v>55</v>
          </cell>
          <cell r="D86" t="str">
            <v xml:space="preserve">R1.5 </v>
          </cell>
          <cell r="E86">
            <v>0</v>
          </cell>
          <cell r="F86">
            <v>16484.310000000001</v>
          </cell>
          <cell r="G86">
            <v>8461</v>
          </cell>
          <cell r="H86">
            <v>8023</v>
          </cell>
          <cell r="I86">
            <v>379</v>
          </cell>
          <cell r="J86">
            <v>2.2999999999999998</v>
          </cell>
          <cell r="K86">
            <v>21.2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51.3</v>
          </cell>
          <cell r="P86">
            <v>17.3</v>
          </cell>
          <cell r="Q86">
            <v>6632</v>
          </cell>
          <cell r="R86">
            <v>466</v>
          </cell>
          <cell r="S86">
            <v>2.83</v>
          </cell>
        </row>
        <row r="87">
          <cell r="A87" t="str">
            <v xml:space="preserve">375.00 02640000     </v>
          </cell>
          <cell r="B87">
            <v>51836</v>
          </cell>
          <cell r="C87">
            <v>55</v>
          </cell>
          <cell r="D87" t="str">
            <v xml:space="preserve">R1.5 </v>
          </cell>
          <cell r="E87">
            <v>0</v>
          </cell>
          <cell r="F87">
            <v>52961.88</v>
          </cell>
          <cell r="G87">
            <v>18535</v>
          </cell>
          <cell r="H87">
            <v>34426</v>
          </cell>
          <cell r="I87">
            <v>1160</v>
          </cell>
          <cell r="J87">
            <v>2.19</v>
          </cell>
          <cell r="K87">
            <v>29.7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35</v>
          </cell>
          <cell r="P87">
            <v>14.3</v>
          </cell>
          <cell r="Q87">
            <v>14529</v>
          </cell>
          <cell r="R87">
            <v>1304</v>
          </cell>
          <cell r="S87">
            <v>2.46</v>
          </cell>
        </row>
        <row r="88">
          <cell r="A88" t="str">
            <v xml:space="preserve">375.00 02650000     </v>
          </cell>
          <cell r="B88">
            <v>40878</v>
          </cell>
          <cell r="C88">
            <v>55</v>
          </cell>
          <cell r="D88" t="str">
            <v xml:space="preserve">R1.5 </v>
          </cell>
          <cell r="E88">
            <v>0</v>
          </cell>
          <cell r="F88">
            <v>1461.06</v>
          </cell>
          <cell r="G88">
            <v>1185</v>
          </cell>
          <cell r="H88">
            <v>276</v>
          </cell>
          <cell r="I88">
            <v>66</v>
          </cell>
          <cell r="J88">
            <v>4.5199999999999996</v>
          </cell>
          <cell r="K88">
            <v>4.2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81.099999999999994</v>
          </cell>
          <cell r="P88">
            <v>7.6</v>
          </cell>
          <cell r="Q88">
            <v>929</v>
          </cell>
          <cell r="R88">
            <v>126</v>
          </cell>
          <cell r="S88">
            <v>8.6199999999999992</v>
          </cell>
        </row>
        <row r="89">
          <cell r="A89" t="str">
            <v xml:space="preserve">375.00 02660000     </v>
          </cell>
          <cell r="B89">
            <v>40878</v>
          </cell>
          <cell r="C89">
            <v>55</v>
          </cell>
          <cell r="D89" t="str">
            <v xml:space="preserve">R1.5 </v>
          </cell>
          <cell r="E89">
            <v>0</v>
          </cell>
          <cell r="F89">
            <v>16088.3</v>
          </cell>
          <cell r="G89">
            <v>16073</v>
          </cell>
          <cell r="H89">
            <v>16</v>
          </cell>
          <cell r="I89">
            <v>4</v>
          </cell>
          <cell r="J89">
            <v>0.02</v>
          </cell>
          <cell r="K89">
            <v>4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99.9</v>
          </cell>
          <cell r="P89">
            <v>22.6</v>
          </cell>
          <cell r="Q89">
            <v>12599</v>
          </cell>
          <cell r="R89">
            <v>833</v>
          </cell>
          <cell r="S89">
            <v>5.18</v>
          </cell>
        </row>
        <row r="90">
          <cell r="A90" t="str">
            <v xml:space="preserve">375.00 02690000     </v>
          </cell>
          <cell r="B90">
            <v>52566</v>
          </cell>
          <cell r="C90">
            <v>55</v>
          </cell>
          <cell r="D90" t="str">
            <v xml:space="preserve">R1.5 </v>
          </cell>
          <cell r="E90">
            <v>0</v>
          </cell>
          <cell r="F90">
            <v>31419.4</v>
          </cell>
          <cell r="G90">
            <v>8052</v>
          </cell>
          <cell r="H90">
            <v>23367</v>
          </cell>
          <cell r="I90">
            <v>735</v>
          </cell>
          <cell r="J90">
            <v>2.34</v>
          </cell>
          <cell r="K90">
            <v>31.8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25.6</v>
          </cell>
          <cell r="P90">
            <v>9.3000000000000007</v>
          </cell>
          <cell r="Q90">
            <v>6312</v>
          </cell>
          <cell r="R90">
            <v>789</v>
          </cell>
          <cell r="S90">
            <v>2.5099999999999998</v>
          </cell>
        </row>
        <row r="91">
          <cell r="A91" t="str">
            <v xml:space="preserve">375.00 04020000     </v>
          </cell>
          <cell r="B91">
            <v>52566</v>
          </cell>
          <cell r="C91">
            <v>55</v>
          </cell>
          <cell r="D91" t="str">
            <v xml:space="preserve">R1.5 </v>
          </cell>
          <cell r="E91">
            <v>0</v>
          </cell>
          <cell r="F91">
            <v>63754.29</v>
          </cell>
          <cell r="G91">
            <v>41690</v>
          </cell>
          <cell r="H91">
            <v>22064</v>
          </cell>
          <cell r="I91">
            <v>854</v>
          </cell>
          <cell r="J91">
            <v>1.34</v>
          </cell>
          <cell r="K91">
            <v>25.8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65.400000000000006</v>
          </cell>
          <cell r="P91">
            <v>37.700000000000003</v>
          </cell>
          <cell r="Q91">
            <v>32679</v>
          </cell>
          <cell r="R91">
            <v>1300</v>
          </cell>
          <cell r="S91">
            <v>2.04</v>
          </cell>
        </row>
        <row r="92">
          <cell r="A92" t="str">
            <v xml:space="preserve">375.00 04030000     </v>
          </cell>
          <cell r="B92">
            <v>51471</v>
          </cell>
          <cell r="C92">
            <v>55</v>
          </cell>
          <cell r="D92" t="str">
            <v xml:space="preserve">R1.5 </v>
          </cell>
          <cell r="E92">
            <v>0</v>
          </cell>
          <cell r="F92">
            <v>26200.33</v>
          </cell>
          <cell r="G92">
            <v>15337</v>
          </cell>
          <cell r="H92">
            <v>10863</v>
          </cell>
          <cell r="I92">
            <v>413</v>
          </cell>
          <cell r="J92">
            <v>1.58</v>
          </cell>
          <cell r="K92">
            <v>26.3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58.5</v>
          </cell>
          <cell r="P92">
            <v>32</v>
          </cell>
          <cell r="Q92">
            <v>12022</v>
          </cell>
          <cell r="R92">
            <v>577</v>
          </cell>
          <cell r="S92">
            <v>2.2000000000000002</v>
          </cell>
        </row>
        <row r="93">
          <cell r="A93" t="str">
            <v xml:space="preserve">375.00 04050000     </v>
          </cell>
          <cell r="B93">
            <v>52566</v>
          </cell>
          <cell r="C93">
            <v>55</v>
          </cell>
          <cell r="D93" t="str">
            <v xml:space="preserve">R1.5 </v>
          </cell>
          <cell r="E93">
            <v>0</v>
          </cell>
          <cell r="F93">
            <v>18841.509999999998</v>
          </cell>
          <cell r="G93">
            <v>10922</v>
          </cell>
          <cell r="H93">
            <v>7920</v>
          </cell>
          <cell r="I93">
            <v>288</v>
          </cell>
          <cell r="J93">
            <v>1.53</v>
          </cell>
          <cell r="K93">
            <v>27.5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58</v>
          </cell>
          <cell r="P93">
            <v>32.700000000000003</v>
          </cell>
          <cell r="Q93">
            <v>8561</v>
          </cell>
          <cell r="R93">
            <v>403</v>
          </cell>
          <cell r="S93">
            <v>2.14</v>
          </cell>
        </row>
        <row r="94">
          <cell r="A94" t="str">
            <v xml:space="preserve">375.00 04060000     </v>
          </cell>
          <cell r="B94">
            <v>40148</v>
          </cell>
          <cell r="C94">
            <v>55</v>
          </cell>
          <cell r="D94" t="str">
            <v xml:space="preserve">R1.5 </v>
          </cell>
          <cell r="E94">
            <v>0</v>
          </cell>
          <cell r="F94">
            <v>5301.9</v>
          </cell>
          <cell r="G94">
            <v>5571</v>
          </cell>
          <cell r="H94">
            <v>-269</v>
          </cell>
          <cell r="I94">
            <v>0</v>
          </cell>
          <cell r="J94">
            <v>0</v>
          </cell>
          <cell r="K94">
            <v>0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105.1</v>
          </cell>
          <cell r="P94">
            <v>11.2</v>
          </cell>
          <cell r="Q94">
            <v>4367</v>
          </cell>
          <cell r="R94">
            <v>417</v>
          </cell>
          <cell r="S94">
            <v>7.87</v>
          </cell>
        </row>
        <row r="95">
          <cell r="A95" t="str">
            <v xml:space="preserve">375.00 04070000     </v>
          </cell>
          <cell r="B95">
            <v>49644</v>
          </cell>
          <cell r="C95">
            <v>55</v>
          </cell>
          <cell r="D95" t="str">
            <v xml:space="preserve">R1.5 </v>
          </cell>
          <cell r="E95">
            <v>0</v>
          </cell>
          <cell r="F95">
            <v>43848.73</v>
          </cell>
          <cell r="G95">
            <v>25746</v>
          </cell>
          <cell r="H95">
            <v>18103</v>
          </cell>
          <cell r="I95">
            <v>763</v>
          </cell>
          <cell r="J95">
            <v>1.74</v>
          </cell>
          <cell r="K95">
            <v>23.7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58.7</v>
          </cell>
          <cell r="P95">
            <v>28.1</v>
          </cell>
          <cell r="Q95">
            <v>20181</v>
          </cell>
          <cell r="R95">
            <v>1026</v>
          </cell>
          <cell r="S95">
            <v>2.34</v>
          </cell>
        </row>
        <row r="96">
          <cell r="A96" t="str">
            <v xml:space="preserve">375.00 04080000     </v>
          </cell>
          <cell r="B96">
            <v>42339</v>
          </cell>
          <cell r="C96">
            <v>55</v>
          </cell>
          <cell r="D96" t="str">
            <v xml:space="preserve">R1.5 </v>
          </cell>
          <cell r="E96">
            <v>0</v>
          </cell>
          <cell r="F96">
            <v>5175.21</v>
          </cell>
          <cell r="G96">
            <v>3877</v>
          </cell>
          <cell r="H96">
            <v>1298</v>
          </cell>
          <cell r="I96">
            <v>160</v>
          </cell>
          <cell r="J96">
            <v>3.09</v>
          </cell>
          <cell r="K96">
            <v>8.1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74.900000000000006</v>
          </cell>
          <cell r="P96">
            <v>28</v>
          </cell>
          <cell r="Q96">
            <v>3039</v>
          </cell>
          <cell r="R96">
            <v>269</v>
          </cell>
          <cell r="S96">
            <v>5.2</v>
          </cell>
        </row>
        <row r="97">
          <cell r="A97" t="str">
            <v xml:space="preserve">375.00 04090000     </v>
          </cell>
          <cell r="B97">
            <v>52566</v>
          </cell>
          <cell r="C97">
            <v>55</v>
          </cell>
          <cell r="D97" t="str">
            <v xml:space="preserve">R1.5 </v>
          </cell>
          <cell r="E97">
            <v>0</v>
          </cell>
          <cell r="F97">
            <v>26151</v>
          </cell>
          <cell r="G97">
            <v>6703</v>
          </cell>
          <cell r="H97">
            <v>19448</v>
          </cell>
          <cell r="I97">
            <v>612</v>
          </cell>
          <cell r="J97">
            <v>2.34</v>
          </cell>
          <cell r="K97">
            <v>31.8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25.6</v>
          </cell>
          <cell r="P97">
            <v>9.3000000000000007</v>
          </cell>
          <cell r="Q97">
            <v>5254</v>
          </cell>
          <cell r="R97">
            <v>656</v>
          </cell>
          <cell r="S97">
            <v>2.5099999999999998</v>
          </cell>
        </row>
        <row r="98">
          <cell r="A98" t="str">
            <v xml:space="preserve">375.00 04250000     </v>
          </cell>
          <cell r="B98">
            <v>47088</v>
          </cell>
          <cell r="C98">
            <v>55</v>
          </cell>
          <cell r="D98" t="str">
            <v xml:space="preserve">R1.5 </v>
          </cell>
          <cell r="E98">
            <v>0</v>
          </cell>
          <cell r="F98">
            <v>11954.32</v>
          </cell>
          <cell r="G98">
            <v>7962</v>
          </cell>
          <cell r="H98">
            <v>3992</v>
          </cell>
          <cell r="I98">
            <v>210</v>
          </cell>
          <cell r="J98">
            <v>1.76</v>
          </cell>
          <cell r="K98">
            <v>19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66.599999999999994</v>
          </cell>
          <cell r="P98">
            <v>24.3</v>
          </cell>
          <cell r="Q98">
            <v>6241</v>
          </cell>
          <cell r="R98">
            <v>300</v>
          </cell>
          <cell r="S98">
            <v>2.5099999999999998</v>
          </cell>
        </row>
        <row r="99">
          <cell r="A99" t="str">
            <v xml:space="preserve">375.00 04260000     </v>
          </cell>
          <cell r="B99">
            <v>47088</v>
          </cell>
          <cell r="C99">
            <v>55</v>
          </cell>
          <cell r="D99" t="str">
            <v xml:space="preserve">R1.5 </v>
          </cell>
          <cell r="E99">
            <v>0</v>
          </cell>
          <cell r="F99">
            <v>2965.46</v>
          </cell>
          <cell r="G99">
            <v>1975</v>
          </cell>
          <cell r="H99">
            <v>990</v>
          </cell>
          <cell r="I99">
            <v>52</v>
          </cell>
          <cell r="J99">
            <v>1.75</v>
          </cell>
          <cell r="K99">
            <v>19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66.599999999999994</v>
          </cell>
          <cell r="P99">
            <v>24.3</v>
          </cell>
          <cell r="Q99">
            <v>1548</v>
          </cell>
          <cell r="R99">
            <v>74</v>
          </cell>
          <cell r="S99">
            <v>2.5</v>
          </cell>
        </row>
        <row r="100">
          <cell r="A100" t="str">
            <v xml:space="preserve">375.00 04610000     </v>
          </cell>
          <cell r="B100">
            <v>53662</v>
          </cell>
          <cell r="C100">
            <v>55</v>
          </cell>
          <cell r="D100" t="str">
            <v xml:space="preserve">R1.5 </v>
          </cell>
          <cell r="E100">
            <v>0</v>
          </cell>
          <cell r="F100">
            <v>143957.97</v>
          </cell>
          <cell r="G100">
            <v>26739</v>
          </cell>
          <cell r="H100">
            <v>117219</v>
          </cell>
          <cell r="I100">
            <v>3419</v>
          </cell>
          <cell r="J100">
            <v>2.37</v>
          </cell>
          <cell r="K100">
            <v>34.299999999999997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18.600000000000001</v>
          </cell>
          <cell r="P100">
            <v>6.8</v>
          </cell>
          <cell r="Q100">
            <v>20960</v>
          </cell>
          <cell r="R100">
            <v>3585</v>
          </cell>
          <cell r="S100">
            <v>2.4900000000000002</v>
          </cell>
        </row>
        <row r="101">
          <cell r="A101" t="str">
            <v xml:space="preserve">375.00 05040000     </v>
          </cell>
          <cell r="B101">
            <v>52566</v>
          </cell>
          <cell r="C101">
            <v>55</v>
          </cell>
          <cell r="D101" t="str">
            <v xml:space="preserve">R1.5 </v>
          </cell>
          <cell r="E101">
            <v>0</v>
          </cell>
          <cell r="F101">
            <v>27154.74</v>
          </cell>
          <cell r="G101">
            <v>16699</v>
          </cell>
          <cell r="H101">
            <v>10456</v>
          </cell>
          <cell r="I101">
            <v>397</v>
          </cell>
          <cell r="J101">
            <v>1.46</v>
          </cell>
          <cell r="K101">
            <v>26.3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61.5</v>
          </cell>
          <cell r="P101">
            <v>34.200000000000003</v>
          </cell>
          <cell r="Q101">
            <v>13090</v>
          </cell>
          <cell r="R101">
            <v>558</v>
          </cell>
          <cell r="S101">
            <v>2.0499999999999998</v>
          </cell>
        </row>
        <row r="102">
          <cell r="A102" t="str">
            <v xml:space="preserve">375.00 05060000     </v>
          </cell>
          <cell r="B102">
            <v>48549</v>
          </cell>
          <cell r="C102">
            <v>55</v>
          </cell>
          <cell r="D102" t="str">
            <v xml:space="preserve">R1.5 </v>
          </cell>
          <cell r="E102">
            <v>0</v>
          </cell>
          <cell r="F102">
            <v>13171.33</v>
          </cell>
          <cell r="G102">
            <v>6893</v>
          </cell>
          <cell r="H102">
            <v>6279</v>
          </cell>
          <cell r="I102">
            <v>277</v>
          </cell>
          <cell r="J102">
            <v>2.1</v>
          </cell>
          <cell r="K102">
            <v>22.7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52.3</v>
          </cell>
          <cell r="P102">
            <v>18.899999999999999</v>
          </cell>
          <cell r="Q102">
            <v>5403</v>
          </cell>
          <cell r="R102">
            <v>345</v>
          </cell>
          <cell r="S102">
            <v>2.62</v>
          </cell>
        </row>
        <row r="103">
          <cell r="A103" t="str">
            <v xml:space="preserve">375.00 05070000     </v>
          </cell>
          <cell r="B103">
            <v>48549</v>
          </cell>
          <cell r="C103">
            <v>55</v>
          </cell>
          <cell r="D103" t="str">
            <v xml:space="preserve">R1.5 </v>
          </cell>
          <cell r="E103">
            <v>0</v>
          </cell>
          <cell r="F103">
            <v>8678.1200000000008</v>
          </cell>
          <cell r="G103">
            <v>5269</v>
          </cell>
          <cell r="H103">
            <v>3409</v>
          </cell>
          <cell r="I103">
            <v>155</v>
          </cell>
          <cell r="J103">
            <v>1.79</v>
          </cell>
          <cell r="K103">
            <v>22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60.7</v>
          </cell>
          <cell r="P103">
            <v>24.8</v>
          </cell>
          <cell r="Q103">
            <v>4130</v>
          </cell>
          <cell r="R103">
            <v>209</v>
          </cell>
          <cell r="S103">
            <v>2.41</v>
          </cell>
        </row>
        <row r="104">
          <cell r="A104" t="str">
            <v xml:space="preserve">375.00 05080000     </v>
          </cell>
          <cell r="B104">
            <v>42339</v>
          </cell>
          <cell r="C104">
            <v>55</v>
          </cell>
          <cell r="D104" t="str">
            <v xml:space="preserve">R1.5 </v>
          </cell>
          <cell r="E104">
            <v>0</v>
          </cell>
          <cell r="F104">
            <v>6049.71</v>
          </cell>
          <cell r="G104">
            <v>6377</v>
          </cell>
          <cell r="H104">
            <v>-328</v>
          </cell>
          <cell r="I104">
            <v>0</v>
          </cell>
          <cell r="J104">
            <v>0</v>
          </cell>
          <cell r="K104">
            <v>0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105.4</v>
          </cell>
          <cell r="P104">
            <v>43.6</v>
          </cell>
          <cell r="Q104">
            <v>4999</v>
          </cell>
          <cell r="R104">
            <v>138</v>
          </cell>
          <cell r="S104">
            <v>2.2799999999999998</v>
          </cell>
        </row>
        <row r="105">
          <cell r="A105" t="str">
            <v xml:space="preserve">375.00 05090000     </v>
          </cell>
          <cell r="B105">
            <v>42339</v>
          </cell>
          <cell r="C105">
            <v>55</v>
          </cell>
          <cell r="D105" t="str">
            <v xml:space="preserve">R1.5 </v>
          </cell>
          <cell r="E105">
            <v>0</v>
          </cell>
          <cell r="F105">
            <v>9494.01</v>
          </cell>
          <cell r="G105">
            <v>9749</v>
          </cell>
          <cell r="H105">
            <v>-255</v>
          </cell>
          <cell r="I105">
            <v>0</v>
          </cell>
          <cell r="J105">
            <v>0</v>
          </cell>
          <cell r="K105">
            <v>0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102.7</v>
          </cell>
          <cell r="P105">
            <v>37.200000000000003</v>
          </cell>
          <cell r="Q105">
            <v>7642</v>
          </cell>
          <cell r="R105">
            <v>239</v>
          </cell>
          <cell r="S105">
            <v>2.52</v>
          </cell>
        </row>
        <row r="106">
          <cell r="A106" t="str">
            <v xml:space="preserve">375.00 05270000     </v>
          </cell>
          <cell r="B106">
            <v>42339</v>
          </cell>
          <cell r="C106">
            <v>55</v>
          </cell>
          <cell r="D106" t="str">
            <v xml:space="preserve">R1.5 </v>
          </cell>
          <cell r="E106">
            <v>0</v>
          </cell>
          <cell r="F106">
            <v>18007.52</v>
          </cell>
          <cell r="G106">
            <v>20395</v>
          </cell>
          <cell r="H106">
            <v>-2387</v>
          </cell>
          <cell r="I106">
            <v>0</v>
          </cell>
          <cell r="J106">
            <v>0</v>
          </cell>
          <cell r="K106">
            <v>0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113.3</v>
          </cell>
          <cell r="P106">
            <v>75.2</v>
          </cell>
          <cell r="Q106">
            <v>15987</v>
          </cell>
          <cell r="R106">
            <v>345</v>
          </cell>
          <cell r="S106">
            <v>1.92</v>
          </cell>
        </row>
        <row r="107">
          <cell r="A107" t="str">
            <v xml:space="preserve">375.00 05320000     </v>
          </cell>
          <cell r="B107">
            <v>42339</v>
          </cell>
          <cell r="C107">
            <v>55</v>
          </cell>
          <cell r="D107" t="str">
            <v xml:space="preserve">R1.5 </v>
          </cell>
          <cell r="E107">
            <v>0</v>
          </cell>
          <cell r="F107">
            <v>9963.36</v>
          </cell>
          <cell r="G107">
            <v>11512</v>
          </cell>
          <cell r="H107">
            <v>-1550</v>
          </cell>
          <cell r="I107">
            <v>0</v>
          </cell>
          <cell r="J107">
            <v>0</v>
          </cell>
          <cell r="K107">
            <v>0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115.5</v>
          </cell>
          <cell r="P107">
            <v>83.3</v>
          </cell>
          <cell r="Q107">
            <v>9024</v>
          </cell>
          <cell r="R107">
            <v>170</v>
          </cell>
          <cell r="S107">
            <v>1.71</v>
          </cell>
        </row>
        <row r="108">
          <cell r="A108" t="str">
            <v xml:space="preserve">375.00 05330000     </v>
          </cell>
          <cell r="B108">
            <v>42339</v>
          </cell>
          <cell r="C108">
            <v>55</v>
          </cell>
          <cell r="D108" t="str">
            <v xml:space="preserve">R1.5 </v>
          </cell>
          <cell r="E108">
            <v>0</v>
          </cell>
          <cell r="F108">
            <v>3073.82</v>
          </cell>
          <cell r="G108">
            <v>3510</v>
          </cell>
          <cell r="H108">
            <v>-437</v>
          </cell>
          <cell r="I108">
            <v>0</v>
          </cell>
          <cell r="J108">
            <v>0</v>
          </cell>
          <cell r="K108">
            <v>0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114.2</v>
          </cell>
          <cell r="P108">
            <v>76.3</v>
          </cell>
          <cell r="Q108">
            <v>2751</v>
          </cell>
          <cell r="R108">
            <v>41</v>
          </cell>
          <cell r="S108">
            <v>1.33</v>
          </cell>
        </row>
        <row r="109">
          <cell r="A109" t="str">
            <v xml:space="preserve">375.00 06510000     </v>
          </cell>
          <cell r="B109">
            <v>41974</v>
          </cell>
          <cell r="C109">
            <v>55</v>
          </cell>
          <cell r="D109" t="str">
            <v xml:space="preserve">R1.5 </v>
          </cell>
          <cell r="E109">
            <v>0</v>
          </cell>
          <cell r="F109">
            <v>7925.34</v>
          </cell>
          <cell r="G109">
            <v>8430</v>
          </cell>
          <cell r="H109">
            <v>-504</v>
          </cell>
          <cell r="I109">
            <v>0</v>
          </cell>
          <cell r="J109">
            <v>0</v>
          </cell>
          <cell r="K109">
            <v>0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106.4</v>
          </cell>
          <cell r="P109">
            <v>40.200000000000003</v>
          </cell>
          <cell r="Q109">
            <v>6608</v>
          </cell>
          <cell r="R109">
            <v>193</v>
          </cell>
          <cell r="S109">
            <v>2.44</v>
          </cell>
        </row>
        <row r="110">
          <cell r="A110" t="str">
            <v xml:space="preserve">375.00 06520000     </v>
          </cell>
          <cell r="B110">
            <v>48549</v>
          </cell>
          <cell r="C110">
            <v>55</v>
          </cell>
          <cell r="D110" t="str">
            <v xml:space="preserve">R1.5 </v>
          </cell>
          <cell r="E110">
            <v>0</v>
          </cell>
          <cell r="F110">
            <v>8960.51</v>
          </cell>
          <cell r="G110">
            <v>5530</v>
          </cell>
          <cell r="H110">
            <v>3431</v>
          </cell>
          <cell r="I110">
            <v>157</v>
          </cell>
          <cell r="J110">
            <v>1.75</v>
          </cell>
          <cell r="K110">
            <v>21.9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61.7</v>
          </cell>
          <cell r="P110">
            <v>25.8</v>
          </cell>
          <cell r="Q110">
            <v>4335</v>
          </cell>
          <cell r="R110">
            <v>214</v>
          </cell>
          <cell r="S110">
            <v>2.39</v>
          </cell>
        </row>
        <row r="111">
          <cell r="A111" t="str">
            <v xml:space="preserve">375.00 06550000     </v>
          </cell>
          <cell r="B111">
            <v>42339</v>
          </cell>
          <cell r="C111">
            <v>55</v>
          </cell>
          <cell r="D111" t="str">
            <v xml:space="preserve">R1.5 </v>
          </cell>
          <cell r="E111">
            <v>0</v>
          </cell>
          <cell r="F111">
            <v>914.6</v>
          </cell>
          <cell r="G111">
            <v>970</v>
          </cell>
          <cell r="H111">
            <v>-55</v>
          </cell>
          <cell r="I111">
            <v>0</v>
          </cell>
          <cell r="J111">
            <v>0</v>
          </cell>
          <cell r="K111">
            <v>0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106.1</v>
          </cell>
          <cell r="P111">
            <v>45.3</v>
          </cell>
          <cell r="Q111">
            <v>760</v>
          </cell>
          <cell r="R111">
            <v>20</v>
          </cell>
          <cell r="S111">
            <v>2.19</v>
          </cell>
        </row>
        <row r="112">
          <cell r="A112" t="str">
            <v xml:space="preserve">375.00 06720000     </v>
          </cell>
          <cell r="B112">
            <v>49644</v>
          </cell>
          <cell r="C112">
            <v>55</v>
          </cell>
          <cell r="D112" t="str">
            <v xml:space="preserve">R1.5 </v>
          </cell>
          <cell r="E112">
            <v>0</v>
          </cell>
          <cell r="F112">
            <v>18198.95</v>
          </cell>
          <cell r="G112">
            <v>7392</v>
          </cell>
          <cell r="H112">
            <v>10807</v>
          </cell>
          <cell r="I112">
            <v>426</v>
          </cell>
          <cell r="J112">
            <v>2.34</v>
          </cell>
          <cell r="K112">
            <v>25.4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40.6</v>
          </cell>
          <cell r="P112">
            <v>14</v>
          </cell>
          <cell r="Q112">
            <v>5794</v>
          </cell>
          <cell r="R112">
            <v>489</v>
          </cell>
          <cell r="S112">
            <v>2.69</v>
          </cell>
        </row>
        <row r="113">
          <cell r="A113" t="str">
            <v xml:space="preserve">375.00 06730000     </v>
          </cell>
          <cell r="B113">
            <v>53297</v>
          </cell>
          <cell r="C113">
            <v>55</v>
          </cell>
          <cell r="D113" t="str">
            <v xml:space="preserve">R1.5 </v>
          </cell>
          <cell r="E113">
            <v>0</v>
          </cell>
          <cell r="F113">
            <v>3587.3</v>
          </cell>
          <cell r="G113">
            <v>723</v>
          </cell>
          <cell r="H113">
            <v>2864</v>
          </cell>
          <cell r="I113">
            <v>86</v>
          </cell>
          <cell r="J113">
            <v>2.4</v>
          </cell>
          <cell r="K113">
            <v>33.299999999999997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20.2</v>
          </cell>
          <cell r="P113">
            <v>7.3</v>
          </cell>
          <cell r="Q113">
            <v>567</v>
          </cell>
          <cell r="R113">
            <v>90</v>
          </cell>
          <cell r="S113">
            <v>2.5099999999999998</v>
          </cell>
        </row>
        <row r="114">
          <cell r="A114" t="str">
            <v xml:space="preserve">375.00 06900000     </v>
          </cell>
          <cell r="B114">
            <v>47088</v>
          </cell>
          <cell r="C114">
            <v>55</v>
          </cell>
          <cell r="D114" t="str">
            <v xml:space="preserve">R1.5 </v>
          </cell>
          <cell r="E114">
            <v>0</v>
          </cell>
          <cell r="F114">
            <v>15114.18</v>
          </cell>
          <cell r="G114">
            <v>10051</v>
          </cell>
          <cell r="H114">
            <v>5063</v>
          </cell>
          <cell r="I114">
            <v>266</v>
          </cell>
          <cell r="J114">
            <v>1.76</v>
          </cell>
          <cell r="K114">
            <v>19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66.5</v>
          </cell>
          <cell r="P114">
            <v>24.2</v>
          </cell>
          <cell r="Q114">
            <v>7879</v>
          </cell>
          <cell r="R114">
            <v>380</v>
          </cell>
          <cell r="S114">
            <v>2.5099999999999998</v>
          </cell>
        </row>
        <row r="115">
          <cell r="A115" t="str">
            <v xml:space="preserve">375.00 06950000     </v>
          </cell>
          <cell r="B115">
            <v>52201</v>
          </cell>
          <cell r="C115">
            <v>55</v>
          </cell>
          <cell r="D115" t="str">
            <v xml:space="preserve">R1.5 </v>
          </cell>
          <cell r="E115">
            <v>0</v>
          </cell>
          <cell r="F115">
            <v>39815.870000000003</v>
          </cell>
          <cell r="G115">
            <v>11302</v>
          </cell>
          <cell r="H115">
            <v>28514</v>
          </cell>
          <cell r="I115">
            <v>922</v>
          </cell>
          <cell r="J115">
            <v>2.3199999999999998</v>
          </cell>
          <cell r="K115">
            <v>30.9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28.4</v>
          </cell>
          <cell r="P115">
            <v>10.3</v>
          </cell>
          <cell r="Q115">
            <v>8859</v>
          </cell>
          <cell r="R115">
            <v>999</v>
          </cell>
          <cell r="S115">
            <v>2.5099999999999998</v>
          </cell>
        </row>
        <row r="116">
          <cell r="A116" t="str">
            <v xml:space="preserve">375.00 06990000     </v>
          </cell>
          <cell r="B116">
            <v>43070</v>
          </cell>
          <cell r="C116">
            <v>55</v>
          </cell>
          <cell r="D116" t="str">
            <v xml:space="preserve">R1.5 </v>
          </cell>
          <cell r="E116">
            <v>0</v>
          </cell>
          <cell r="F116">
            <v>2760.33</v>
          </cell>
          <cell r="G116">
            <v>2657</v>
          </cell>
          <cell r="H116">
            <v>104</v>
          </cell>
          <cell r="I116">
            <v>11</v>
          </cell>
          <cell r="J116">
            <v>0.4</v>
          </cell>
          <cell r="K116">
            <v>9.5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96.3</v>
          </cell>
          <cell r="P116">
            <v>35.1</v>
          </cell>
          <cell r="Q116">
            <v>2083</v>
          </cell>
          <cell r="R116">
            <v>71</v>
          </cell>
          <cell r="S116">
            <v>2.57</v>
          </cell>
        </row>
        <row r="117">
          <cell r="A117" t="str">
            <v xml:space="preserve">375.00 09960000     </v>
          </cell>
          <cell r="B117">
            <v>42339</v>
          </cell>
          <cell r="C117">
            <v>55</v>
          </cell>
          <cell r="D117" t="str">
            <v xml:space="preserve">R1.5 </v>
          </cell>
          <cell r="E117">
            <v>0</v>
          </cell>
          <cell r="F117">
            <v>1696.47</v>
          </cell>
          <cell r="G117">
            <v>1850</v>
          </cell>
          <cell r="H117">
            <v>-154</v>
          </cell>
          <cell r="I117">
            <v>0</v>
          </cell>
          <cell r="J117">
            <v>0</v>
          </cell>
          <cell r="K117">
            <v>0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109</v>
          </cell>
          <cell r="P117">
            <v>55.3</v>
          </cell>
          <cell r="Q117">
            <v>1450</v>
          </cell>
          <cell r="R117">
            <v>34</v>
          </cell>
          <cell r="S117">
            <v>2</v>
          </cell>
        </row>
        <row r="118">
          <cell r="A118" t="str">
            <v xml:space="preserve">375.00 09990000     </v>
          </cell>
          <cell r="B118">
            <v>48183</v>
          </cell>
          <cell r="C118">
            <v>55</v>
          </cell>
          <cell r="D118" t="str">
            <v xml:space="preserve">R1.5 </v>
          </cell>
          <cell r="E118">
            <v>0</v>
          </cell>
          <cell r="F118">
            <v>54</v>
          </cell>
          <cell r="G118">
            <v>26</v>
          </cell>
          <cell r="H118">
            <v>28</v>
          </cell>
          <cell r="I118">
            <v>1</v>
          </cell>
          <cell r="J118">
            <v>1.85</v>
          </cell>
          <cell r="K118">
            <v>28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48.1</v>
          </cell>
          <cell r="P118">
            <v>15.3</v>
          </cell>
          <cell r="Q118">
            <v>20</v>
          </cell>
          <cell r="R118">
            <v>2</v>
          </cell>
          <cell r="S118">
            <v>3.7</v>
          </cell>
        </row>
        <row r="119">
          <cell r="A119">
            <v>376.1</v>
          </cell>
          <cell r="B119" t="str">
            <v xml:space="preserve">       </v>
          </cell>
          <cell r="C119">
            <v>47</v>
          </cell>
          <cell r="D119" t="str">
            <v xml:space="preserve">R4   </v>
          </cell>
          <cell r="E119">
            <v>0</v>
          </cell>
          <cell r="F119">
            <v>131567589.20999999</v>
          </cell>
          <cell r="G119">
            <v>29933096</v>
          </cell>
          <cell r="H119">
            <v>101634493</v>
          </cell>
          <cell r="I119">
            <v>2951057</v>
          </cell>
          <cell r="J119">
            <v>2.2400000000000002</v>
          </cell>
          <cell r="K119">
            <v>34.4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22.8</v>
          </cell>
          <cell r="P119">
            <v>12.4</v>
          </cell>
          <cell r="Q119">
            <v>34093267</v>
          </cell>
          <cell r="R119">
            <v>2802390</v>
          </cell>
          <cell r="S119">
            <v>2.13</v>
          </cell>
        </row>
        <row r="120">
          <cell r="A120">
            <v>376.2</v>
          </cell>
          <cell r="B120" t="str">
            <v xml:space="preserve">       </v>
          </cell>
          <cell r="C120">
            <v>70</v>
          </cell>
          <cell r="D120" t="str">
            <v xml:space="preserve">S0.5 </v>
          </cell>
          <cell r="E120">
            <v>0</v>
          </cell>
          <cell r="F120">
            <v>118021902.89</v>
          </cell>
          <cell r="G120">
            <v>29743063</v>
          </cell>
          <cell r="H120">
            <v>88278850</v>
          </cell>
          <cell r="I120">
            <v>1717056</v>
          </cell>
          <cell r="J120">
            <v>1.45</v>
          </cell>
          <cell r="K120">
            <v>51.4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25.2</v>
          </cell>
          <cell r="P120">
            <v>23.4</v>
          </cell>
          <cell r="Q120">
            <v>31068836</v>
          </cell>
          <cell r="R120">
            <v>1687713</v>
          </cell>
          <cell r="S120">
            <v>1.43</v>
          </cell>
        </row>
        <row r="121">
          <cell r="A121">
            <v>378</v>
          </cell>
          <cell r="B121" t="str">
            <v xml:space="preserve">       </v>
          </cell>
          <cell r="C121">
            <v>39</v>
          </cell>
          <cell r="D121" t="str">
            <v xml:space="preserve">R1   </v>
          </cell>
          <cell r="E121">
            <v>0</v>
          </cell>
          <cell r="F121">
            <v>11030945.01</v>
          </cell>
          <cell r="G121">
            <v>4354457</v>
          </cell>
          <cell r="H121">
            <v>6676491</v>
          </cell>
          <cell r="I121">
            <v>238596</v>
          </cell>
          <cell r="J121">
            <v>2.16</v>
          </cell>
          <cell r="K121">
            <v>28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39.5</v>
          </cell>
          <cell r="P121">
            <v>18.7</v>
          </cell>
          <cell r="Q121">
            <v>3529314</v>
          </cell>
          <cell r="R121">
            <v>282318</v>
          </cell>
          <cell r="S121">
            <v>2.56</v>
          </cell>
        </row>
        <row r="122">
          <cell r="A122">
            <v>379</v>
          </cell>
          <cell r="B122" t="str">
            <v xml:space="preserve">       </v>
          </cell>
          <cell r="C122">
            <v>40</v>
          </cell>
          <cell r="D122" t="str">
            <v xml:space="preserve">R2   </v>
          </cell>
          <cell r="E122">
            <v>0</v>
          </cell>
          <cell r="F122">
            <v>6204272.3399999999</v>
          </cell>
          <cell r="G122">
            <v>2136915</v>
          </cell>
          <cell r="H122">
            <v>4067356</v>
          </cell>
          <cell r="I122">
            <v>136634</v>
          </cell>
          <cell r="J122">
            <v>2.2000000000000002</v>
          </cell>
          <cell r="K122">
            <v>29.8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34.4</v>
          </cell>
          <cell r="P122">
            <v>14.1</v>
          </cell>
          <cell r="Q122">
            <v>1778455</v>
          </cell>
          <cell r="R122">
            <v>155107</v>
          </cell>
          <cell r="S122">
            <v>2.5</v>
          </cell>
        </row>
        <row r="123">
          <cell r="A123">
            <v>380.1</v>
          </cell>
          <cell r="B123" t="str">
            <v xml:space="preserve">       </v>
          </cell>
          <cell r="C123">
            <v>34</v>
          </cell>
          <cell r="D123" t="str">
            <v xml:space="preserve">R4   </v>
          </cell>
          <cell r="E123">
            <v>0</v>
          </cell>
          <cell r="F123">
            <v>145365575.44</v>
          </cell>
          <cell r="G123">
            <v>52561237</v>
          </cell>
          <cell r="H123">
            <v>92804337</v>
          </cell>
          <cell r="I123">
            <v>4289927</v>
          </cell>
          <cell r="J123">
            <v>2.95</v>
          </cell>
          <cell r="K123">
            <v>21.6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36.200000000000003</v>
          </cell>
          <cell r="P123">
            <v>13</v>
          </cell>
          <cell r="Q123">
            <v>52739783</v>
          </cell>
          <cell r="R123">
            <v>4273748</v>
          </cell>
          <cell r="S123">
            <v>2.94</v>
          </cell>
        </row>
        <row r="124">
          <cell r="A124">
            <v>380.2</v>
          </cell>
          <cell r="B124" t="str">
            <v xml:space="preserve">       </v>
          </cell>
          <cell r="C124">
            <v>45</v>
          </cell>
          <cell r="D124" t="str">
            <v xml:space="preserve">R1   </v>
          </cell>
          <cell r="E124">
            <v>0</v>
          </cell>
          <cell r="F124">
            <v>16464111.220000001</v>
          </cell>
          <cell r="G124">
            <v>8874429</v>
          </cell>
          <cell r="H124">
            <v>7589686</v>
          </cell>
          <cell r="I124">
            <v>283185</v>
          </cell>
          <cell r="J124">
            <v>1.72</v>
          </cell>
          <cell r="K124">
            <v>26.8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53.9</v>
          </cell>
          <cell r="P124">
            <v>31.4</v>
          </cell>
          <cell r="Q124">
            <v>7413410</v>
          </cell>
          <cell r="R124">
            <v>364890</v>
          </cell>
          <cell r="S124">
            <v>2.2200000000000002</v>
          </cell>
        </row>
        <row r="125">
          <cell r="A125">
            <v>381</v>
          </cell>
          <cell r="B125" t="str">
            <v xml:space="preserve">       </v>
          </cell>
          <cell r="C125">
            <v>34</v>
          </cell>
          <cell r="D125" t="str">
            <v xml:space="preserve">S1.5 </v>
          </cell>
          <cell r="E125">
            <v>0</v>
          </cell>
          <cell r="F125">
            <v>35712973.770000003</v>
          </cell>
          <cell r="G125">
            <v>14531269</v>
          </cell>
          <cell r="H125">
            <v>21181706</v>
          </cell>
          <cell r="I125">
            <v>955526</v>
          </cell>
          <cell r="J125">
            <v>2.68</v>
          </cell>
          <cell r="K125">
            <v>22.2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40.700000000000003</v>
          </cell>
          <cell r="P125">
            <v>15.5</v>
          </cell>
          <cell r="Q125">
            <v>13242257</v>
          </cell>
          <cell r="R125">
            <v>1049960</v>
          </cell>
          <cell r="S125">
            <v>2.94</v>
          </cell>
        </row>
        <row r="126">
          <cell r="A126">
            <v>381.1</v>
          </cell>
          <cell r="B126" t="str">
            <v xml:space="preserve">       </v>
          </cell>
          <cell r="C126">
            <v>15</v>
          </cell>
          <cell r="D126" t="str">
            <v xml:space="preserve">R3   </v>
          </cell>
          <cell r="E126">
            <v>0</v>
          </cell>
          <cell r="F126">
            <v>9761839.5199999996</v>
          </cell>
          <cell r="G126">
            <v>1307492</v>
          </cell>
          <cell r="H126">
            <v>8454346</v>
          </cell>
          <cell r="I126">
            <v>730746</v>
          </cell>
          <cell r="J126">
            <v>7.49</v>
          </cell>
          <cell r="K126">
            <v>11.6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13.4</v>
          </cell>
          <cell r="P126">
            <v>3.4</v>
          </cell>
          <cell r="Q126">
            <v>2136302</v>
          </cell>
          <cell r="R126">
            <v>651115</v>
          </cell>
          <cell r="S126">
            <v>6.67</v>
          </cell>
        </row>
        <row r="127">
          <cell r="A127">
            <v>383</v>
          </cell>
          <cell r="B127" t="str">
            <v xml:space="preserve">       </v>
          </cell>
          <cell r="C127">
            <v>35</v>
          </cell>
          <cell r="D127" t="str">
            <v xml:space="preserve">R4   </v>
          </cell>
          <cell r="E127">
            <v>0</v>
          </cell>
          <cell r="F127">
            <v>2582869.1</v>
          </cell>
          <cell r="G127">
            <v>1293957</v>
          </cell>
          <cell r="H127">
            <v>1288913</v>
          </cell>
          <cell r="I127">
            <v>53723</v>
          </cell>
          <cell r="J127">
            <v>2.08</v>
          </cell>
          <cell r="K127">
            <v>24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50.1</v>
          </cell>
          <cell r="P127">
            <v>17.3</v>
          </cell>
          <cell r="Q127">
            <v>1132586</v>
          </cell>
          <cell r="R127">
            <v>72880</v>
          </cell>
          <cell r="S127">
            <v>2.82</v>
          </cell>
        </row>
        <row r="128">
          <cell r="A128">
            <v>384</v>
          </cell>
          <cell r="B128" t="str">
            <v xml:space="preserve">       </v>
          </cell>
          <cell r="C128">
            <v>35</v>
          </cell>
          <cell r="D128" t="str">
            <v xml:space="preserve">R4   </v>
          </cell>
          <cell r="E128">
            <v>0</v>
          </cell>
          <cell r="F128">
            <v>2744905.77</v>
          </cell>
          <cell r="G128">
            <v>1710224</v>
          </cell>
          <cell r="H128">
            <v>1034683</v>
          </cell>
          <cell r="I128">
            <v>45273</v>
          </cell>
          <cell r="J128">
            <v>1.65</v>
          </cell>
          <cell r="K128">
            <v>22.9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62.3</v>
          </cell>
          <cell r="P128">
            <v>21.2</v>
          </cell>
          <cell r="Q128">
            <v>1468388</v>
          </cell>
          <cell r="R128">
            <v>78504</v>
          </cell>
          <cell r="S128">
            <v>2.86</v>
          </cell>
        </row>
        <row r="129">
          <cell r="A129">
            <v>385</v>
          </cell>
          <cell r="B129" t="str">
            <v xml:space="preserve">       </v>
          </cell>
          <cell r="C129">
            <v>35</v>
          </cell>
          <cell r="D129" t="str">
            <v xml:space="preserve">R3   </v>
          </cell>
          <cell r="E129">
            <v>0</v>
          </cell>
          <cell r="F129">
            <v>4832314.5599999996</v>
          </cell>
          <cell r="G129">
            <v>3386690</v>
          </cell>
          <cell r="H129">
            <v>1445624</v>
          </cell>
          <cell r="I129">
            <v>100220</v>
          </cell>
          <cell r="J129">
            <v>2.0699999999999998</v>
          </cell>
          <cell r="K129">
            <v>14.4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70.099999999999994</v>
          </cell>
          <cell r="P129">
            <v>27.8</v>
          </cell>
          <cell r="Q129">
            <v>3113160</v>
          </cell>
          <cell r="R129">
            <v>138204</v>
          </cell>
          <cell r="S129">
            <v>2.86</v>
          </cell>
        </row>
        <row r="130">
          <cell r="A130">
            <v>387</v>
          </cell>
          <cell r="B130" t="str">
            <v xml:space="preserve">       </v>
          </cell>
          <cell r="C130">
            <v>29</v>
          </cell>
          <cell r="D130" t="str">
            <v xml:space="preserve">L2   </v>
          </cell>
          <cell r="E130">
            <v>0</v>
          </cell>
          <cell r="F130">
            <v>32249.86</v>
          </cell>
          <cell r="G130">
            <v>30506</v>
          </cell>
          <cell r="H130">
            <v>1745</v>
          </cell>
          <cell r="I130">
            <v>119</v>
          </cell>
          <cell r="J130">
            <v>0.37</v>
          </cell>
          <cell r="K130">
            <v>14.7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94.6</v>
          </cell>
          <cell r="P130">
            <v>27.8</v>
          </cell>
          <cell r="Q130">
            <v>19143</v>
          </cell>
          <cell r="R130">
            <v>1113</v>
          </cell>
          <cell r="S130">
            <v>3.45</v>
          </cell>
        </row>
        <row r="131">
          <cell r="A131">
            <v>389.1</v>
          </cell>
          <cell r="B131" t="str">
            <v xml:space="preserve">       </v>
          </cell>
          <cell r="C131">
            <v>0</v>
          </cell>
          <cell r="D131" t="str">
            <v xml:space="preserve">ND   </v>
          </cell>
          <cell r="E131">
            <v>0</v>
          </cell>
          <cell r="F131">
            <v>759928.3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 xml:space="preserve">390.00 00150000     </v>
          </cell>
          <cell r="B132">
            <v>42339</v>
          </cell>
          <cell r="C132">
            <v>60</v>
          </cell>
          <cell r="D132" t="str">
            <v xml:space="preserve">L0   </v>
          </cell>
          <cell r="E132">
            <v>0</v>
          </cell>
          <cell r="F132">
            <v>570263.12</v>
          </cell>
          <cell r="G132">
            <v>389586</v>
          </cell>
          <cell r="H132">
            <v>180675</v>
          </cell>
          <cell r="I132">
            <v>22810</v>
          </cell>
          <cell r="J132">
            <v>4</v>
          </cell>
          <cell r="K132">
            <v>7.9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68.3</v>
          </cell>
          <cell r="P132">
            <v>23.3</v>
          </cell>
          <cell r="Q132">
            <v>359707</v>
          </cell>
          <cell r="R132">
            <v>26630</v>
          </cell>
          <cell r="S132">
            <v>4.67</v>
          </cell>
        </row>
        <row r="133">
          <cell r="A133" t="str">
            <v xml:space="preserve">390.00 00610000     </v>
          </cell>
          <cell r="B133">
            <v>45992</v>
          </cell>
          <cell r="C133">
            <v>60</v>
          </cell>
          <cell r="D133" t="str">
            <v xml:space="preserve">L0   </v>
          </cell>
          <cell r="E133">
            <v>0</v>
          </cell>
          <cell r="F133">
            <v>217873.47</v>
          </cell>
          <cell r="G133">
            <v>124887</v>
          </cell>
          <cell r="H133">
            <v>92987</v>
          </cell>
          <cell r="I133">
            <v>5745</v>
          </cell>
          <cell r="J133">
            <v>2.64</v>
          </cell>
          <cell r="K133">
            <v>16.2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57.3</v>
          </cell>
          <cell r="P133">
            <v>26</v>
          </cell>
          <cell r="Q133">
            <v>115309</v>
          </cell>
          <cell r="R133">
            <v>6345</v>
          </cell>
          <cell r="S133">
            <v>2.91</v>
          </cell>
        </row>
        <row r="134">
          <cell r="A134" t="str">
            <v xml:space="preserve">390.00 00770000     </v>
          </cell>
          <cell r="B134">
            <v>46357</v>
          </cell>
          <cell r="C134">
            <v>60</v>
          </cell>
          <cell r="D134" t="str">
            <v xml:space="preserve">L0   </v>
          </cell>
          <cell r="E134">
            <v>0</v>
          </cell>
          <cell r="F134">
            <v>263104.69</v>
          </cell>
          <cell r="G134">
            <v>137688</v>
          </cell>
          <cell r="H134">
            <v>125419</v>
          </cell>
          <cell r="I134">
            <v>7353</v>
          </cell>
          <cell r="J134">
            <v>2.79</v>
          </cell>
          <cell r="K134">
            <v>17.100000000000001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52.3</v>
          </cell>
          <cell r="P134">
            <v>27.7</v>
          </cell>
          <cell r="Q134">
            <v>127128</v>
          </cell>
          <cell r="R134">
            <v>7993</v>
          </cell>
          <cell r="S134">
            <v>3.04</v>
          </cell>
        </row>
        <row r="135">
          <cell r="A135" t="str">
            <v xml:space="preserve">390.00 00930000     </v>
          </cell>
          <cell r="B135">
            <v>50375</v>
          </cell>
          <cell r="C135">
            <v>60</v>
          </cell>
          <cell r="D135" t="str">
            <v xml:space="preserve">L0   </v>
          </cell>
          <cell r="E135">
            <v>0</v>
          </cell>
          <cell r="F135">
            <v>8778.32</v>
          </cell>
          <cell r="G135">
            <v>3615</v>
          </cell>
          <cell r="H135">
            <v>5163</v>
          </cell>
          <cell r="I135">
            <v>209</v>
          </cell>
          <cell r="J135">
            <v>2.38</v>
          </cell>
          <cell r="K135">
            <v>24.7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41.2</v>
          </cell>
          <cell r="P135">
            <v>20.3</v>
          </cell>
          <cell r="Q135">
            <v>3338</v>
          </cell>
          <cell r="R135">
            <v>220</v>
          </cell>
          <cell r="S135">
            <v>2.5099999999999998</v>
          </cell>
        </row>
        <row r="136">
          <cell r="A136" t="str">
            <v xml:space="preserve">390.00 00970000     </v>
          </cell>
          <cell r="B136">
            <v>53662</v>
          </cell>
          <cell r="C136">
            <v>60</v>
          </cell>
          <cell r="D136" t="str">
            <v xml:space="preserve">L0   </v>
          </cell>
          <cell r="E136">
            <v>0</v>
          </cell>
          <cell r="F136">
            <v>1937</v>
          </cell>
          <cell r="G136">
            <v>461</v>
          </cell>
          <cell r="H136">
            <v>1476</v>
          </cell>
          <cell r="I136">
            <v>47</v>
          </cell>
          <cell r="J136">
            <v>2.4300000000000002</v>
          </cell>
          <cell r="K136">
            <v>31.4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23.8</v>
          </cell>
          <cell r="P136">
            <v>11.3</v>
          </cell>
          <cell r="Q136">
            <v>426</v>
          </cell>
          <cell r="R136">
            <v>49</v>
          </cell>
          <cell r="S136">
            <v>2.5299999999999998</v>
          </cell>
        </row>
        <row r="137">
          <cell r="A137" t="str">
            <v xml:space="preserve">390.00 00990000     </v>
          </cell>
          <cell r="B137">
            <v>54027</v>
          </cell>
          <cell r="C137">
            <v>60</v>
          </cell>
          <cell r="D137" t="str">
            <v xml:space="preserve">L0   </v>
          </cell>
          <cell r="E137">
            <v>0</v>
          </cell>
          <cell r="F137">
            <v>18121.650000000001</v>
          </cell>
          <cell r="G137">
            <v>3963</v>
          </cell>
          <cell r="H137">
            <v>14159</v>
          </cell>
          <cell r="I137">
            <v>445</v>
          </cell>
          <cell r="J137">
            <v>2.46</v>
          </cell>
          <cell r="K137">
            <v>31.8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21.9</v>
          </cell>
          <cell r="P137">
            <v>10.3</v>
          </cell>
          <cell r="Q137">
            <v>3659</v>
          </cell>
          <cell r="R137">
            <v>455</v>
          </cell>
          <cell r="S137">
            <v>2.5099999999999998</v>
          </cell>
        </row>
        <row r="138">
          <cell r="A138" t="str">
            <v xml:space="preserve">390.00 02080000     </v>
          </cell>
          <cell r="B138">
            <v>54027</v>
          </cell>
          <cell r="C138">
            <v>60</v>
          </cell>
          <cell r="D138" t="str">
            <v xml:space="preserve">L0   </v>
          </cell>
          <cell r="E138">
            <v>0</v>
          </cell>
          <cell r="F138">
            <v>548498.22</v>
          </cell>
          <cell r="G138">
            <v>45192</v>
          </cell>
          <cell r="H138">
            <v>503308</v>
          </cell>
          <cell r="I138">
            <v>15175</v>
          </cell>
          <cell r="J138">
            <v>2.77</v>
          </cell>
          <cell r="K138">
            <v>33.200000000000003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8.1999999999999993</v>
          </cell>
          <cell r="P138">
            <v>4.9000000000000004</v>
          </cell>
          <cell r="Q138">
            <v>41726</v>
          </cell>
          <cell r="R138">
            <v>15300</v>
          </cell>
          <cell r="S138">
            <v>2.79</v>
          </cell>
        </row>
        <row r="139">
          <cell r="A139" t="str">
            <v xml:space="preserve">390.00 02090000     </v>
          </cell>
          <cell r="B139">
            <v>52566</v>
          </cell>
          <cell r="C139">
            <v>60</v>
          </cell>
          <cell r="D139" t="str">
            <v xml:space="preserve">L0   </v>
          </cell>
          <cell r="E139">
            <v>0</v>
          </cell>
          <cell r="F139">
            <v>550642.68000000005</v>
          </cell>
          <cell r="G139">
            <v>164970</v>
          </cell>
          <cell r="H139">
            <v>385671</v>
          </cell>
          <cell r="I139">
            <v>13317</v>
          </cell>
          <cell r="J139">
            <v>2.42</v>
          </cell>
          <cell r="K139">
            <v>29</v>
          </cell>
          <cell r="L139" t="str">
            <v xml:space="preserve">      </v>
          </cell>
          <cell r="M139" t="str">
            <v xml:space="preserve">     </v>
          </cell>
          <cell r="N139">
            <v>0</v>
          </cell>
          <cell r="O139">
            <v>30</v>
          </cell>
          <cell r="P139">
            <v>18.5</v>
          </cell>
          <cell r="Q139">
            <v>152318</v>
          </cell>
          <cell r="R139">
            <v>13774</v>
          </cell>
          <cell r="S139">
            <v>2.5</v>
          </cell>
        </row>
        <row r="140">
          <cell r="A140" t="str">
            <v xml:space="preserve">390.00 02100000     </v>
          </cell>
          <cell r="B140">
            <v>40513</v>
          </cell>
          <cell r="C140">
            <v>60</v>
          </cell>
          <cell r="D140" t="str">
            <v xml:space="preserve">L0   </v>
          </cell>
          <cell r="E140">
            <v>0</v>
          </cell>
          <cell r="F140">
            <v>19314.439999999999</v>
          </cell>
          <cell r="G140">
            <v>17962</v>
          </cell>
          <cell r="H140">
            <v>1352</v>
          </cell>
          <cell r="I140">
            <v>424</v>
          </cell>
          <cell r="J140">
            <v>2.2000000000000002</v>
          </cell>
          <cell r="K140">
            <v>3.2</v>
          </cell>
          <cell r="L140" t="str">
            <v xml:space="preserve">      </v>
          </cell>
          <cell r="M140" t="str">
            <v xml:space="preserve">     </v>
          </cell>
          <cell r="N140">
            <v>0</v>
          </cell>
          <cell r="O140">
            <v>93</v>
          </cell>
          <cell r="P140">
            <v>27.8</v>
          </cell>
          <cell r="Q140">
            <v>16584</v>
          </cell>
          <cell r="R140">
            <v>856</v>
          </cell>
          <cell r="S140">
            <v>4.43</v>
          </cell>
        </row>
        <row r="141">
          <cell r="A141" t="str">
            <v xml:space="preserve">390.00 02110000     </v>
          </cell>
          <cell r="B141">
            <v>51105</v>
          </cell>
          <cell r="C141">
            <v>60</v>
          </cell>
          <cell r="D141" t="str">
            <v xml:space="preserve">L0   </v>
          </cell>
          <cell r="E141">
            <v>0</v>
          </cell>
          <cell r="F141">
            <v>284469.24</v>
          </cell>
          <cell r="G141">
            <v>81624</v>
          </cell>
          <cell r="H141">
            <v>202846</v>
          </cell>
          <cell r="I141">
            <v>7585</v>
          </cell>
          <cell r="J141">
            <v>2.67</v>
          </cell>
          <cell r="K141">
            <v>26.7</v>
          </cell>
          <cell r="L141" t="str">
            <v xml:space="preserve">      </v>
          </cell>
          <cell r="M141" t="str">
            <v xml:space="preserve">     </v>
          </cell>
          <cell r="N141">
            <v>0</v>
          </cell>
          <cell r="O141">
            <v>28.7</v>
          </cell>
          <cell r="P141">
            <v>13</v>
          </cell>
          <cell r="Q141">
            <v>75364</v>
          </cell>
          <cell r="R141">
            <v>7824</v>
          </cell>
          <cell r="S141">
            <v>2.75</v>
          </cell>
        </row>
        <row r="142">
          <cell r="A142" t="str">
            <v xml:space="preserve">390.00 02120000     </v>
          </cell>
          <cell r="B142">
            <v>54758</v>
          </cell>
          <cell r="C142">
            <v>60</v>
          </cell>
          <cell r="D142" t="str">
            <v xml:space="preserve">L0   </v>
          </cell>
          <cell r="E142">
            <v>0</v>
          </cell>
          <cell r="F142">
            <v>168.5</v>
          </cell>
          <cell r="G142">
            <v>88</v>
          </cell>
          <cell r="H142">
            <v>81</v>
          </cell>
          <cell r="I142">
            <v>3</v>
          </cell>
          <cell r="J142">
            <v>1.78</v>
          </cell>
          <cell r="K142">
            <v>27</v>
          </cell>
          <cell r="L142" t="str">
            <v xml:space="preserve">      </v>
          </cell>
          <cell r="M142" t="str">
            <v xml:space="preserve">     </v>
          </cell>
          <cell r="N142">
            <v>0</v>
          </cell>
          <cell r="O142">
            <v>52.2</v>
          </cell>
          <cell r="P142">
            <v>47.3</v>
          </cell>
          <cell r="Q142">
            <v>81</v>
          </cell>
          <cell r="R142">
            <v>3</v>
          </cell>
          <cell r="S142">
            <v>1.78</v>
          </cell>
        </row>
        <row r="143">
          <cell r="A143" t="str">
            <v xml:space="preserve">390.00 02130000     </v>
          </cell>
          <cell r="B143">
            <v>54393</v>
          </cell>
          <cell r="C143">
            <v>60</v>
          </cell>
          <cell r="D143" t="str">
            <v xml:space="preserve">L0   </v>
          </cell>
          <cell r="E143">
            <v>0</v>
          </cell>
          <cell r="F143">
            <v>1204405.53</v>
          </cell>
          <cell r="G143">
            <v>356873</v>
          </cell>
          <cell r="H143">
            <v>847531</v>
          </cell>
          <cell r="I143">
            <v>26848</v>
          </cell>
          <cell r="J143">
            <v>2.23</v>
          </cell>
          <cell r="K143">
            <v>31.6</v>
          </cell>
          <cell r="L143" t="str">
            <v xml:space="preserve">      </v>
          </cell>
          <cell r="M143" t="str">
            <v xml:space="preserve">     </v>
          </cell>
          <cell r="N143">
            <v>0</v>
          </cell>
          <cell r="O143">
            <v>29.6</v>
          </cell>
          <cell r="P143">
            <v>20</v>
          </cell>
          <cell r="Q143">
            <v>331424</v>
          </cell>
          <cell r="R143">
            <v>27708</v>
          </cell>
          <cell r="S143">
            <v>2.2999999999999998</v>
          </cell>
        </row>
        <row r="144">
          <cell r="A144" t="str">
            <v xml:space="preserve">390.00 02140000     </v>
          </cell>
          <cell r="B144">
            <v>47088</v>
          </cell>
          <cell r="C144">
            <v>60</v>
          </cell>
          <cell r="D144" t="str">
            <v xml:space="preserve">L0   </v>
          </cell>
          <cell r="E144">
            <v>0</v>
          </cell>
          <cell r="F144">
            <v>98465.13</v>
          </cell>
          <cell r="G144">
            <v>55426</v>
          </cell>
          <cell r="H144">
            <v>43038</v>
          </cell>
          <cell r="I144">
            <v>2354</v>
          </cell>
          <cell r="J144">
            <v>2.39</v>
          </cell>
          <cell r="K144">
            <v>18.3</v>
          </cell>
          <cell r="L144" t="str">
            <v xml:space="preserve">      </v>
          </cell>
          <cell r="M144" t="str">
            <v xml:space="preserve">     </v>
          </cell>
          <cell r="N144">
            <v>0</v>
          </cell>
          <cell r="O144">
            <v>56.3</v>
          </cell>
          <cell r="P144">
            <v>27.6</v>
          </cell>
          <cell r="Q144">
            <v>51175</v>
          </cell>
          <cell r="R144">
            <v>2589</v>
          </cell>
          <cell r="S144">
            <v>2.63</v>
          </cell>
        </row>
        <row r="145">
          <cell r="A145" t="str">
            <v xml:space="preserve">390.00 02150000     </v>
          </cell>
          <cell r="B145">
            <v>52566</v>
          </cell>
          <cell r="C145">
            <v>60</v>
          </cell>
          <cell r="D145" t="str">
            <v xml:space="preserve">L0   </v>
          </cell>
          <cell r="E145">
            <v>0</v>
          </cell>
          <cell r="F145">
            <v>60556.78</v>
          </cell>
          <cell r="G145">
            <v>23243</v>
          </cell>
          <cell r="H145">
            <v>37314</v>
          </cell>
          <cell r="I145">
            <v>1328</v>
          </cell>
          <cell r="J145">
            <v>2.19</v>
          </cell>
          <cell r="K145">
            <v>28.1</v>
          </cell>
          <cell r="L145" t="str">
            <v xml:space="preserve">      </v>
          </cell>
          <cell r="M145" t="str">
            <v xml:space="preserve">     </v>
          </cell>
          <cell r="N145">
            <v>0</v>
          </cell>
          <cell r="O145">
            <v>38.4</v>
          </cell>
          <cell r="P145">
            <v>25</v>
          </cell>
          <cell r="Q145">
            <v>21460</v>
          </cell>
          <cell r="R145">
            <v>1394</v>
          </cell>
          <cell r="S145">
            <v>2.2999999999999998</v>
          </cell>
        </row>
        <row r="146">
          <cell r="A146" t="str">
            <v xml:space="preserve">390.00 02160000     </v>
          </cell>
          <cell r="B146">
            <v>45627</v>
          </cell>
          <cell r="C146">
            <v>60</v>
          </cell>
          <cell r="D146" t="str">
            <v xml:space="preserve">L0   </v>
          </cell>
          <cell r="E146">
            <v>0</v>
          </cell>
          <cell r="F146">
            <v>144812.95000000001</v>
          </cell>
          <cell r="G146">
            <v>73899</v>
          </cell>
          <cell r="H146">
            <v>70913</v>
          </cell>
          <cell r="I146">
            <v>4533</v>
          </cell>
          <cell r="J146">
            <v>3.13</v>
          </cell>
          <cell r="K146">
            <v>15.6</v>
          </cell>
          <cell r="L146" t="str">
            <v xml:space="preserve">      </v>
          </cell>
          <cell r="M146" t="str">
            <v xml:space="preserve">     </v>
          </cell>
          <cell r="N146">
            <v>0</v>
          </cell>
          <cell r="O146">
            <v>51</v>
          </cell>
          <cell r="P146">
            <v>23.2</v>
          </cell>
          <cell r="Q146">
            <v>68231</v>
          </cell>
          <cell r="R146">
            <v>4903</v>
          </cell>
          <cell r="S146">
            <v>3.39</v>
          </cell>
        </row>
        <row r="147">
          <cell r="A147" t="str">
            <v xml:space="preserve">390.00 02170000     </v>
          </cell>
          <cell r="B147">
            <v>53297</v>
          </cell>
          <cell r="C147">
            <v>60</v>
          </cell>
          <cell r="D147" t="str">
            <v xml:space="preserve">L0   </v>
          </cell>
          <cell r="E147">
            <v>0</v>
          </cell>
          <cell r="F147">
            <v>237949.2</v>
          </cell>
          <cell r="G147">
            <v>75127</v>
          </cell>
          <cell r="H147">
            <v>162823</v>
          </cell>
          <cell r="I147">
            <v>5454</v>
          </cell>
          <cell r="J147">
            <v>2.29</v>
          </cell>
          <cell r="K147">
            <v>29.9</v>
          </cell>
          <cell r="L147" t="str">
            <v xml:space="preserve">      </v>
          </cell>
          <cell r="M147" t="str">
            <v xml:space="preserve">     </v>
          </cell>
          <cell r="N147">
            <v>0</v>
          </cell>
          <cell r="O147">
            <v>31.6</v>
          </cell>
          <cell r="P147">
            <v>19.600000000000001</v>
          </cell>
          <cell r="Q147">
            <v>69365</v>
          </cell>
          <cell r="R147">
            <v>5654</v>
          </cell>
          <cell r="S147">
            <v>2.38</v>
          </cell>
        </row>
        <row r="148">
          <cell r="A148" t="str">
            <v xml:space="preserve">390.00 02180000     </v>
          </cell>
          <cell r="B148">
            <v>48183</v>
          </cell>
          <cell r="C148">
            <v>60</v>
          </cell>
          <cell r="D148" t="str">
            <v xml:space="preserve">L0   </v>
          </cell>
          <cell r="E148">
            <v>0</v>
          </cell>
          <cell r="F148">
            <v>62697.82</v>
          </cell>
          <cell r="G148">
            <v>33023</v>
          </cell>
          <cell r="H148">
            <v>29675</v>
          </cell>
          <cell r="I148">
            <v>1454</v>
          </cell>
          <cell r="J148">
            <v>2.3199999999999998</v>
          </cell>
          <cell r="K148">
            <v>20.399999999999999</v>
          </cell>
          <cell r="L148" t="str">
            <v xml:space="preserve">      </v>
          </cell>
          <cell r="M148" t="str">
            <v xml:space="preserve">     </v>
          </cell>
          <cell r="N148">
            <v>0</v>
          </cell>
          <cell r="O148">
            <v>52.7</v>
          </cell>
          <cell r="P148">
            <v>26.1</v>
          </cell>
          <cell r="Q148">
            <v>30490</v>
          </cell>
          <cell r="R148">
            <v>1580</v>
          </cell>
          <cell r="S148">
            <v>2.52</v>
          </cell>
        </row>
        <row r="149">
          <cell r="A149" t="str">
            <v xml:space="preserve">390.00 02190000     </v>
          </cell>
          <cell r="B149">
            <v>47818</v>
          </cell>
          <cell r="C149">
            <v>60</v>
          </cell>
          <cell r="D149" t="str">
            <v xml:space="preserve">L0   </v>
          </cell>
          <cell r="E149">
            <v>0</v>
          </cell>
          <cell r="F149">
            <v>32472.21</v>
          </cell>
          <cell r="G149">
            <v>17522</v>
          </cell>
          <cell r="H149">
            <v>14950</v>
          </cell>
          <cell r="I149">
            <v>758</v>
          </cell>
          <cell r="J149">
            <v>2.33</v>
          </cell>
          <cell r="K149">
            <v>19.7</v>
          </cell>
          <cell r="L149" t="str">
            <v xml:space="preserve">      </v>
          </cell>
          <cell r="M149" t="str">
            <v xml:space="preserve">     </v>
          </cell>
          <cell r="N149">
            <v>0</v>
          </cell>
          <cell r="O149">
            <v>54</v>
          </cell>
          <cell r="P149">
            <v>29.5</v>
          </cell>
          <cell r="Q149">
            <v>16178</v>
          </cell>
          <cell r="R149">
            <v>828</v>
          </cell>
          <cell r="S149">
            <v>2.5499999999999998</v>
          </cell>
        </row>
        <row r="150">
          <cell r="A150" t="str">
            <v xml:space="preserve">390.00 02210000     </v>
          </cell>
          <cell r="B150">
            <v>52201</v>
          </cell>
          <cell r="C150">
            <v>60</v>
          </cell>
          <cell r="D150" t="str">
            <v xml:space="preserve">L0   </v>
          </cell>
          <cell r="E150">
            <v>0</v>
          </cell>
          <cell r="F150">
            <v>187289.11</v>
          </cell>
          <cell r="G150">
            <v>64554</v>
          </cell>
          <cell r="H150">
            <v>122734</v>
          </cell>
          <cell r="I150">
            <v>4380</v>
          </cell>
          <cell r="J150">
            <v>2.34</v>
          </cell>
          <cell r="K150">
            <v>28</v>
          </cell>
          <cell r="L150" t="str">
            <v xml:space="preserve">      </v>
          </cell>
          <cell r="M150" t="str">
            <v xml:space="preserve">     </v>
          </cell>
          <cell r="N150">
            <v>0</v>
          </cell>
          <cell r="O150">
            <v>34.5</v>
          </cell>
          <cell r="P150">
            <v>19.899999999999999</v>
          </cell>
          <cell r="Q150">
            <v>59603</v>
          </cell>
          <cell r="R150">
            <v>4563</v>
          </cell>
          <cell r="S150">
            <v>2.44</v>
          </cell>
        </row>
        <row r="151">
          <cell r="A151" t="str">
            <v xml:space="preserve">390.00 02220000     </v>
          </cell>
          <cell r="B151">
            <v>53297</v>
          </cell>
          <cell r="C151">
            <v>60</v>
          </cell>
          <cell r="D151" t="str">
            <v xml:space="preserve">L0   </v>
          </cell>
          <cell r="E151">
            <v>0</v>
          </cell>
          <cell r="F151">
            <v>222071.81</v>
          </cell>
          <cell r="G151">
            <v>55134</v>
          </cell>
          <cell r="H151">
            <v>166938</v>
          </cell>
          <cell r="I151">
            <v>5477</v>
          </cell>
          <cell r="J151">
            <v>2.4700000000000002</v>
          </cell>
          <cell r="K151">
            <v>30.5</v>
          </cell>
          <cell r="L151" t="str">
            <v xml:space="preserve">      </v>
          </cell>
          <cell r="M151" t="str">
            <v xml:space="preserve">     </v>
          </cell>
          <cell r="N151">
            <v>0</v>
          </cell>
          <cell r="O151">
            <v>24.8</v>
          </cell>
          <cell r="P151">
            <v>14.8</v>
          </cell>
          <cell r="Q151">
            <v>50906</v>
          </cell>
          <cell r="R151">
            <v>5622</v>
          </cell>
          <cell r="S151">
            <v>2.5299999999999998</v>
          </cell>
        </row>
        <row r="152">
          <cell r="A152" t="str">
            <v xml:space="preserve">390.00 02250000     </v>
          </cell>
          <cell r="B152">
            <v>47088</v>
          </cell>
          <cell r="C152">
            <v>60</v>
          </cell>
          <cell r="D152" t="str">
            <v xml:space="preserve">L0   </v>
          </cell>
          <cell r="E152">
            <v>0</v>
          </cell>
          <cell r="F152">
            <v>95721.07</v>
          </cell>
          <cell r="G152">
            <v>60787</v>
          </cell>
          <cell r="H152">
            <v>34933</v>
          </cell>
          <cell r="I152">
            <v>1974</v>
          </cell>
          <cell r="J152">
            <v>2.06</v>
          </cell>
          <cell r="K152">
            <v>17.7</v>
          </cell>
          <cell r="L152" t="str">
            <v xml:space="preserve">      </v>
          </cell>
          <cell r="M152" t="str">
            <v xml:space="preserve">     </v>
          </cell>
          <cell r="N152">
            <v>0</v>
          </cell>
          <cell r="O152">
            <v>63.5</v>
          </cell>
          <cell r="P152">
            <v>47.6</v>
          </cell>
          <cell r="Q152">
            <v>56125</v>
          </cell>
          <cell r="R152">
            <v>2249</v>
          </cell>
          <cell r="S152">
            <v>2.35</v>
          </cell>
        </row>
        <row r="153">
          <cell r="A153" t="str">
            <v xml:space="preserve">390.00 04220000     </v>
          </cell>
          <cell r="B153">
            <v>50375</v>
          </cell>
          <cell r="C153">
            <v>60</v>
          </cell>
          <cell r="D153" t="str">
            <v xml:space="preserve">L0   </v>
          </cell>
          <cell r="E153">
            <v>0</v>
          </cell>
          <cell r="F153">
            <v>724070.87</v>
          </cell>
          <cell r="G153">
            <v>215331</v>
          </cell>
          <cell r="H153">
            <v>508741</v>
          </cell>
          <cell r="I153">
            <v>19961</v>
          </cell>
          <cell r="J153">
            <v>2.76</v>
          </cell>
          <cell r="K153">
            <v>25.5</v>
          </cell>
          <cell r="L153" t="str">
            <v xml:space="preserve">      </v>
          </cell>
          <cell r="M153" t="str">
            <v xml:space="preserve">     </v>
          </cell>
          <cell r="N153">
            <v>0</v>
          </cell>
          <cell r="O153">
            <v>29.7</v>
          </cell>
          <cell r="P153">
            <v>15.4</v>
          </cell>
          <cell r="Q153">
            <v>198817</v>
          </cell>
          <cell r="R153">
            <v>20630</v>
          </cell>
          <cell r="S153">
            <v>2.85</v>
          </cell>
        </row>
        <row r="154">
          <cell r="A154" t="str">
            <v xml:space="preserve">390.00 04230000     </v>
          </cell>
          <cell r="B154">
            <v>43070</v>
          </cell>
          <cell r="C154">
            <v>60</v>
          </cell>
          <cell r="D154" t="str">
            <v xml:space="preserve">L0   </v>
          </cell>
          <cell r="E154">
            <v>0</v>
          </cell>
          <cell r="F154">
            <v>305069.71000000002</v>
          </cell>
          <cell r="G154">
            <v>98397</v>
          </cell>
          <cell r="H154">
            <v>206672</v>
          </cell>
          <cell r="I154">
            <v>20950</v>
          </cell>
          <cell r="J154">
            <v>6.87</v>
          </cell>
          <cell r="K154">
            <v>9.9</v>
          </cell>
          <cell r="L154" t="str">
            <v xml:space="preserve">      </v>
          </cell>
          <cell r="M154" t="str">
            <v xml:space="preserve">     </v>
          </cell>
          <cell r="N154">
            <v>0</v>
          </cell>
          <cell r="O154">
            <v>32.299999999999997</v>
          </cell>
          <cell r="P154">
            <v>5.0999999999999996</v>
          </cell>
          <cell r="Q154">
            <v>90851</v>
          </cell>
          <cell r="R154">
            <v>21705</v>
          </cell>
          <cell r="S154">
            <v>7.11</v>
          </cell>
        </row>
        <row r="155">
          <cell r="A155" t="str">
            <v xml:space="preserve">390.00 04300000     </v>
          </cell>
          <cell r="B155">
            <v>42339</v>
          </cell>
          <cell r="C155">
            <v>60</v>
          </cell>
          <cell r="D155" t="str">
            <v xml:space="preserve">L0   </v>
          </cell>
          <cell r="E155">
            <v>0</v>
          </cell>
          <cell r="F155">
            <v>124009.96</v>
          </cell>
          <cell r="G155">
            <v>79334</v>
          </cell>
          <cell r="H155">
            <v>44676</v>
          </cell>
          <cell r="I155">
            <v>5639</v>
          </cell>
          <cell r="J155">
            <v>4.55</v>
          </cell>
          <cell r="K155">
            <v>7.9</v>
          </cell>
          <cell r="L155" t="str">
            <v xml:space="preserve">      </v>
          </cell>
          <cell r="M155" t="str">
            <v xml:space="preserve">     </v>
          </cell>
          <cell r="N155">
            <v>0</v>
          </cell>
          <cell r="O155">
            <v>64</v>
          </cell>
          <cell r="P155">
            <v>14.2</v>
          </cell>
          <cell r="Q155">
            <v>73250</v>
          </cell>
          <cell r="R155">
            <v>6409</v>
          </cell>
          <cell r="S155">
            <v>5.17</v>
          </cell>
        </row>
        <row r="156">
          <cell r="A156" t="str">
            <v xml:space="preserve">390.00 04440000     </v>
          </cell>
          <cell r="B156">
            <v>55488</v>
          </cell>
          <cell r="C156">
            <v>60</v>
          </cell>
          <cell r="D156" t="str">
            <v xml:space="preserve">L0   </v>
          </cell>
          <cell r="E156">
            <v>0</v>
          </cell>
          <cell r="F156">
            <v>349694.35</v>
          </cell>
          <cell r="G156">
            <v>39113</v>
          </cell>
          <cell r="H156">
            <v>310581</v>
          </cell>
          <cell r="I156">
            <v>8859</v>
          </cell>
          <cell r="J156">
            <v>2.5299999999999998</v>
          </cell>
          <cell r="K156">
            <v>35.1</v>
          </cell>
          <cell r="L156" t="str">
            <v xml:space="preserve">      </v>
          </cell>
          <cell r="M156" t="str">
            <v xml:space="preserve">     </v>
          </cell>
          <cell r="N156">
            <v>0</v>
          </cell>
          <cell r="O156">
            <v>11.2</v>
          </cell>
          <cell r="P156">
            <v>5.2</v>
          </cell>
          <cell r="Q156">
            <v>36989</v>
          </cell>
          <cell r="R156">
            <v>8916</v>
          </cell>
          <cell r="S156">
            <v>2.5499999999999998</v>
          </cell>
        </row>
        <row r="157">
          <cell r="A157" t="str">
            <v xml:space="preserve">390.00 04600000     </v>
          </cell>
          <cell r="B157">
            <v>54027</v>
          </cell>
          <cell r="C157">
            <v>60</v>
          </cell>
          <cell r="D157" t="str">
            <v xml:space="preserve">L0   </v>
          </cell>
          <cell r="E157">
            <v>0</v>
          </cell>
          <cell r="F157">
            <v>4620241.0199999996</v>
          </cell>
          <cell r="G157">
            <v>995843</v>
          </cell>
          <cell r="H157">
            <v>3624398</v>
          </cell>
          <cell r="I157">
            <v>113790</v>
          </cell>
          <cell r="J157">
            <v>2.46</v>
          </cell>
          <cell r="K157">
            <v>31.9</v>
          </cell>
          <cell r="L157" t="str">
            <v xml:space="preserve">      </v>
          </cell>
          <cell r="M157" t="str">
            <v xml:space="preserve">     </v>
          </cell>
          <cell r="N157">
            <v>0</v>
          </cell>
          <cell r="O157">
            <v>21.6</v>
          </cell>
          <cell r="P157">
            <v>10.1</v>
          </cell>
          <cell r="Q157">
            <v>919469</v>
          </cell>
          <cell r="R157">
            <v>116277</v>
          </cell>
          <cell r="S157">
            <v>2.52</v>
          </cell>
        </row>
        <row r="158">
          <cell r="A158" t="str">
            <v xml:space="preserve">390.00 04690000     </v>
          </cell>
          <cell r="B158">
            <v>53297</v>
          </cell>
          <cell r="C158">
            <v>60</v>
          </cell>
          <cell r="D158" t="str">
            <v xml:space="preserve">L0   </v>
          </cell>
          <cell r="E158">
            <v>0</v>
          </cell>
          <cell r="F158">
            <v>42245.59</v>
          </cell>
          <cell r="G158">
            <v>10465</v>
          </cell>
          <cell r="H158">
            <v>31781</v>
          </cell>
          <cell r="I158">
            <v>1043</v>
          </cell>
          <cell r="J158">
            <v>2.4700000000000002</v>
          </cell>
          <cell r="K158">
            <v>30.5</v>
          </cell>
          <cell r="L158" t="str">
            <v xml:space="preserve">      </v>
          </cell>
          <cell r="M158" t="str">
            <v xml:space="preserve">     </v>
          </cell>
          <cell r="N158">
            <v>0</v>
          </cell>
          <cell r="O158">
            <v>24.8</v>
          </cell>
          <cell r="P158">
            <v>11.6</v>
          </cell>
          <cell r="Q158">
            <v>9662</v>
          </cell>
          <cell r="R158">
            <v>1070</v>
          </cell>
          <cell r="S158">
            <v>2.5299999999999998</v>
          </cell>
        </row>
        <row r="159">
          <cell r="A159" t="str">
            <v xml:space="preserve">390.00 04700000     </v>
          </cell>
          <cell r="B159">
            <v>54758</v>
          </cell>
          <cell r="C159">
            <v>60</v>
          </cell>
          <cell r="D159" t="str">
            <v xml:space="preserve">L0   </v>
          </cell>
          <cell r="E159">
            <v>0</v>
          </cell>
          <cell r="F159">
            <v>223174.41</v>
          </cell>
          <cell r="G159">
            <v>42987</v>
          </cell>
          <cell r="H159">
            <v>180188</v>
          </cell>
          <cell r="I159">
            <v>5436</v>
          </cell>
          <cell r="J159">
            <v>2.44</v>
          </cell>
          <cell r="K159">
            <v>33.1</v>
          </cell>
          <cell r="L159" t="str">
            <v xml:space="preserve">      </v>
          </cell>
          <cell r="M159" t="str">
            <v xml:space="preserve">     </v>
          </cell>
          <cell r="N159">
            <v>0</v>
          </cell>
          <cell r="O159">
            <v>19.3</v>
          </cell>
          <cell r="P159">
            <v>9.1</v>
          </cell>
          <cell r="Q159">
            <v>39690</v>
          </cell>
          <cell r="R159">
            <v>5528</v>
          </cell>
          <cell r="S159">
            <v>2.48</v>
          </cell>
        </row>
        <row r="160">
          <cell r="A160" t="str">
            <v xml:space="preserve">390.00 04710000     </v>
          </cell>
          <cell r="B160">
            <v>54393</v>
          </cell>
          <cell r="C160">
            <v>60</v>
          </cell>
          <cell r="D160" t="str">
            <v xml:space="preserve">L0   </v>
          </cell>
          <cell r="E160">
            <v>0</v>
          </cell>
          <cell r="F160">
            <v>209019.8</v>
          </cell>
          <cell r="G160">
            <v>32583</v>
          </cell>
          <cell r="H160">
            <v>176437</v>
          </cell>
          <cell r="I160">
            <v>5352</v>
          </cell>
          <cell r="J160">
            <v>2.56</v>
          </cell>
          <cell r="K160">
            <v>33</v>
          </cell>
          <cell r="L160" t="str">
            <v xml:space="preserve">      </v>
          </cell>
          <cell r="M160" t="str">
            <v xml:space="preserve">     </v>
          </cell>
          <cell r="N160">
            <v>0</v>
          </cell>
          <cell r="O160">
            <v>15.6</v>
          </cell>
          <cell r="P160">
            <v>6.8</v>
          </cell>
          <cell r="Q160">
            <v>30084</v>
          </cell>
          <cell r="R160">
            <v>5433</v>
          </cell>
          <cell r="S160">
            <v>2.6</v>
          </cell>
        </row>
        <row r="161">
          <cell r="A161" t="str">
            <v xml:space="preserve">390.00 04720000     </v>
          </cell>
          <cell r="B161">
            <v>43800</v>
          </cell>
          <cell r="C161">
            <v>60</v>
          </cell>
          <cell r="D161" t="str">
            <v xml:space="preserve">L0   </v>
          </cell>
          <cell r="E161">
            <v>0</v>
          </cell>
          <cell r="F161">
            <v>315000</v>
          </cell>
          <cell r="G161">
            <v>128346</v>
          </cell>
          <cell r="H161">
            <v>186654</v>
          </cell>
          <cell r="I161">
            <v>16105</v>
          </cell>
          <cell r="J161">
            <v>5.1100000000000003</v>
          </cell>
          <cell r="K161">
            <v>11.6</v>
          </cell>
          <cell r="L161" t="str">
            <v xml:space="preserve">      </v>
          </cell>
          <cell r="M161" t="str">
            <v xml:space="preserve">     </v>
          </cell>
          <cell r="N161">
            <v>0</v>
          </cell>
          <cell r="O161">
            <v>40.700000000000003</v>
          </cell>
          <cell r="P161">
            <v>7.6</v>
          </cell>
          <cell r="Q161">
            <v>118503</v>
          </cell>
          <cell r="R161">
            <v>16947</v>
          </cell>
          <cell r="S161">
            <v>5.38</v>
          </cell>
        </row>
        <row r="162">
          <cell r="A162" t="str">
            <v xml:space="preserve">390.00 05250000     </v>
          </cell>
          <cell r="B162">
            <v>40513</v>
          </cell>
          <cell r="C162">
            <v>60</v>
          </cell>
          <cell r="D162" t="str">
            <v xml:space="preserve">L0   </v>
          </cell>
          <cell r="E162">
            <v>0</v>
          </cell>
          <cell r="F162">
            <v>233585.6</v>
          </cell>
          <cell r="G162">
            <v>225052</v>
          </cell>
          <cell r="H162">
            <v>8533</v>
          </cell>
          <cell r="I162">
            <v>2676</v>
          </cell>
          <cell r="J162">
            <v>1.1499999999999999</v>
          </cell>
          <cell r="K162">
            <v>3.2</v>
          </cell>
          <cell r="L162" t="str">
            <v xml:space="preserve">      </v>
          </cell>
          <cell r="M162" t="str">
            <v xml:space="preserve">     </v>
          </cell>
          <cell r="N162">
            <v>0</v>
          </cell>
          <cell r="O162">
            <v>96.3</v>
          </cell>
          <cell r="P162">
            <v>41</v>
          </cell>
          <cell r="Q162">
            <v>207792</v>
          </cell>
          <cell r="R162">
            <v>8130</v>
          </cell>
          <cell r="S162">
            <v>3.48</v>
          </cell>
        </row>
        <row r="163">
          <cell r="A163" t="str">
            <v xml:space="preserve">390.00 05870000     </v>
          </cell>
          <cell r="B163">
            <v>42339</v>
          </cell>
          <cell r="C163">
            <v>60</v>
          </cell>
          <cell r="D163" t="str">
            <v xml:space="preserve">L0   </v>
          </cell>
          <cell r="E163">
            <v>0</v>
          </cell>
          <cell r="F163">
            <v>7626.95</v>
          </cell>
          <cell r="G163">
            <v>4092</v>
          </cell>
          <cell r="H163">
            <v>3535</v>
          </cell>
          <cell r="I163">
            <v>443</v>
          </cell>
          <cell r="J163">
            <v>5.81</v>
          </cell>
          <cell r="K163">
            <v>8</v>
          </cell>
          <cell r="L163" t="str">
            <v xml:space="preserve">      </v>
          </cell>
          <cell r="M163" t="str">
            <v xml:space="preserve">     </v>
          </cell>
          <cell r="N163">
            <v>0</v>
          </cell>
          <cell r="O163">
            <v>53.7</v>
          </cell>
          <cell r="P163">
            <v>11.4</v>
          </cell>
          <cell r="Q163">
            <v>3778</v>
          </cell>
          <cell r="R163">
            <v>483</v>
          </cell>
          <cell r="S163">
            <v>6.33</v>
          </cell>
        </row>
        <row r="164">
          <cell r="A164" t="str">
            <v xml:space="preserve">390.00 06960000     </v>
          </cell>
          <cell r="B164">
            <v>46357</v>
          </cell>
          <cell r="C164">
            <v>60</v>
          </cell>
          <cell r="D164" t="str">
            <v xml:space="preserve">L0   </v>
          </cell>
          <cell r="E164">
            <v>0</v>
          </cell>
          <cell r="F164">
            <v>397177.34</v>
          </cell>
          <cell r="G164">
            <v>210330</v>
          </cell>
          <cell r="H164">
            <v>186848</v>
          </cell>
          <cell r="I164">
            <v>10946</v>
          </cell>
          <cell r="J164">
            <v>2.76</v>
          </cell>
          <cell r="K164">
            <v>17.100000000000001</v>
          </cell>
          <cell r="L164" t="str">
            <v xml:space="preserve">      </v>
          </cell>
          <cell r="M164" t="str">
            <v xml:space="preserve">     </v>
          </cell>
          <cell r="N164">
            <v>0</v>
          </cell>
          <cell r="O164">
            <v>53</v>
          </cell>
          <cell r="P164">
            <v>24.8</v>
          </cell>
          <cell r="Q164">
            <v>194199</v>
          </cell>
          <cell r="R164">
            <v>11917</v>
          </cell>
          <cell r="S164">
            <v>3</v>
          </cell>
        </row>
        <row r="165">
          <cell r="A165" t="str">
            <v xml:space="preserve">390.00 06970000     </v>
          </cell>
          <cell r="B165">
            <v>50740</v>
          </cell>
          <cell r="C165">
            <v>60</v>
          </cell>
          <cell r="D165" t="str">
            <v xml:space="preserve">L0   </v>
          </cell>
          <cell r="E165">
            <v>0</v>
          </cell>
          <cell r="F165">
            <v>150000</v>
          </cell>
          <cell r="G165">
            <v>58875</v>
          </cell>
          <cell r="H165">
            <v>91125</v>
          </cell>
          <cell r="I165">
            <v>3585</v>
          </cell>
          <cell r="J165">
            <v>2.39</v>
          </cell>
          <cell r="K165">
            <v>25.4</v>
          </cell>
          <cell r="L165" t="str">
            <v xml:space="preserve">      </v>
          </cell>
          <cell r="M165" t="str">
            <v xml:space="preserve">     </v>
          </cell>
          <cell r="N165">
            <v>0</v>
          </cell>
          <cell r="O165">
            <v>39.299999999999997</v>
          </cell>
          <cell r="P165">
            <v>19.3</v>
          </cell>
          <cell r="Q165">
            <v>54360</v>
          </cell>
          <cell r="R165">
            <v>3765</v>
          </cell>
          <cell r="S165">
            <v>2.5099999999999998</v>
          </cell>
        </row>
        <row r="166">
          <cell r="A166" t="str">
            <v xml:space="preserve">390.00 07000000     </v>
          </cell>
          <cell r="B166">
            <v>55854</v>
          </cell>
          <cell r="C166">
            <v>60</v>
          </cell>
          <cell r="D166" t="str">
            <v xml:space="preserve">L0   </v>
          </cell>
          <cell r="E166">
            <v>0</v>
          </cell>
          <cell r="F166">
            <v>1151107.71</v>
          </cell>
          <cell r="G166">
            <v>144308</v>
          </cell>
          <cell r="H166">
            <v>1006799</v>
          </cell>
          <cell r="I166">
            <v>28400</v>
          </cell>
          <cell r="J166">
            <v>2.4700000000000002</v>
          </cell>
          <cell r="K166">
            <v>35.5</v>
          </cell>
          <cell r="L166" t="str">
            <v xml:space="preserve">      </v>
          </cell>
          <cell r="M166" t="str">
            <v xml:space="preserve">     </v>
          </cell>
          <cell r="N166">
            <v>0</v>
          </cell>
          <cell r="O166">
            <v>12.5</v>
          </cell>
          <cell r="P166">
            <v>5.7</v>
          </cell>
          <cell r="Q166">
            <v>133241</v>
          </cell>
          <cell r="R166">
            <v>28700</v>
          </cell>
          <cell r="S166">
            <v>2.4900000000000002</v>
          </cell>
        </row>
        <row r="167">
          <cell r="A167" t="str">
            <v xml:space="preserve">390.00 07010000     </v>
          </cell>
          <cell r="B167">
            <v>55854</v>
          </cell>
          <cell r="C167">
            <v>60</v>
          </cell>
          <cell r="D167" t="str">
            <v xml:space="preserve">L0   </v>
          </cell>
          <cell r="E167">
            <v>0</v>
          </cell>
          <cell r="F167">
            <v>1769619.71</v>
          </cell>
          <cell r="G167">
            <v>223967</v>
          </cell>
          <cell r="H167">
            <v>1545652</v>
          </cell>
          <cell r="I167">
            <v>43619</v>
          </cell>
          <cell r="J167">
            <v>2.46</v>
          </cell>
          <cell r="K167">
            <v>35.4</v>
          </cell>
          <cell r="L167" t="str">
            <v xml:space="preserve">      </v>
          </cell>
          <cell r="M167" t="str">
            <v xml:space="preserve">     </v>
          </cell>
          <cell r="N167">
            <v>0</v>
          </cell>
          <cell r="O167">
            <v>12.7</v>
          </cell>
          <cell r="P167">
            <v>5.7</v>
          </cell>
          <cell r="Q167">
            <v>206790</v>
          </cell>
          <cell r="R167">
            <v>44079</v>
          </cell>
          <cell r="S167">
            <v>2.4900000000000002</v>
          </cell>
        </row>
        <row r="168">
          <cell r="A168" t="str">
            <v xml:space="preserve">390.00 07020000     </v>
          </cell>
          <cell r="B168">
            <v>56219</v>
          </cell>
          <cell r="C168">
            <v>60</v>
          </cell>
          <cell r="D168" t="str">
            <v xml:space="preserve">L0   </v>
          </cell>
          <cell r="E168">
            <v>0</v>
          </cell>
          <cell r="F168">
            <v>47616.79</v>
          </cell>
          <cell r="G168">
            <v>5074</v>
          </cell>
          <cell r="H168">
            <v>42543</v>
          </cell>
          <cell r="I168">
            <v>1176</v>
          </cell>
          <cell r="J168">
            <v>2.4700000000000002</v>
          </cell>
          <cell r="K168">
            <v>36.200000000000003</v>
          </cell>
          <cell r="L168" t="str">
            <v xml:space="preserve">      </v>
          </cell>
          <cell r="M168" t="str">
            <v xml:space="preserve">     </v>
          </cell>
          <cell r="N168">
            <v>0</v>
          </cell>
          <cell r="O168">
            <v>10.7</v>
          </cell>
          <cell r="P168">
            <v>4.8</v>
          </cell>
          <cell r="Q168">
            <v>4685</v>
          </cell>
          <cell r="R168">
            <v>1186</v>
          </cell>
          <cell r="S168">
            <v>2.4900000000000002</v>
          </cell>
        </row>
        <row r="169">
          <cell r="A169" t="str">
            <v xml:space="preserve">390.00 07030000     </v>
          </cell>
          <cell r="B169">
            <v>56219</v>
          </cell>
          <cell r="C169">
            <v>60</v>
          </cell>
          <cell r="D169" t="str">
            <v xml:space="preserve">L0   </v>
          </cell>
          <cell r="E169">
            <v>0</v>
          </cell>
          <cell r="F169">
            <v>54669.93</v>
          </cell>
          <cell r="G169">
            <v>5827</v>
          </cell>
          <cell r="H169">
            <v>48843</v>
          </cell>
          <cell r="I169">
            <v>1350</v>
          </cell>
          <cell r="J169">
            <v>2.4700000000000002</v>
          </cell>
          <cell r="K169">
            <v>36.200000000000003</v>
          </cell>
          <cell r="L169" t="str">
            <v xml:space="preserve">      </v>
          </cell>
          <cell r="M169" t="str">
            <v xml:space="preserve">     </v>
          </cell>
          <cell r="N169">
            <v>0</v>
          </cell>
          <cell r="O169">
            <v>10.7</v>
          </cell>
          <cell r="P169">
            <v>4.8</v>
          </cell>
          <cell r="Q169">
            <v>5380</v>
          </cell>
          <cell r="R169">
            <v>1361</v>
          </cell>
          <cell r="S169">
            <v>2.4900000000000002</v>
          </cell>
        </row>
        <row r="170">
          <cell r="A170" t="str">
            <v xml:space="preserve">390.00 07040000     </v>
          </cell>
          <cell r="B170">
            <v>55854</v>
          </cell>
          <cell r="C170">
            <v>60</v>
          </cell>
          <cell r="D170" t="str">
            <v xml:space="preserve">L0   </v>
          </cell>
          <cell r="E170">
            <v>0</v>
          </cell>
          <cell r="F170">
            <v>887321.48</v>
          </cell>
          <cell r="G170">
            <v>110047</v>
          </cell>
          <cell r="H170">
            <v>777274</v>
          </cell>
          <cell r="I170">
            <v>21916</v>
          </cell>
          <cell r="J170">
            <v>2.4700000000000002</v>
          </cell>
          <cell r="K170">
            <v>35.5</v>
          </cell>
          <cell r="L170" t="str">
            <v xml:space="preserve">      </v>
          </cell>
          <cell r="M170" t="str">
            <v xml:space="preserve">     </v>
          </cell>
          <cell r="N170">
            <v>0</v>
          </cell>
          <cell r="O170">
            <v>12.4</v>
          </cell>
          <cell r="P170">
            <v>5.6</v>
          </cell>
          <cell r="Q170">
            <v>101607</v>
          </cell>
          <cell r="R170">
            <v>22143</v>
          </cell>
          <cell r="S170">
            <v>2.5</v>
          </cell>
        </row>
        <row r="171">
          <cell r="A171" t="str">
            <v xml:space="preserve">390.00 07050000     </v>
          </cell>
          <cell r="B171">
            <v>46722</v>
          </cell>
          <cell r="C171">
            <v>60</v>
          </cell>
          <cell r="D171" t="str">
            <v xml:space="preserve">L0   </v>
          </cell>
          <cell r="E171">
            <v>0</v>
          </cell>
          <cell r="F171">
            <v>111107.68</v>
          </cell>
          <cell r="G171">
            <v>26366</v>
          </cell>
          <cell r="H171">
            <v>84742</v>
          </cell>
          <cell r="I171">
            <v>4591</v>
          </cell>
          <cell r="J171">
            <v>4.13</v>
          </cell>
          <cell r="K171">
            <v>18.5</v>
          </cell>
          <cell r="L171" t="str">
            <v xml:space="preserve">      </v>
          </cell>
          <cell r="M171" t="str">
            <v xml:space="preserve">     </v>
          </cell>
          <cell r="N171">
            <v>0</v>
          </cell>
          <cell r="O171">
            <v>23.7</v>
          </cell>
          <cell r="P171">
            <v>5.8</v>
          </cell>
          <cell r="Q171">
            <v>24344</v>
          </cell>
          <cell r="R171">
            <v>4700</v>
          </cell>
          <cell r="S171">
            <v>4.2300000000000004</v>
          </cell>
        </row>
        <row r="172">
          <cell r="A172" t="str">
            <v xml:space="preserve">390.00 09990000     </v>
          </cell>
          <cell r="B172">
            <v>48183</v>
          </cell>
          <cell r="C172">
            <v>60</v>
          </cell>
          <cell r="D172" t="str">
            <v xml:space="preserve">L0   </v>
          </cell>
          <cell r="E172">
            <v>0</v>
          </cell>
          <cell r="F172">
            <v>61566.69</v>
          </cell>
          <cell r="G172">
            <v>12382</v>
          </cell>
          <cell r="H172">
            <v>49185</v>
          </cell>
          <cell r="I172">
            <v>2274</v>
          </cell>
          <cell r="J172">
            <v>3.69</v>
          </cell>
          <cell r="K172">
            <v>21.6</v>
          </cell>
          <cell r="L172" t="str">
            <v xml:space="preserve">      </v>
          </cell>
          <cell r="M172" t="str">
            <v xml:space="preserve">     </v>
          </cell>
          <cell r="N172">
            <v>0</v>
          </cell>
          <cell r="O172">
            <v>20.100000000000001</v>
          </cell>
          <cell r="P172">
            <v>5.3</v>
          </cell>
          <cell r="Q172">
            <v>11432</v>
          </cell>
          <cell r="R172">
            <v>2316</v>
          </cell>
          <cell r="S172">
            <v>3.76</v>
          </cell>
        </row>
        <row r="173">
          <cell r="A173" t="str">
            <v xml:space="preserve">390.00 99990000     </v>
          </cell>
          <cell r="B173">
            <v>56949</v>
          </cell>
          <cell r="C173">
            <v>60</v>
          </cell>
          <cell r="D173" t="str">
            <v xml:space="preserve">L0   </v>
          </cell>
          <cell r="E173">
            <v>0</v>
          </cell>
          <cell r="F173">
            <v>64727.57</v>
          </cell>
          <cell r="G173">
            <v>2188</v>
          </cell>
          <cell r="H173">
            <v>62540</v>
          </cell>
          <cell r="I173">
            <v>1638</v>
          </cell>
          <cell r="J173">
            <v>2.5299999999999998</v>
          </cell>
          <cell r="K173">
            <v>38.200000000000003</v>
          </cell>
          <cell r="L173" t="str">
            <v xml:space="preserve">      </v>
          </cell>
          <cell r="M173" t="str">
            <v xml:space="preserve">     </v>
          </cell>
          <cell r="N173">
            <v>0</v>
          </cell>
          <cell r="O173">
            <v>3.4</v>
          </cell>
          <cell r="P173">
            <v>1.4</v>
          </cell>
          <cell r="Q173">
            <v>2020</v>
          </cell>
          <cell r="R173">
            <v>1644</v>
          </cell>
          <cell r="S173">
            <v>2.54</v>
          </cell>
        </row>
        <row r="174">
          <cell r="A174">
            <v>391.1</v>
          </cell>
          <cell r="B174" t="str">
            <v xml:space="preserve">       </v>
          </cell>
          <cell r="C174">
            <v>30</v>
          </cell>
          <cell r="D174" t="str">
            <v xml:space="preserve">L1   </v>
          </cell>
          <cell r="E174">
            <v>0</v>
          </cell>
          <cell r="F174">
            <v>1159885.68</v>
          </cell>
          <cell r="G174">
            <v>559566</v>
          </cell>
          <cell r="H174">
            <v>600318</v>
          </cell>
          <cell r="I174">
            <v>28925</v>
          </cell>
          <cell r="J174">
            <v>2.4900000000000002</v>
          </cell>
          <cell r="K174">
            <v>20.8</v>
          </cell>
          <cell r="L174" t="str">
            <v xml:space="preserve">      </v>
          </cell>
          <cell r="M174" t="str">
            <v xml:space="preserve">     </v>
          </cell>
          <cell r="N174">
            <v>0</v>
          </cell>
          <cell r="O174">
            <v>48.2</v>
          </cell>
          <cell r="P174">
            <v>15.5</v>
          </cell>
          <cell r="Q174">
            <v>389310</v>
          </cell>
          <cell r="R174">
            <v>38624</v>
          </cell>
          <cell r="S174">
            <v>3.33</v>
          </cell>
        </row>
        <row r="175">
          <cell r="A175">
            <v>391.2</v>
          </cell>
          <cell r="B175" t="str">
            <v xml:space="preserve">       </v>
          </cell>
          <cell r="C175">
            <v>15</v>
          </cell>
          <cell r="D175" t="str">
            <v xml:space="preserve">L1   </v>
          </cell>
          <cell r="E175">
            <v>0</v>
          </cell>
          <cell r="F175">
            <v>918906.01</v>
          </cell>
          <cell r="G175">
            <v>627555</v>
          </cell>
          <cell r="H175">
            <v>291351</v>
          </cell>
          <cell r="I175">
            <v>28481</v>
          </cell>
          <cell r="J175">
            <v>3.1</v>
          </cell>
          <cell r="K175">
            <v>10.199999999999999</v>
          </cell>
          <cell r="L175" t="str">
            <v xml:space="preserve">      </v>
          </cell>
          <cell r="M175" t="str">
            <v xml:space="preserve">     </v>
          </cell>
          <cell r="N175">
            <v>0</v>
          </cell>
          <cell r="O175">
            <v>68.3</v>
          </cell>
          <cell r="P175">
            <v>12.7</v>
          </cell>
          <cell r="Q175">
            <v>407152</v>
          </cell>
          <cell r="R175">
            <v>60740</v>
          </cell>
          <cell r="S175">
            <v>6.61</v>
          </cell>
        </row>
        <row r="176">
          <cell r="A176">
            <v>391.3</v>
          </cell>
          <cell r="B176" t="str">
            <v xml:space="preserve">       </v>
          </cell>
          <cell r="C176">
            <v>7</v>
          </cell>
          <cell r="D176" t="str">
            <v xml:space="preserve">R3   </v>
          </cell>
          <cell r="E176">
            <v>0</v>
          </cell>
          <cell r="F176">
            <v>5544604.0199999996</v>
          </cell>
          <cell r="G176">
            <v>3020001</v>
          </cell>
          <cell r="H176">
            <v>2524603</v>
          </cell>
          <cell r="I176">
            <v>736145</v>
          </cell>
          <cell r="J176">
            <v>13.28</v>
          </cell>
          <cell r="K176">
            <v>3.4</v>
          </cell>
          <cell r="L176" t="str">
            <v xml:space="preserve">      </v>
          </cell>
          <cell r="M176" t="str">
            <v xml:space="preserve">     </v>
          </cell>
          <cell r="N176">
            <v>0</v>
          </cell>
          <cell r="O176">
            <v>54.5</v>
          </cell>
          <cell r="P176">
            <v>4.9000000000000004</v>
          </cell>
          <cell r="Q176">
            <v>3008114</v>
          </cell>
          <cell r="R176">
            <v>745671</v>
          </cell>
          <cell r="S176">
            <v>13.45</v>
          </cell>
        </row>
        <row r="177">
          <cell r="A177">
            <v>391.41</v>
          </cell>
          <cell r="B177" t="str">
            <v xml:space="preserve">       </v>
          </cell>
          <cell r="C177">
            <v>4</v>
          </cell>
          <cell r="D177" t="str">
            <v xml:space="preserve">L2   </v>
          </cell>
          <cell r="E177">
            <v>0</v>
          </cell>
          <cell r="F177">
            <v>1200632.97</v>
          </cell>
          <cell r="G177">
            <v>417820</v>
          </cell>
          <cell r="H177">
            <v>782814</v>
          </cell>
          <cell r="I177">
            <v>389666</v>
          </cell>
          <cell r="J177">
            <v>32.46</v>
          </cell>
          <cell r="K177">
            <v>2</v>
          </cell>
          <cell r="L177" t="str">
            <v xml:space="preserve">      </v>
          </cell>
          <cell r="M177" t="str">
            <v xml:space="preserve">     </v>
          </cell>
          <cell r="N177">
            <v>0</v>
          </cell>
          <cell r="O177">
            <v>34.799999999999997</v>
          </cell>
          <cell r="P177">
            <v>2.8</v>
          </cell>
          <cell r="Q177">
            <v>564984</v>
          </cell>
          <cell r="R177">
            <v>300158</v>
          </cell>
          <cell r="S177">
            <v>25</v>
          </cell>
        </row>
        <row r="178">
          <cell r="A178">
            <v>391.42</v>
          </cell>
          <cell r="B178" t="str">
            <v xml:space="preserve">       </v>
          </cell>
          <cell r="C178">
            <v>10</v>
          </cell>
          <cell r="D178" t="str">
            <v xml:space="preserve">SQ   </v>
          </cell>
          <cell r="E178">
            <v>0</v>
          </cell>
          <cell r="F178">
            <v>3295776.38</v>
          </cell>
          <cell r="G178">
            <v>247183</v>
          </cell>
          <cell r="H178">
            <v>3048593</v>
          </cell>
          <cell r="I178">
            <v>320905</v>
          </cell>
          <cell r="J178">
            <v>9.74</v>
          </cell>
          <cell r="K178">
            <v>9.5</v>
          </cell>
          <cell r="L178" t="str">
            <v xml:space="preserve">      </v>
          </cell>
          <cell r="M178" t="str">
            <v xml:space="preserve">     </v>
          </cell>
          <cell r="N178">
            <v>0</v>
          </cell>
          <cell r="O178">
            <v>7.5</v>
          </cell>
          <cell r="P178">
            <v>0.5</v>
          </cell>
          <cell r="Q178">
            <v>164789</v>
          </cell>
          <cell r="R178">
            <v>329578</v>
          </cell>
          <cell r="S178">
            <v>10</v>
          </cell>
        </row>
        <row r="179">
          <cell r="A179">
            <v>392</v>
          </cell>
          <cell r="B179" t="str">
            <v xml:space="preserve">       </v>
          </cell>
          <cell r="C179">
            <v>8</v>
          </cell>
          <cell r="D179" t="str">
            <v xml:space="preserve">R2.5 </v>
          </cell>
          <cell r="E179">
            <v>0</v>
          </cell>
          <cell r="F179">
            <v>8598621.0600000005</v>
          </cell>
          <cell r="G179">
            <v>6175895</v>
          </cell>
          <cell r="H179">
            <v>2422726</v>
          </cell>
          <cell r="I179">
            <v>601997</v>
          </cell>
          <cell r="J179">
            <v>7</v>
          </cell>
          <cell r="K179">
            <v>4</v>
          </cell>
          <cell r="L179" t="str">
            <v xml:space="preserve">      </v>
          </cell>
          <cell r="M179" t="str">
            <v xml:space="preserve">     </v>
          </cell>
          <cell r="N179">
            <v>0</v>
          </cell>
          <cell r="O179">
            <v>71.8</v>
          </cell>
          <cell r="P179">
            <v>7.3</v>
          </cell>
          <cell r="Q179">
            <v>5502616</v>
          </cell>
          <cell r="R179">
            <v>1047391</v>
          </cell>
          <cell r="S179">
            <v>12.18</v>
          </cell>
        </row>
        <row r="180">
          <cell r="A180">
            <v>393</v>
          </cell>
          <cell r="B180" t="str">
            <v xml:space="preserve">       </v>
          </cell>
          <cell r="C180">
            <v>20</v>
          </cell>
          <cell r="D180" t="str">
            <v xml:space="preserve">L2   </v>
          </cell>
          <cell r="E180">
            <v>0</v>
          </cell>
          <cell r="F180">
            <v>9473.5400000000009</v>
          </cell>
          <cell r="G180">
            <v>5838</v>
          </cell>
          <cell r="H180">
            <v>3635</v>
          </cell>
          <cell r="I180">
            <v>335</v>
          </cell>
          <cell r="J180">
            <v>3.54</v>
          </cell>
          <cell r="K180">
            <v>10.9</v>
          </cell>
          <cell r="L180" t="str">
            <v xml:space="preserve">      </v>
          </cell>
          <cell r="M180" t="str">
            <v xml:space="preserve">     </v>
          </cell>
          <cell r="N180">
            <v>0</v>
          </cell>
          <cell r="O180">
            <v>61.6</v>
          </cell>
          <cell r="P180">
            <v>20.7</v>
          </cell>
          <cell r="Q180">
            <v>5317</v>
          </cell>
          <cell r="R180">
            <v>474</v>
          </cell>
          <cell r="S180">
            <v>5</v>
          </cell>
        </row>
        <row r="181">
          <cell r="A181">
            <v>394</v>
          </cell>
          <cell r="B181" t="str">
            <v xml:space="preserve">       </v>
          </cell>
          <cell r="C181">
            <v>22</v>
          </cell>
          <cell r="D181" t="str">
            <v xml:space="preserve">L0.5 </v>
          </cell>
          <cell r="E181">
            <v>0</v>
          </cell>
          <cell r="F181">
            <v>4456246.99</v>
          </cell>
          <cell r="G181">
            <v>1544854</v>
          </cell>
          <cell r="H181">
            <v>2911394</v>
          </cell>
          <cell r="I181">
            <v>176285</v>
          </cell>
          <cell r="J181">
            <v>3.96</v>
          </cell>
          <cell r="K181">
            <v>16.5</v>
          </cell>
          <cell r="L181" t="str">
            <v xml:space="preserve">      </v>
          </cell>
          <cell r="M181" t="str">
            <v xml:space="preserve">     </v>
          </cell>
          <cell r="N181">
            <v>0</v>
          </cell>
          <cell r="O181">
            <v>34.700000000000003</v>
          </cell>
          <cell r="P181">
            <v>10.5</v>
          </cell>
          <cell r="Q181">
            <v>1190169</v>
          </cell>
          <cell r="R181">
            <v>202390</v>
          </cell>
          <cell r="S181">
            <v>4.54</v>
          </cell>
        </row>
        <row r="182">
          <cell r="A182">
            <v>395</v>
          </cell>
          <cell r="B182" t="str">
            <v xml:space="preserve">       </v>
          </cell>
          <cell r="C182">
            <v>30</v>
          </cell>
          <cell r="D182" t="str">
            <v xml:space="preserve">R3   </v>
          </cell>
          <cell r="E182">
            <v>0</v>
          </cell>
          <cell r="F182">
            <v>14315.48</v>
          </cell>
          <cell r="G182">
            <v>14316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str">
            <v xml:space="preserve">      </v>
          </cell>
          <cell r="M182" t="str">
            <v xml:space="preserve">     </v>
          </cell>
          <cell r="N182">
            <v>0</v>
          </cell>
          <cell r="O182">
            <v>100</v>
          </cell>
          <cell r="P182">
            <v>47.1</v>
          </cell>
          <cell r="Q182">
            <v>13745</v>
          </cell>
          <cell r="R182">
            <v>363</v>
          </cell>
          <cell r="S182">
            <v>2.54</v>
          </cell>
        </row>
        <row r="183">
          <cell r="A183">
            <v>396</v>
          </cell>
          <cell r="B183" t="str">
            <v xml:space="preserve">       </v>
          </cell>
          <cell r="C183">
            <v>13</v>
          </cell>
          <cell r="D183" t="str">
            <v xml:space="preserve">L3   </v>
          </cell>
          <cell r="E183">
            <v>0</v>
          </cell>
          <cell r="F183">
            <v>1679499.82</v>
          </cell>
          <cell r="G183">
            <v>1041322</v>
          </cell>
          <cell r="H183">
            <v>638180</v>
          </cell>
          <cell r="I183">
            <v>99640</v>
          </cell>
          <cell r="J183">
            <v>5.93</v>
          </cell>
          <cell r="K183">
            <v>6.4</v>
          </cell>
          <cell r="L183" t="str">
            <v xml:space="preserve">      </v>
          </cell>
          <cell r="M183" t="str">
            <v xml:space="preserve">     </v>
          </cell>
          <cell r="N183">
            <v>0</v>
          </cell>
          <cell r="O183">
            <v>62</v>
          </cell>
          <cell r="P183">
            <v>10.5</v>
          </cell>
          <cell r="Q183">
            <v>947947</v>
          </cell>
          <cell r="R183">
            <v>126575</v>
          </cell>
          <cell r="S183">
            <v>7.54</v>
          </cell>
        </row>
        <row r="184">
          <cell r="A184">
            <v>397</v>
          </cell>
          <cell r="B184" t="str">
            <v xml:space="preserve">       </v>
          </cell>
          <cell r="C184">
            <v>8</v>
          </cell>
          <cell r="D184" t="str">
            <v xml:space="preserve">L3   </v>
          </cell>
          <cell r="E184">
            <v>0</v>
          </cell>
          <cell r="F184">
            <v>352523.06</v>
          </cell>
          <cell r="G184">
            <v>310890</v>
          </cell>
          <cell r="H184">
            <v>41634</v>
          </cell>
          <cell r="I184">
            <v>16004</v>
          </cell>
          <cell r="J184">
            <v>4.54</v>
          </cell>
          <cell r="K184">
            <v>2.6</v>
          </cell>
          <cell r="L184" t="str">
            <v xml:space="preserve">      </v>
          </cell>
          <cell r="M184" t="str">
            <v xml:space="preserve">     </v>
          </cell>
          <cell r="N184">
            <v>0</v>
          </cell>
          <cell r="O184">
            <v>88.2</v>
          </cell>
          <cell r="P184">
            <v>10</v>
          </cell>
          <cell r="Q184">
            <v>253736</v>
          </cell>
          <cell r="R184">
            <v>40910</v>
          </cell>
          <cell r="S184">
            <v>11.6</v>
          </cell>
        </row>
        <row r="185">
          <cell r="A185">
            <v>397.1</v>
          </cell>
          <cell r="B185" t="str">
            <v xml:space="preserve">       </v>
          </cell>
          <cell r="C185">
            <v>8</v>
          </cell>
          <cell r="D185" t="str">
            <v xml:space="preserve">L3   </v>
          </cell>
          <cell r="E185">
            <v>0</v>
          </cell>
          <cell r="F185">
            <v>770895.75</v>
          </cell>
          <cell r="G185">
            <v>325223</v>
          </cell>
          <cell r="H185">
            <v>445672</v>
          </cell>
          <cell r="I185">
            <v>81735</v>
          </cell>
          <cell r="J185">
            <v>10.6</v>
          </cell>
          <cell r="K185">
            <v>5.5</v>
          </cell>
          <cell r="L185" t="str">
            <v xml:space="preserve">      </v>
          </cell>
          <cell r="M185" t="str">
            <v xml:space="preserve">     </v>
          </cell>
          <cell r="N185">
            <v>0</v>
          </cell>
          <cell r="O185">
            <v>42.2</v>
          </cell>
          <cell r="P185">
            <v>3.1</v>
          </cell>
          <cell r="Q185">
            <v>265689</v>
          </cell>
          <cell r="R185">
            <v>96182</v>
          </cell>
          <cell r="S185">
            <v>12.48</v>
          </cell>
        </row>
        <row r="186">
          <cell r="A186">
            <v>398</v>
          </cell>
          <cell r="B186" t="str">
            <v xml:space="preserve">       </v>
          </cell>
          <cell r="C186">
            <v>35</v>
          </cell>
          <cell r="D186" t="str">
            <v xml:space="preserve">R2   </v>
          </cell>
          <cell r="E186">
            <v>0</v>
          </cell>
          <cell r="F186">
            <v>197092.25</v>
          </cell>
          <cell r="G186">
            <v>73564</v>
          </cell>
          <cell r="H186">
            <v>123529</v>
          </cell>
          <cell r="I186">
            <v>4680</v>
          </cell>
          <cell r="J186">
            <v>2.37</v>
          </cell>
          <cell r="K186">
            <v>26.4</v>
          </cell>
          <cell r="L186" t="str">
            <v xml:space="preserve">      </v>
          </cell>
          <cell r="M186" t="str">
            <v xml:space="preserve">     </v>
          </cell>
          <cell r="N186">
            <v>0</v>
          </cell>
          <cell r="O186">
            <v>37.299999999999997</v>
          </cell>
          <cell r="P186">
            <v>12.1</v>
          </cell>
          <cell r="Q186">
            <v>55618</v>
          </cell>
          <cell r="R186">
            <v>5637</v>
          </cell>
          <cell r="S186">
            <v>2.86</v>
          </cell>
        </row>
        <row r="187">
          <cell r="A187" t="str">
            <v>_x001A_</v>
          </cell>
        </row>
      </sheetData>
      <sheetData sheetId="6" refreshError="1">
        <row r="1">
          <cell r="A1">
            <v>305</v>
          </cell>
          <cell r="C1" t="str">
            <v>Manufactured Gas Plant Remediation</v>
          </cell>
          <cell r="L1">
            <v>2007</v>
          </cell>
        </row>
        <row r="2">
          <cell r="A2">
            <v>375</v>
          </cell>
          <cell r="B2" t="str">
            <v>STRUCTURES &amp; IMPROVEMENTS</v>
          </cell>
          <cell r="C2" t="str">
            <v>Structures and Improvements</v>
          </cell>
        </row>
        <row r="3">
          <cell r="A3">
            <v>376</v>
          </cell>
          <cell r="C3" t="str">
            <v>Mains</v>
          </cell>
        </row>
        <row r="4">
          <cell r="A4">
            <v>376.1</v>
          </cell>
          <cell r="B4" t="str">
            <v xml:space="preserve">MAINS - PLASTIC </v>
          </cell>
          <cell r="C4" t="str">
            <v>Mains - Plastic</v>
          </cell>
        </row>
        <row r="5">
          <cell r="A5">
            <v>376.2</v>
          </cell>
          <cell r="B5" t="str">
            <v>MAINS - OTHER</v>
          </cell>
          <cell r="C5" t="str">
            <v>Mains - Other</v>
          </cell>
        </row>
        <row r="6">
          <cell r="A6">
            <v>378</v>
          </cell>
          <cell r="B6" t="str">
            <v>MEASURING &amp; REGULATING EQUIPMENT - GENERAL</v>
          </cell>
          <cell r="C6" t="str">
            <v>Measuring &amp; Regulating Equipment - General</v>
          </cell>
        </row>
        <row r="7">
          <cell r="A7">
            <v>379</v>
          </cell>
          <cell r="B7" t="str">
            <v>MEASURING &amp; REGULATING EQUIPMENT - CITY GATE</v>
          </cell>
          <cell r="C7" t="str">
            <v>Measuring &amp; Regulating Equipment - City Gate</v>
          </cell>
        </row>
        <row r="8">
          <cell r="A8">
            <v>380</v>
          </cell>
          <cell r="C8" t="str">
            <v>Services</v>
          </cell>
        </row>
        <row r="9">
          <cell r="A9">
            <v>380.1</v>
          </cell>
          <cell r="B9" t="str">
            <v>SERVICES - PLASTIC</v>
          </cell>
          <cell r="C9" t="str">
            <v>Services - Plastic</v>
          </cell>
        </row>
        <row r="10">
          <cell r="A10">
            <v>380.2</v>
          </cell>
          <cell r="B10" t="str">
            <v>SERVICES - OTHER</v>
          </cell>
          <cell r="C10" t="str">
            <v>Services - Other</v>
          </cell>
        </row>
        <row r="11">
          <cell r="A11">
            <v>381</v>
          </cell>
          <cell r="B11" t="str">
            <v>METERS</v>
          </cell>
          <cell r="C11" t="str">
            <v>Meters</v>
          </cell>
        </row>
        <row r="12">
          <cell r="A12">
            <v>381.1</v>
          </cell>
          <cell r="C12" t="str">
            <v>Meters - AMR</v>
          </cell>
        </row>
        <row r="13">
          <cell r="A13">
            <v>383</v>
          </cell>
          <cell r="B13" t="str">
            <v>HOUSE REGULATOR</v>
          </cell>
          <cell r="C13" t="str">
            <v>House Regulators</v>
          </cell>
        </row>
        <row r="14">
          <cell r="A14">
            <v>384</v>
          </cell>
          <cell r="B14" t="str">
            <v>HOUSE REGULATOR INSTALLATIONS</v>
          </cell>
          <cell r="C14" t="str">
            <v>House Regulator Installations</v>
          </cell>
        </row>
        <row r="15">
          <cell r="A15">
            <v>385</v>
          </cell>
          <cell r="B15" t="str">
            <v>INDUSTRIAL MEASURING &amp; REGULATING EQUIPMENT</v>
          </cell>
          <cell r="C15" t="str">
            <v>Industrial Measuring &amp; Regulating Equipment</v>
          </cell>
        </row>
        <row r="16">
          <cell r="A16">
            <v>387</v>
          </cell>
          <cell r="B16" t="str">
            <v>OTHER DISTRIBUTION EQUIPMENT</v>
          </cell>
          <cell r="C16" t="str">
            <v>Other Distribution Equipment</v>
          </cell>
        </row>
        <row r="17">
          <cell r="A17">
            <v>390</v>
          </cell>
          <cell r="B17" t="str">
            <v>STRUCTURES &amp; IMPROVEMENTS</v>
          </cell>
          <cell r="C17" t="str">
            <v>Structures and Improvements</v>
          </cell>
        </row>
        <row r="18">
          <cell r="A18">
            <v>391</v>
          </cell>
          <cell r="C18" t="str">
            <v>Office Furniture and Equipment</v>
          </cell>
        </row>
        <row r="19">
          <cell r="A19">
            <v>391.1</v>
          </cell>
          <cell r="B19" t="str">
            <v>OFFICE FURNITURE</v>
          </cell>
          <cell r="C19" t="str">
            <v>Office Furniture</v>
          </cell>
        </row>
        <row r="20">
          <cell r="A20">
            <v>391.2</v>
          </cell>
          <cell r="B20" t="str">
            <v>OFFICE EQUIPMENT</v>
          </cell>
          <cell r="C20" t="str">
            <v>Office Equipment</v>
          </cell>
        </row>
        <row r="21">
          <cell r="A21">
            <v>391.3</v>
          </cell>
          <cell r="B21" t="str">
            <v>COMPUTER EQUIPMENT</v>
          </cell>
          <cell r="C21" t="str">
            <v>Computer Equipment</v>
          </cell>
        </row>
        <row r="22">
          <cell r="A22">
            <v>391.41</v>
          </cell>
          <cell r="C22" t="str">
            <v>Computer Software - General</v>
          </cell>
        </row>
        <row r="23">
          <cell r="A23">
            <v>391.42</v>
          </cell>
          <cell r="C23" t="str">
            <v>Computer Software - Oracle</v>
          </cell>
        </row>
        <row r="24">
          <cell r="A24">
            <v>392</v>
          </cell>
          <cell r="B24" t="str">
            <v>TRANSPORTATION EQUIPMENT</v>
          </cell>
          <cell r="C24" t="str">
            <v>Transportation Equipment</v>
          </cell>
        </row>
        <row r="25">
          <cell r="A25">
            <v>393</v>
          </cell>
          <cell r="B25" t="str">
            <v>STORES EQUIPMENT</v>
          </cell>
          <cell r="C25" t="str">
            <v>Stores Equipment</v>
          </cell>
        </row>
        <row r="26">
          <cell r="A26">
            <v>394</v>
          </cell>
          <cell r="B26" t="str">
            <v>TOOLS, SHOP &amp; GARAGE EQUIPMENT</v>
          </cell>
          <cell r="C26" t="str">
            <v>Tools, Shop and Garage Equipment</v>
          </cell>
        </row>
        <row r="27">
          <cell r="A27">
            <v>395</v>
          </cell>
          <cell r="B27" t="str">
            <v>LABORATORY EQUIPMENT</v>
          </cell>
          <cell r="C27" t="str">
            <v>Laboratory Equipment</v>
          </cell>
        </row>
        <row r="28">
          <cell r="A28">
            <v>396</v>
          </cell>
          <cell r="B28" t="str">
            <v>POWER OPERATED EQUIPMENT</v>
          </cell>
          <cell r="C28" t="str">
            <v>Power Operated Equipment</v>
          </cell>
        </row>
        <row r="29">
          <cell r="A29">
            <v>397</v>
          </cell>
          <cell r="B29" t="str">
            <v>COMMUNICATION EQUIPMENT</v>
          </cell>
          <cell r="C29" t="str">
            <v>Communication Equipment</v>
          </cell>
        </row>
        <row r="30">
          <cell r="A30">
            <v>397.1</v>
          </cell>
          <cell r="B30" t="str">
            <v>Telephone Systems</v>
          </cell>
          <cell r="C30" t="str">
            <v>Telephone Systems</v>
          </cell>
        </row>
        <row r="31">
          <cell r="A31">
            <v>398</v>
          </cell>
          <cell r="B31" t="str">
            <v>MISCELLANEOUS EQUIPMENT</v>
          </cell>
          <cell r="C31" t="str">
            <v>Miscellaneous Equipment</v>
          </cell>
        </row>
        <row r="32">
          <cell r="A32">
            <v>301</v>
          </cell>
          <cell r="B32" t="str">
            <v>Organization</v>
          </cell>
          <cell r="C32" t="str">
            <v>Organization</v>
          </cell>
        </row>
        <row r="33">
          <cell r="A33">
            <v>302</v>
          </cell>
          <cell r="B33" t="str">
            <v>Franchise &amp; Consents</v>
          </cell>
          <cell r="C33" t="str">
            <v>Franchise &amp; Consents</v>
          </cell>
        </row>
        <row r="34">
          <cell r="A34">
            <v>374.1</v>
          </cell>
          <cell r="B34" t="str">
            <v>Land</v>
          </cell>
          <cell r="C34" t="str">
            <v>Land</v>
          </cell>
        </row>
        <row r="35">
          <cell r="A35">
            <v>374.2</v>
          </cell>
          <cell r="B35" t="str">
            <v>Land Rights</v>
          </cell>
          <cell r="C35" t="str">
            <v>Land Rights</v>
          </cell>
        </row>
        <row r="36">
          <cell r="A36">
            <v>389.1</v>
          </cell>
          <cell r="B36" t="str">
            <v>Land</v>
          </cell>
          <cell r="C36" t="str">
            <v>Land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Cost"/>
      <sheetName val="Oracle"/>
      <sheetName val="PowerPlan"/>
      <sheetName val="Count"/>
      <sheetName val="SDR-COS-6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">
          <cell r="B27">
            <v>959395527.26679194</v>
          </cell>
          <cell r="C27">
            <v>130187495.80499664</v>
          </cell>
          <cell r="D27">
            <v>5163641.2876964444</v>
          </cell>
          <cell r="E27">
            <v>2571816.6948096491</v>
          </cell>
          <cell r="F27">
            <v>1624055.1221229131</v>
          </cell>
          <cell r="G27">
            <v>342484.97358226677</v>
          </cell>
        </row>
      </sheetData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</sheetNames>
    <sheetDataSet>
      <sheetData sheetId="0">
        <row r="9">
          <cell r="G9">
            <v>10707726.576666666</v>
          </cell>
        </row>
        <row r="10">
          <cell r="G10">
            <v>528150.12</v>
          </cell>
        </row>
        <row r="11">
          <cell r="G11">
            <v>5442.6566666666668</v>
          </cell>
        </row>
        <row r="12">
          <cell r="G12">
            <v>24572.926666666666</v>
          </cell>
        </row>
        <row r="13">
          <cell r="G13">
            <v>82479.333333333328</v>
          </cell>
        </row>
        <row r="14">
          <cell r="G14">
            <v>12795.666666666666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Y Updated Filing"/>
      <sheetName val="HTY"/>
      <sheetName val="Prior Year Filing"/>
      <sheetName val="Forfeited Discounts Jan-Jun"/>
      <sheetName val="487001 Budget"/>
      <sheetName val="% of Revenues"/>
      <sheetName val="FY19 SOUTH Revenues"/>
      <sheetName val="FY19 SOUTH Transportation"/>
      <sheetName val="FY19 SOUTH Choice Revenues"/>
      <sheetName val="FY19 NORTH Revenues"/>
      <sheetName val="FY19 North TRANSPORTATION"/>
      <sheetName val="FY19 North Choice Revenues"/>
      <sheetName val="FY19 Central Revenues"/>
      <sheetName val="FY19 Central Transportation"/>
      <sheetName val="FY19 Central Choice Revenues"/>
    </sheetNames>
    <sheetDataSet>
      <sheetData sheetId="0">
        <row r="10">
          <cell r="C10">
            <v>3208594.7449178407</v>
          </cell>
        </row>
        <row r="11">
          <cell r="C11">
            <v>1265363.4499307496</v>
          </cell>
        </row>
        <row r="12">
          <cell r="C12">
            <v>539.01239839703635</v>
          </cell>
        </row>
        <row r="13">
          <cell r="C13">
            <v>192421.31973509555</v>
          </cell>
        </row>
        <row r="14">
          <cell r="C14">
            <v>153845.98254517451</v>
          </cell>
        </row>
        <row r="15">
          <cell r="C15">
            <v>68019.901699308393</v>
          </cell>
        </row>
        <row r="16">
          <cell r="C16">
            <v>128964.57710676921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A-1"/>
      <sheetName val="B-1"/>
      <sheetName val="B-2"/>
      <sheetName val="B-3"/>
      <sheetName val="B-4"/>
      <sheetName val="B-5"/>
      <sheetName val="B-6"/>
      <sheetName val="B-7"/>
      <sheetName val="C-1"/>
      <sheetName val="C-2"/>
      <sheetName val="C-3"/>
      <sheetName val="C-4(1)"/>
      <sheetName val="C-4(2)"/>
      <sheetName val="C-5"/>
      <sheetName val="C-6"/>
      <sheetName val="C-7"/>
      <sheetName val="C-8"/>
      <sheetName val="C-9"/>
      <sheetName val="D-1"/>
      <sheetName val="D-2"/>
      <sheetName val="D-3"/>
      <sheetName val="D-4"/>
      <sheetName val="D-5"/>
      <sheetName val="D-6"/>
      <sheetName val="D-7"/>
      <sheetName val="D-8"/>
      <sheetName val="D-9"/>
      <sheetName val="D-10"/>
      <sheetName val="D-11"/>
      <sheetName val="D-12"/>
      <sheetName val="D-13"/>
      <sheetName val="D-14"/>
      <sheetName val="D-15"/>
      <sheetName val="D-16"/>
      <sheetName val="D-17"/>
      <sheetName val="D-18"/>
      <sheetName val="D-19"/>
      <sheetName val="D-21"/>
      <sheetName val="D-31"/>
      <sheetName val="D-32"/>
      <sheetName val="D-33"/>
      <sheetName val="D-34"/>
      <sheetName val="D-35"/>
      <sheetName val="WPs"/>
      <sheetName val="Section 8"/>
      <sheetName val="COS Input"/>
      <sheetName val="UGI Gas Exhibit A -  FPFTY (01"/>
    </sheetNames>
    <sheetDataSet>
      <sheetData sheetId="0"/>
      <sheetData sheetId="1">
        <row r="39">
          <cell r="I39">
            <v>-28409.877879917654</v>
          </cell>
        </row>
        <row r="40">
          <cell r="M40">
            <v>-49616.382189763652</v>
          </cell>
        </row>
        <row r="42">
          <cell r="I42">
            <v>155837.05973687567</v>
          </cell>
          <cell r="M42">
            <v>208028.9969670297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M14">
            <v>4324364</v>
          </cell>
        </row>
        <row r="18">
          <cell r="M18">
            <v>3164181</v>
          </cell>
        </row>
        <row r="20">
          <cell r="M20">
            <v>42331</v>
          </cell>
        </row>
        <row r="22">
          <cell r="M22">
            <v>23026</v>
          </cell>
        </row>
        <row r="24">
          <cell r="M24">
            <v>-605130</v>
          </cell>
        </row>
        <row r="26">
          <cell r="M26">
            <v>-22290</v>
          </cell>
        </row>
        <row r="28">
          <cell r="M28">
            <v>14601</v>
          </cell>
        </row>
        <row r="31">
          <cell r="M31">
            <v>2616719</v>
          </cell>
        </row>
      </sheetData>
      <sheetData sheetId="10"/>
      <sheetData sheetId="11"/>
      <sheetData sheetId="12">
        <row r="45">
          <cell r="M45">
            <v>57.65</v>
          </cell>
        </row>
        <row r="50">
          <cell r="G50">
            <v>287991</v>
          </cell>
          <cell r="I50">
            <v>39.3947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17">
          <cell r="K17">
            <v>313659</v>
          </cell>
        </row>
        <row r="28">
          <cell r="G28">
            <v>12501.685519999999</v>
          </cell>
          <cell r="I28">
            <v>1152.55846</v>
          </cell>
          <cell r="K28">
            <v>13654.243979999999</v>
          </cell>
        </row>
        <row r="32">
          <cell r="K32">
            <v>112511</v>
          </cell>
        </row>
        <row r="33">
          <cell r="N33">
            <v>281114.52084320667</v>
          </cell>
        </row>
      </sheetData>
      <sheetData sheetId="20"/>
      <sheetData sheetId="21"/>
      <sheetData sheetId="22"/>
      <sheetData sheetId="23">
        <row r="35">
          <cell r="O35">
            <v>5018</v>
          </cell>
        </row>
        <row r="37">
          <cell r="O37">
            <v>924</v>
          </cell>
        </row>
        <row r="39">
          <cell r="O39">
            <v>308</v>
          </cell>
        </row>
        <row r="41">
          <cell r="O41">
            <v>47</v>
          </cell>
        </row>
      </sheetData>
      <sheetData sheetId="24"/>
      <sheetData sheetId="25">
        <row r="23">
          <cell r="K23">
            <v>10.325678351248413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44">
          <cell r="G44">
            <v>889</v>
          </cell>
        </row>
      </sheetData>
      <sheetData sheetId="34">
        <row r="31">
          <cell r="E31">
            <v>12315</v>
          </cell>
        </row>
      </sheetData>
      <sheetData sheetId="35"/>
      <sheetData sheetId="36"/>
      <sheetData sheetId="37">
        <row r="20">
          <cell r="G20">
            <v>-307</v>
          </cell>
        </row>
      </sheetData>
      <sheetData sheetId="38">
        <row r="26">
          <cell r="K26">
            <v>0</v>
          </cell>
        </row>
        <row r="27">
          <cell r="K27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1</v>
          </cell>
        </row>
        <row r="34">
          <cell r="K34">
            <v>1</v>
          </cell>
        </row>
        <row r="35">
          <cell r="K35">
            <v>0</v>
          </cell>
        </row>
        <row r="36">
          <cell r="K36">
            <v>0</v>
          </cell>
        </row>
        <row r="48">
          <cell r="K48">
            <v>0</v>
          </cell>
        </row>
        <row r="77">
          <cell r="K77">
            <v>12</v>
          </cell>
        </row>
        <row r="78">
          <cell r="K78">
            <v>6</v>
          </cell>
        </row>
        <row r="79">
          <cell r="K79">
            <v>450</v>
          </cell>
        </row>
        <row r="80">
          <cell r="K80">
            <v>93</v>
          </cell>
        </row>
        <row r="81">
          <cell r="K81">
            <v>112</v>
          </cell>
        </row>
        <row r="82">
          <cell r="K82">
            <v>7</v>
          </cell>
        </row>
        <row r="87">
          <cell r="K87">
            <v>43</v>
          </cell>
        </row>
        <row r="88">
          <cell r="K88">
            <v>82</v>
          </cell>
        </row>
        <row r="89">
          <cell r="K89">
            <v>33354</v>
          </cell>
        </row>
        <row r="90">
          <cell r="K90">
            <v>4050</v>
          </cell>
        </row>
        <row r="91">
          <cell r="K91">
            <v>479</v>
          </cell>
        </row>
        <row r="92">
          <cell r="K92">
            <v>29687</v>
          </cell>
        </row>
        <row r="93">
          <cell r="K93">
            <v>4987</v>
          </cell>
        </row>
        <row r="94">
          <cell r="K94">
            <v>2491</v>
          </cell>
        </row>
        <row r="95">
          <cell r="K95">
            <v>207</v>
          </cell>
        </row>
        <row r="96">
          <cell r="K96">
            <v>424</v>
          </cell>
        </row>
        <row r="97">
          <cell r="K97">
            <v>716</v>
          </cell>
        </row>
        <row r="98">
          <cell r="K98">
            <v>22</v>
          </cell>
        </row>
        <row r="99">
          <cell r="K99">
            <v>104</v>
          </cell>
        </row>
        <row r="105">
          <cell r="K105">
            <v>5553</v>
          </cell>
        </row>
        <row r="106">
          <cell r="K106">
            <v>21126</v>
          </cell>
        </row>
        <row r="107">
          <cell r="K107">
            <v>4741</v>
          </cell>
        </row>
        <row r="108">
          <cell r="K108">
            <v>1</v>
          </cell>
        </row>
        <row r="109">
          <cell r="K109">
            <v>1795</v>
          </cell>
        </row>
        <row r="110">
          <cell r="K110">
            <v>22</v>
          </cell>
        </row>
        <row r="111">
          <cell r="K111">
            <v>528</v>
          </cell>
        </row>
        <row r="112">
          <cell r="K112">
            <v>102</v>
          </cell>
        </row>
        <row r="113">
          <cell r="K113">
            <v>630</v>
          </cell>
        </row>
        <row r="121">
          <cell r="K121">
            <v>-7166</v>
          </cell>
        </row>
        <row r="124">
          <cell r="K124">
            <v>7851</v>
          </cell>
        </row>
      </sheetData>
      <sheetData sheetId="39">
        <row r="15">
          <cell r="M15">
            <v>756</v>
          </cell>
        </row>
        <row r="17">
          <cell r="M17">
            <v>0</v>
          </cell>
        </row>
        <row r="19">
          <cell r="M19">
            <v>957</v>
          </cell>
        </row>
        <row r="21">
          <cell r="M21">
            <v>5851.3</v>
          </cell>
        </row>
        <row r="23">
          <cell r="M23">
            <v>49</v>
          </cell>
        </row>
        <row r="25">
          <cell r="M25">
            <v>426.8</v>
          </cell>
        </row>
        <row r="27">
          <cell r="M27">
            <v>3540</v>
          </cell>
        </row>
      </sheetData>
      <sheetData sheetId="40"/>
      <sheetData sheetId="41">
        <row r="17">
          <cell r="M17">
            <v>-55213</v>
          </cell>
        </row>
      </sheetData>
      <sheetData sheetId="42"/>
      <sheetData sheetId="43"/>
      <sheetData sheetId="44">
        <row r="23">
          <cell r="I23">
            <v>0</v>
          </cell>
          <cell r="M23">
            <v>0</v>
          </cell>
          <cell r="Y23">
            <v>0</v>
          </cell>
        </row>
        <row r="24">
          <cell r="I24">
            <v>0</v>
          </cell>
          <cell r="M24">
            <v>0</v>
          </cell>
          <cell r="Y24">
            <v>0</v>
          </cell>
        </row>
        <row r="27">
          <cell r="I27">
            <v>0</v>
          </cell>
          <cell r="M27">
            <v>0</v>
          </cell>
          <cell r="Y27">
            <v>40</v>
          </cell>
        </row>
        <row r="30">
          <cell r="I30">
            <v>0</v>
          </cell>
          <cell r="M30">
            <v>0</v>
          </cell>
          <cell r="Y30">
            <v>6770.666666666667</v>
          </cell>
        </row>
        <row r="36">
          <cell r="I36">
            <v>0</v>
          </cell>
          <cell r="M36">
            <v>0</v>
          </cell>
          <cell r="Y36">
            <v>0</v>
          </cell>
        </row>
        <row r="37">
          <cell r="I37">
            <v>0</v>
          </cell>
          <cell r="M37">
            <v>0</v>
          </cell>
          <cell r="Y37">
            <v>0</v>
          </cell>
        </row>
        <row r="38">
          <cell r="I38">
            <v>0</v>
          </cell>
          <cell r="M38">
            <v>0</v>
          </cell>
          <cell r="Y38">
            <v>0</v>
          </cell>
        </row>
        <row r="39">
          <cell r="I39">
            <v>0</v>
          </cell>
          <cell r="M39">
            <v>0</v>
          </cell>
          <cell r="Y39">
            <v>0</v>
          </cell>
        </row>
        <row r="45">
          <cell r="I45">
            <v>0</v>
          </cell>
          <cell r="M45">
            <v>0</v>
          </cell>
          <cell r="Y45">
            <v>0</v>
          </cell>
        </row>
        <row r="46">
          <cell r="I46">
            <v>0</v>
          </cell>
          <cell r="M46">
            <v>0</v>
          </cell>
          <cell r="Y46">
            <v>300930</v>
          </cell>
        </row>
        <row r="47">
          <cell r="I47">
            <v>0</v>
          </cell>
          <cell r="M47">
            <v>0</v>
          </cell>
          <cell r="Y47">
            <v>0</v>
          </cell>
        </row>
        <row r="48">
          <cell r="I48">
            <v>0</v>
          </cell>
          <cell r="M48">
            <v>0</v>
          </cell>
          <cell r="Y48">
            <v>743</v>
          </cell>
        </row>
        <row r="49">
          <cell r="I49">
            <v>0</v>
          </cell>
          <cell r="M49">
            <v>0</v>
          </cell>
          <cell r="Y49">
            <v>-74059</v>
          </cell>
        </row>
        <row r="50">
          <cell r="I50">
            <v>0</v>
          </cell>
          <cell r="M50">
            <v>0</v>
          </cell>
          <cell r="Y50">
            <v>0</v>
          </cell>
        </row>
        <row r="51">
          <cell r="I51">
            <v>0</v>
          </cell>
          <cell r="M51">
            <v>0</v>
          </cell>
          <cell r="Y51">
            <v>0</v>
          </cell>
        </row>
        <row r="52">
          <cell r="I52">
            <v>0</v>
          </cell>
          <cell r="M52">
            <v>0</v>
          </cell>
          <cell r="Y52">
            <v>33780</v>
          </cell>
        </row>
        <row r="53">
          <cell r="I53">
            <v>0</v>
          </cell>
          <cell r="M53">
            <v>0</v>
          </cell>
          <cell r="Y53">
            <v>10942</v>
          </cell>
        </row>
        <row r="54">
          <cell r="I54">
            <v>0</v>
          </cell>
          <cell r="M54">
            <v>0</v>
          </cell>
          <cell r="Y54">
            <v>-836</v>
          </cell>
        </row>
        <row r="55">
          <cell r="I55">
            <v>0</v>
          </cell>
          <cell r="M55">
            <v>0</v>
          </cell>
          <cell r="Y55">
            <v>16491</v>
          </cell>
        </row>
        <row r="56">
          <cell r="Y56">
            <v>287991</v>
          </cell>
        </row>
        <row r="61">
          <cell r="I61">
            <v>0</v>
          </cell>
          <cell r="M61">
            <v>0</v>
          </cell>
          <cell r="Y61">
            <v>0</v>
          </cell>
        </row>
        <row r="62">
          <cell r="I62">
            <v>0</v>
          </cell>
          <cell r="M62">
            <v>0</v>
          </cell>
          <cell r="Y62">
            <v>0</v>
          </cell>
        </row>
        <row r="63">
          <cell r="I63">
            <v>0</v>
          </cell>
          <cell r="M63">
            <v>0</v>
          </cell>
          <cell r="Y63">
            <v>0</v>
          </cell>
        </row>
        <row r="67">
          <cell r="I67">
            <v>0</v>
          </cell>
          <cell r="M67">
            <v>0</v>
          </cell>
          <cell r="Y67">
            <v>0</v>
          </cell>
        </row>
        <row r="68">
          <cell r="I68">
            <v>0</v>
          </cell>
          <cell r="M68">
            <v>0</v>
          </cell>
          <cell r="Y68">
            <v>0</v>
          </cell>
        </row>
        <row r="88">
          <cell r="I88">
            <v>0</v>
          </cell>
          <cell r="M88">
            <v>0</v>
          </cell>
          <cell r="Y88">
            <v>0</v>
          </cell>
        </row>
        <row r="89">
          <cell r="I89">
            <v>0</v>
          </cell>
          <cell r="M89">
            <v>0</v>
          </cell>
          <cell r="Y89">
            <v>0</v>
          </cell>
        </row>
        <row r="90">
          <cell r="I90">
            <v>0</v>
          </cell>
          <cell r="M90">
            <v>0</v>
          </cell>
          <cell r="Y90">
            <v>0</v>
          </cell>
        </row>
        <row r="94">
          <cell r="I94">
            <v>0</v>
          </cell>
          <cell r="M94">
            <v>0</v>
          </cell>
          <cell r="Y94">
            <v>0</v>
          </cell>
        </row>
        <row r="95">
          <cell r="I95">
            <v>0</v>
          </cell>
          <cell r="M95">
            <v>0</v>
          </cell>
          <cell r="Y95">
            <v>0</v>
          </cell>
        </row>
        <row r="96">
          <cell r="I96">
            <v>0</v>
          </cell>
          <cell r="M96">
            <v>0</v>
          </cell>
          <cell r="Y96">
            <v>0</v>
          </cell>
        </row>
        <row r="102">
          <cell r="I102">
            <v>0</v>
          </cell>
          <cell r="M102">
            <v>0</v>
          </cell>
          <cell r="Y102">
            <v>0</v>
          </cell>
        </row>
        <row r="103">
          <cell r="I103">
            <v>0</v>
          </cell>
          <cell r="M103">
            <v>0</v>
          </cell>
          <cell r="Y103">
            <v>0</v>
          </cell>
        </row>
        <row r="107">
          <cell r="I107">
            <v>0</v>
          </cell>
          <cell r="M107">
            <v>0</v>
          </cell>
          <cell r="Y107">
            <v>0</v>
          </cell>
        </row>
        <row r="108">
          <cell r="I108">
            <v>0</v>
          </cell>
          <cell r="M108">
            <v>0</v>
          </cell>
          <cell r="Y108">
            <v>0</v>
          </cell>
        </row>
        <row r="113">
          <cell r="I113">
            <v>11201</v>
          </cell>
          <cell r="M113">
            <v>150.01027653999157</v>
          </cell>
          <cell r="O113">
            <v>1098</v>
          </cell>
          <cell r="Y113">
            <v>14423.010276539992</v>
          </cell>
        </row>
        <row r="114">
          <cell r="I114">
            <v>285</v>
          </cell>
          <cell r="M114">
            <v>3.8168849936521374</v>
          </cell>
          <cell r="Y114">
            <v>2122.8168849936519</v>
          </cell>
        </row>
        <row r="115">
          <cell r="I115">
            <v>0</v>
          </cell>
          <cell r="M115">
            <v>0</v>
          </cell>
          <cell r="Y115">
            <v>0</v>
          </cell>
        </row>
        <row r="116">
          <cell r="I116">
            <v>0</v>
          </cell>
          <cell r="M116">
            <v>0</v>
          </cell>
          <cell r="Y116">
            <v>0</v>
          </cell>
        </row>
        <row r="117">
          <cell r="I117">
            <v>10324</v>
          </cell>
          <cell r="M117">
            <v>138.26498482268306</v>
          </cell>
          <cell r="Y117">
            <v>24863.264984822683</v>
          </cell>
        </row>
        <row r="118">
          <cell r="I118">
            <v>1201</v>
          </cell>
          <cell r="M118">
            <v>16.084487289039359</v>
          </cell>
          <cell r="Y118">
            <v>2098.0844872890393</v>
          </cell>
        </row>
        <row r="119">
          <cell r="I119">
            <v>16</v>
          </cell>
          <cell r="M119">
            <v>0.21428126280152351</v>
          </cell>
          <cell r="Y119">
            <v>266.21428126280153</v>
          </cell>
        </row>
        <row r="120">
          <cell r="I120">
            <v>659</v>
          </cell>
          <cell r="M120">
            <v>8.8257095116377489</v>
          </cell>
          <cell r="Y120">
            <v>1070.8257095116378</v>
          </cell>
        </row>
        <row r="121">
          <cell r="I121">
            <v>2819</v>
          </cell>
          <cell r="M121">
            <v>37.753679989843427</v>
          </cell>
          <cell r="Y121">
            <v>3687.7536799898435</v>
          </cell>
        </row>
        <row r="122">
          <cell r="I122">
            <v>1774</v>
          </cell>
          <cell r="M122">
            <v>23.75843501311892</v>
          </cell>
          <cell r="Y122">
            <v>3091.7584350131187</v>
          </cell>
        </row>
        <row r="123">
          <cell r="I123">
            <v>2117</v>
          </cell>
          <cell r="M123">
            <v>28.352089584426579</v>
          </cell>
          <cell r="Y123">
            <v>4537.3520895844267</v>
          </cell>
        </row>
        <row r="124">
          <cell r="I124">
            <v>3</v>
          </cell>
          <cell r="M124">
            <v>4.0177736775285661E-2</v>
          </cell>
          <cell r="Y124">
            <v>237.04017773677529</v>
          </cell>
        </row>
        <row r="127">
          <cell r="I127">
            <v>3141</v>
          </cell>
          <cell r="M127">
            <v>42.066090403724083</v>
          </cell>
          <cell r="Y127">
            <v>3775.066090403724</v>
          </cell>
        </row>
        <row r="128">
          <cell r="I128">
            <v>321</v>
          </cell>
          <cell r="M128">
            <v>4.2990178349555652</v>
          </cell>
          <cell r="Y128">
            <v>404.29901783495558</v>
          </cell>
        </row>
        <row r="129">
          <cell r="I129">
            <v>3442</v>
          </cell>
          <cell r="M129">
            <v>46.097256660177749</v>
          </cell>
          <cell r="Y129">
            <v>17616.097256660178</v>
          </cell>
        </row>
        <row r="130">
          <cell r="I130">
            <v>0</v>
          </cell>
          <cell r="M130">
            <v>0</v>
          </cell>
          <cell r="Y130">
            <v>59</v>
          </cell>
        </row>
        <row r="131">
          <cell r="I131">
            <v>956</v>
          </cell>
          <cell r="M131">
            <v>12.803305452391029</v>
          </cell>
          <cell r="Y131">
            <v>1577.803305452391</v>
          </cell>
        </row>
        <row r="132">
          <cell r="I132">
            <v>111</v>
          </cell>
          <cell r="M132">
            <v>1.4865762606855695</v>
          </cell>
          <cell r="Y132">
            <v>314.48657626068558</v>
          </cell>
        </row>
        <row r="133">
          <cell r="I133">
            <v>95</v>
          </cell>
          <cell r="M133">
            <v>1.2722949978840459</v>
          </cell>
          <cell r="Y133">
            <v>775.27229499788405</v>
          </cell>
        </row>
        <row r="134">
          <cell r="I134">
            <v>588</v>
          </cell>
          <cell r="M134">
            <v>7.8748364079559892</v>
          </cell>
          <cell r="Y134">
            <v>1889.8748364079561</v>
          </cell>
        </row>
        <row r="135">
          <cell r="I135">
            <v>589</v>
          </cell>
          <cell r="M135">
            <v>7.8882289868810842</v>
          </cell>
          <cell r="Y135">
            <v>1144.8882289868811</v>
          </cell>
        </row>
        <row r="136">
          <cell r="I136">
            <v>58</v>
          </cell>
          <cell r="M136">
            <v>0.77676957765552279</v>
          </cell>
          <cell r="Y136">
            <v>597.7767695776555</v>
          </cell>
        </row>
        <row r="137">
          <cell r="I137">
            <v>0</v>
          </cell>
          <cell r="M137">
            <v>0</v>
          </cell>
          <cell r="Y137">
            <v>0</v>
          </cell>
        </row>
        <row r="157">
          <cell r="I157">
            <v>0</v>
          </cell>
          <cell r="M157">
            <v>0</v>
          </cell>
          <cell r="Y157">
            <v>430</v>
          </cell>
        </row>
        <row r="158">
          <cell r="I158">
            <v>2113</v>
          </cell>
          <cell r="M158">
            <v>28.298519268726199</v>
          </cell>
          <cell r="Y158">
            <v>2740.2985192687261</v>
          </cell>
        </row>
        <row r="159">
          <cell r="I159">
            <v>12121</v>
          </cell>
          <cell r="M159">
            <v>162.33144915107917</v>
          </cell>
          <cell r="Y159">
            <v>32670.331449151079</v>
          </cell>
        </row>
        <row r="160">
          <cell r="I160">
            <v>0</v>
          </cell>
          <cell r="M160">
            <v>0</v>
          </cell>
          <cell r="Y160">
            <v>12501.685519999999</v>
          </cell>
        </row>
        <row r="161">
          <cell r="I161">
            <v>1647</v>
          </cell>
          <cell r="M161">
            <v>22.057577489631825</v>
          </cell>
          <cell r="Y161">
            <v>2053.057577489632</v>
          </cell>
        </row>
        <row r="165">
          <cell r="I165">
            <v>200</v>
          </cell>
          <cell r="M165">
            <v>2.678515785019044</v>
          </cell>
          <cell r="Y165">
            <v>223.67851578501904</v>
          </cell>
        </row>
        <row r="166">
          <cell r="I166">
            <v>1227</v>
          </cell>
          <cell r="M166">
            <v>16.432694341091835</v>
          </cell>
          <cell r="Y166">
            <v>2028.4326943410917</v>
          </cell>
        </row>
        <row r="167">
          <cell r="I167">
            <v>0</v>
          </cell>
          <cell r="M167">
            <v>0</v>
          </cell>
          <cell r="Y167">
            <v>1143</v>
          </cell>
        </row>
        <row r="168">
          <cell r="I168">
            <v>357</v>
          </cell>
          <cell r="M168">
            <v>4.781150676258993</v>
          </cell>
          <cell r="Y168">
            <v>9115.7811506762591</v>
          </cell>
        </row>
        <row r="172">
          <cell r="I172">
            <v>107</v>
          </cell>
          <cell r="M172">
            <v>1.4330059449851884</v>
          </cell>
          <cell r="Y172">
            <v>115.43300594498518</v>
          </cell>
        </row>
        <row r="173">
          <cell r="I173">
            <v>664</v>
          </cell>
          <cell r="M173">
            <v>8.892672406263225</v>
          </cell>
          <cell r="Y173">
            <v>1307.8926724062633</v>
          </cell>
        </row>
        <row r="174">
          <cell r="I174">
            <v>0</v>
          </cell>
          <cell r="M174">
            <v>0</v>
          </cell>
          <cell r="Y174">
            <v>1069</v>
          </cell>
        </row>
        <row r="175">
          <cell r="I175">
            <v>0</v>
          </cell>
          <cell r="M175">
            <v>0</v>
          </cell>
          <cell r="Y175">
            <v>0</v>
          </cell>
        </row>
        <row r="176">
          <cell r="I176">
            <v>0</v>
          </cell>
          <cell r="M176">
            <v>0</v>
          </cell>
          <cell r="Y176">
            <v>0</v>
          </cell>
        </row>
        <row r="177">
          <cell r="I177">
            <v>0</v>
          </cell>
          <cell r="M177">
            <v>0</v>
          </cell>
          <cell r="Y177">
            <v>190</v>
          </cell>
        </row>
        <row r="182">
          <cell r="I182">
            <v>20316</v>
          </cell>
          <cell r="M182">
            <v>272.08363344223449</v>
          </cell>
          <cell r="O182">
            <v>659</v>
          </cell>
          <cell r="Y182">
            <v>23945.083633442235</v>
          </cell>
        </row>
        <row r="183">
          <cell r="I183">
            <v>338</v>
          </cell>
          <cell r="M183">
            <v>4.5266916766821845</v>
          </cell>
          <cell r="Y183">
            <v>27866.526691676681</v>
          </cell>
        </row>
        <row r="184">
          <cell r="I184">
            <v>0</v>
          </cell>
          <cell r="M184">
            <v>0</v>
          </cell>
          <cell r="Y184">
            <v>0</v>
          </cell>
        </row>
        <row r="185">
          <cell r="I185">
            <v>185</v>
          </cell>
          <cell r="M185">
            <v>2.4776271011426156</v>
          </cell>
          <cell r="Y185">
            <v>20494.477627101143</v>
          </cell>
        </row>
        <row r="186">
          <cell r="I186">
            <v>0</v>
          </cell>
          <cell r="M186">
            <v>0</v>
          </cell>
          <cell r="Y186">
            <v>265</v>
          </cell>
        </row>
        <row r="187">
          <cell r="I187">
            <v>1058</v>
          </cell>
          <cell r="M187">
            <v>14.169348502750742</v>
          </cell>
          <cell r="Y187">
            <v>9317.1693485027499</v>
          </cell>
        </row>
        <row r="188">
          <cell r="I188">
            <v>1989</v>
          </cell>
          <cell r="M188">
            <v>26.637839482014392</v>
          </cell>
          <cell r="Y188">
            <v>27854.83783948201</v>
          </cell>
        </row>
        <row r="189">
          <cell r="I189">
            <v>0</v>
          </cell>
          <cell r="M189">
            <v>0</v>
          </cell>
          <cell r="Y189">
            <v>0</v>
          </cell>
        </row>
        <row r="190">
          <cell r="I190">
            <v>0</v>
          </cell>
          <cell r="M190">
            <v>0</v>
          </cell>
          <cell r="Y190">
            <v>1677</v>
          </cell>
        </row>
        <row r="191">
          <cell r="I191">
            <v>0</v>
          </cell>
          <cell r="M191">
            <v>0</v>
          </cell>
          <cell r="Y191">
            <v>0</v>
          </cell>
        </row>
        <row r="192">
          <cell r="I192">
            <v>0</v>
          </cell>
          <cell r="M192">
            <v>0</v>
          </cell>
          <cell r="Y192">
            <v>998</v>
          </cell>
        </row>
        <row r="193">
          <cell r="I193">
            <v>69</v>
          </cell>
          <cell r="M193">
            <v>0.92408794583157017</v>
          </cell>
          <cell r="Y193">
            <v>5644.9240879458312</v>
          </cell>
        </row>
        <row r="194">
          <cell r="I194">
            <v>0</v>
          </cell>
          <cell r="M194">
            <v>0</v>
          </cell>
          <cell r="Y194">
            <v>254</v>
          </cell>
        </row>
        <row r="198">
          <cell r="I198">
            <v>614</v>
          </cell>
          <cell r="M198">
            <v>8</v>
          </cell>
          <cell r="Y198">
            <v>3541</v>
          </cell>
        </row>
        <row r="199">
          <cell r="I199">
            <v>0</v>
          </cell>
          <cell r="M199">
            <v>0</v>
          </cell>
          <cell r="Y199">
            <v>1152</v>
          </cell>
        </row>
        <row r="205">
          <cell r="I205">
            <v>82705</v>
          </cell>
          <cell r="M205">
            <v>1107.4101965399916</v>
          </cell>
          <cell r="O205">
            <v>1757</v>
          </cell>
          <cell r="Y205">
            <v>567952.9623832067</v>
          </cell>
        </row>
      </sheetData>
      <sheetData sheetId="45"/>
      <sheetData sheetId="46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Total"/>
      <sheetName val="Table 1 Gas"/>
      <sheetName val="Table 1 PNG"/>
      <sheetName val="Table 1 CPG"/>
      <sheetName val="Table 2 Total"/>
      <sheetName val="Table 2 Gas"/>
      <sheetName val="Table 2 PNG"/>
      <sheetName val="Table 2 CPG"/>
      <sheetName val="Table 3 Total"/>
      <sheetName val="Table 3 Gas"/>
      <sheetName val="Table 3 PNG"/>
      <sheetName val="Table 3 CPG"/>
      <sheetName val="Table 4 Total"/>
      <sheetName val="Table 4 Gas"/>
      <sheetName val="Table 4 PNG"/>
      <sheetName val="Table 4 CPG"/>
    </sheetNames>
    <sheetDataSet>
      <sheetData sheetId="0">
        <row r="14">
          <cell r="K14">
            <v>0</v>
          </cell>
          <cell r="M14">
            <v>-14821</v>
          </cell>
          <cell r="O14">
            <v>14821</v>
          </cell>
          <cell r="Q14">
            <v>0</v>
          </cell>
          <cell r="S14">
            <v>0</v>
          </cell>
        </row>
        <row r="15">
          <cell r="K15">
            <v>163100</v>
          </cell>
          <cell r="M15">
            <v>162070</v>
          </cell>
          <cell r="O15">
            <v>1030</v>
          </cell>
          <cell r="Q15">
            <v>0.02</v>
          </cell>
          <cell r="S15">
            <v>35</v>
          </cell>
        </row>
        <row r="16">
          <cell r="K16">
            <v>30277</v>
          </cell>
          <cell r="M16">
            <v>29681</v>
          </cell>
          <cell r="O16">
            <v>596</v>
          </cell>
          <cell r="Q16">
            <v>0.06</v>
          </cell>
          <cell r="S16">
            <v>19</v>
          </cell>
        </row>
        <row r="17">
          <cell r="K17">
            <v>1263</v>
          </cell>
          <cell r="M17">
            <v>1263</v>
          </cell>
          <cell r="O17">
            <v>0</v>
          </cell>
          <cell r="Q17">
            <v>0</v>
          </cell>
          <cell r="S17">
            <v>0</v>
          </cell>
        </row>
        <row r="18">
          <cell r="K18">
            <v>44785</v>
          </cell>
          <cell r="M18">
            <v>44783</v>
          </cell>
          <cell r="O18">
            <v>2</v>
          </cell>
          <cell r="Q18">
            <v>0</v>
          </cell>
          <cell r="S18">
            <v>0</v>
          </cell>
        </row>
        <row r="19">
          <cell r="K19">
            <v>18209</v>
          </cell>
          <cell r="M19">
            <v>18210</v>
          </cell>
          <cell r="O19">
            <v>-1</v>
          </cell>
          <cell r="Q19">
            <v>0</v>
          </cell>
          <cell r="S19">
            <v>0</v>
          </cell>
        </row>
        <row r="20">
          <cell r="K20">
            <v>24441</v>
          </cell>
          <cell r="M20">
            <v>24441</v>
          </cell>
          <cell r="O20">
            <v>0</v>
          </cell>
          <cell r="Q20">
            <v>0</v>
          </cell>
          <cell r="S20">
            <v>0</v>
          </cell>
        </row>
        <row r="21">
          <cell r="K21">
            <v>750689</v>
          </cell>
          <cell r="M21">
            <v>724803</v>
          </cell>
          <cell r="O21">
            <v>25886</v>
          </cell>
          <cell r="Q21">
            <v>0.13</v>
          </cell>
          <cell r="S21">
            <v>1004</v>
          </cell>
        </row>
        <row r="22">
          <cell r="K22">
            <v>89725</v>
          </cell>
          <cell r="M22">
            <v>79835</v>
          </cell>
          <cell r="O22">
            <v>9890</v>
          </cell>
          <cell r="Q22">
            <v>0.68</v>
          </cell>
          <cell r="S22">
            <v>614</v>
          </cell>
        </row>
        <row r="23">
          <cell r="K23">
            <v>49604</v>
          </cell>
          <cell r="M23">
            <v>49461</v>
          </cell>
          <cell r="O23">
            <v>143</v>
          </cell>
          <cell r="Q23">
            <v>0.04</v>
          </cell>
          <cell r="S23">
            <v>19</v>
          </cell>
        </row>
        <row r="24">
          <cell r="K24">
            <v>11062</v>
          </cell>
          <cell r="M24">
            <v>11062</v>
          </cell>
          <cell r="O24">
            <v>0</v>
          </cell>
          <cell r="Q24">
            <v>0</v>
          </cell>
          <cell r="S24">
            <v>0</v>
          </cell>
        </row>
        <row r="28">
          <cell r="K28">
            <v>0</v>
          </cell>
          <cell r="M28">
            <v>-19964</v>
          </cell>
          <cell r="O28">
            <v>19964</v>
          </cell>
          <cell r="Q28">
            <v>0</v>
          </cell>
          <cell r="S28">
            <v>0</v>
          </cell>
        </row>
        <row r="29">
          <cell r="Q29">
            <v>0</v>
          </cell>
        </row>
        <row r="32">
          <cell r="K32">
            <v>868160</v>
          </cell>
          <cell r="M32">
            <v>524589</v>
          </cell>
          <cell r="O32">
            <v>343571</v>
          </cell>
          <cell r="Q32">
            <v>1.37</v>
          </cell>
          <cell r="S32">
            <v>11864</v>
          </cell>
        </row>
        <row r="33">
          <cell r="K33">
            <v>248104</v>
          </cell>
          <cell r="M33">
            <v>152465</v>
          </cell>
          <cell r="O33">
            <v>95639</v>
          </cell>
          <cell r="Q33">
            <v>2.37</v>
          </cell>
          <cell r="S33">
            <v>5869</v>
          </cell>
        </row>
        <row r="34">
          <cell r="K34">
            <v>38518031</v>
          </cell>
          <cell r="M34">
            <v>21416849</v>
          </cell>
          <cell r="O34">
            <v>17101182</v>
          </cell>
          <cell r="Q34">
            <v>1.17</v>
          </cell>
          <cell r="S34">
            <v>450280</v>
          </cell>
        </row>
        <row r="35">
          <cell r="K35">
            <v>6170122</v>
          </cell>
          <cell r="M35">
            <v>3869009</v>
          </cell>
          <cell r="O35">
            <v>2301113</v>
          </cell>
          <cell r="Q35">
            <v>1.53</v>
          </cell>
          <cell r="S35">
            <v>94608</v>
          </cell>
        </row>
        <row r="36">
          <cell r="K36">
            <v>3486136</v>
          </cell>
          <cell r="M36">
            <v>2017296</v>
          </cell>
          <cell r="O36">
            <v>1468840</v>
          </cell>
          <cell r="Q36">
            <v>3.19</v>
          </cell>
          <cell r="S36">
            <v>111341</v>
          </cell>
        </row>
        <row r="37">
          <cell r="K37">
            <v>140637</v>
          </cell>
          <cell r="M37">
            <v>128216</v>
          </cell>
          <cell r="O37">
            <v>12421</v>
          </cell>
          <cell r="Q37">
            <v>0.88</v>
          </cell>
          <cell r="S37">
            <v>1232</v>
          </cell>
        </row>
        <row r="38">
          <cell r="K38">
            <v>210011</v>
          </cell>
          <cell r="M38">
            <v>147017</v>
          </cell>
          <cell r="O38">
            <v>62994</v>
          </cell>
          <cell r="Q38">
            <v>2.5</v>
          </cell>
          <cell r="S38">
            <v>5258</v>
          </cell>
        </row>
        <row r="42">
          <cell r="K42">
            <v>3345151</v>
          </cell>
          <cell r="M42">
            <v>1331872</v>
          </cell>
          <cell r="O42">
            <v>2013279</v>
          </cell>
          <cell r="Q42">
            <v>1.29</v>
          </cell>
          <cell r="S42">
            <v>43109</v>
          </cell>
        </row>
        <row r="43">
          <cell r="K43">
            <v>5325825</v>
          </cell>
          <cell r="M43">
            <v>3175277</v>
          </cell>
          <cell r="O43">
            <v>2150548</v>
          </cell>
          <cell r="Q43">
            <v>1.55</v>
          </cell>
          <cell r="S43">
            <v>82425</v>
          </cell>
        </row>
        <row r="44">
          <cell r="K44">
            <v>666558235</v>
          </cell>
          <cell r="M44">
            <v>178973692</v>
          </cell>
          <cell r="O44">
            <v>487584543</v>
          </cell>
          <cell r="Q44">
            <v>1.55</v>
          </cell>
          <cell r="S44">
            <v>10298871</v>
          </cell>
        </row>
        <row r="45">
          <cell r="K45">
            <v>2120235</v>
          </cell>
          <cell r="M45">
            <v>1607538</v>
          </cell>
          <cell r="O45">
            <v>512697</v>
          </cell>
          <cell r="Q45">
            <v>4.38</v>
          </cell>
          <cell r="S45">
            <v>92836</v>
          </cell>
        </row>
        <row r="46">
          <cell r="K46">
            <v>1394503742</v>
          </cell>
          <cell r="M46">
            <v>272754820</v>
          </cell>
          <cell r="O46">
            <v>1121748922</v>
          </cell>
          <cell r="Q46">
            <v>1.65</v>
          </cell>
          <cell r="S46">
            <v>22959642</v>
          </cell>
        </row>
        <row r="47">
          <cell r="K47">
            <v>277777</v>
          </cell>
          <cell r="M47">
            <v>249701</v>
          </cell>
          <cell r="O47">
            <v>28076</v>
          </cell>
          <cell r="Q47">
            <v>0.98</v>
          </cell>
          <cell r="S47">
            <v>2728</v>
          </cell>
        </row>
        <row r="48">
          <cell r="K48">
            <v>135082679</v>
          </cell>
          <cell r="M48">
            <v>22757386</v>
          </cell>
          <cell r="O48">
            <v>112325293</v>
          </cell>
          <cell r="Q48">
            <v>3</v>
          </cell>
          <cell r="S48">
            <v>4049874</v>
          </cell>
        </row>
        <row r="49">
          <cell r="K49">
            <v>20526673</v>
          </cell>
          <cell r="M49">
            <v>7624620</v>
          </cell>
          <cell r="O49">
            <v>12902053</v>
          </cell>
          <cell r="Q49">
            <v>2.34</v>
          </cell>
          <cell r="S49">
            <v>479346</v>
          </cell>
        </row>
        <row r="50">
          <cell r="K50">
            <v>1210144530</v>
          </cell>
          <cell r="M50">
            <v>375032798</v>
          </cell>
          <cell r="O50">
            <v>835111732</v>
          </cell>
          <cell r="Q50">
            <v>2.4500000000000002</v>
          </cell>
          <cell r="S50">
            <v>29686611</v>
          </cell>
        </row>
        <row r="51">
          <cell r="K51">
            <v>135363595</v>
          </cell>
          <cell r="M51">
            <v>53567652</v>
          </cell>
          <cell r="O51">
            <v>81795943</v>
          </cell>
          <cell r="Q51">
            <v>3.05</v>
          </cell>
          <cell r="S51">
            <v>4126059</v>
          </cell>
        </row>
        <row r="52">
          <cell r="K52">
            <v>24795395</v>
          </cell>
          <cell r="M52">
            <v>18587662</v>
          </cell>
          <cell r="O52">
            <v>6207733</v>
          </cell>
          <cell r="Q52">
            <v>3.47</v>
          </cell>
          <cell r="S52">
            <v>860676</v>
          </cell>
        </row>
        <row r="53">
          <cell r="K53">
            <v>103822867</v>
          </cell>
          <cell r="M53">
            <v>34632496</v>
          </cell>
          <cell r="O53">
            <v>69190371</v>
          </cell>
          <cell r="Q53">
            <v>2.4</v>
          </cell>
          <cell r="S53">
            <v>2491094</v>
          </cell>
        </row>
        <row r="54">
          <cell r="K54">
            <v>10031117</v>
          </cell>
          <cell r="M54">
            <v>5383231</v>
          </cell>
          <cell r="O54">
            <v>4647886</v>
          </cell>
          <cell r="Q54">
            <v>2.0699999999999998</v>
          </cell>
          <cell r="S54">
            <v>207150</v>
          </cell>
        </row>
        <row r="55">
          <cell r="K55">
            <v>20129279</v>
          </cell>
          <cell r="M55">
            <v>8538172</v>
          </cell>
          <cell r="O55">
            <v>11591107</v>
          </cell>
          <cell r="Q55">
            <v>2.11</v>
          </cell>
          <cell r="S55">
            <v>424135</v>
          </cell>
        </row>
        <row r="56">
          <cell r="K56">
            <v>35423963</v>
          </cell>
          <cell r="M56">
            <v>16561456</v>
          </cell>
          <cell r="O56">
            <v>18862507</v>
          </cell>
          <cell r="Q56">
            <v>2.02</v>
          </cell>
          <cell r="S56">
            <v>716158</v>
          </cell>
        </row>
        <row r="57">
          <cell r="K57">
            <v>337967</v>
          </cell>
          <cell r="M57">
            <v>162947</v>
          </cell>
          <cell r="O57">
            <v>175020</v>
          </cell>
          <cell r="Q57">
            <v>2.14</v>
          </cell>
          <cell r="S57">
            <v>7236</v>
          </cell>
        </row>
        <row r="58">
          <cell r="K58">
            <v>953218</v>
          </cell>
          <cell r="M58">
            <v>648053</v>
          </cell>
          <cell r="O58">
            <v>305165</v>
          </cell>
          <cell r="Q58">
            <v>1.6</v>
          </cell>
          <cell r="S58">
            <v>15260</v>
          </cell>
        </row>
        <row r="59">
          <cell r="K59">
            <v>24705</v>
          </cell>
          <cell r="M59">
            <v>24435</v>
          </cell>
          <cell r="O59">
            <v>270</v>
          </cell>
          <cell r="Q59">
            <v>0.32</v>
          </cell>
          <cell r="S59">
            <v>80</v>
          </cell>
        </row>
        <row r="60">
          <cell r="K60">
            <v>0</v>
          </cell>
          <cell r="M60">
            <v>2459</v>
          </cell>
          <cell r="O60">
            <v>-2459</v>
          </cell>
          <cell r="Q60">
            <v>0</v>
          </cell>
          <cell r="S60">
            <v>0</v>
          </cell>
        </row>
        <row r="61">
          <cell r="K61">
            <v>4694731</v>
          </cell>
          <cell r="M61">
            <v>2822326</v>
          </cell>
          <cell r="O61">
            <v>1872405</v>
          </cell>
          <cell r="Q61">
            <v>2.12</v>
          </cell>
          <cell r="S61">
            <v>99344</v>
          </cell>
        </row>
        <row r="62">
          <cell r="K62">
            <v>1490664</v>
          </cell>
          <cell r="M62">
            <v>1464426</v>
          </cell>
          <cell r="O62">
            <v>26238</v>
          </cell>
          <cell r="Q62">
            <v>0.3</v>
          </cell>
          <cell r="S62">
            <v>4400</v>
          </cell>
        </row>
        <row r="67">
          <cell r="K67">
            <v>3556541.5</v>
          </cell>
          <cell r="M67">
            <v>2516057</v>
          </cell>
          <cell r="O67">
            <v>1040485</v>
          </cell>
          <cell r="Q67">
            <v>6.26</v>
          </cell>
          <cell r="S67">
            <v>222804</v>
          </cell>
        </row>
        <row r="68">
          <cell r="K68">
            <v>18712540.539999999</v>
          </cell>
          <cell r="M68">
            <v>9577162</v>
          </cell>
          <cell r="O68">
            <v>9135379</v>
          </cell>
          <cell r="Q68">
            <v>5.75</v>
          </cell>
          <cell r="S68">
            <v>1075259</v>
          </cell>
        </row>
        <row r="69">
          <cell r="K69">
            <v>9096962.3300000001</v>
          </cell>
          <cell r="M69">
            <v>5551943</v>
          </cell>
          <cell r="O69">
            <v>3545019</v>
          </cell>
          <cell r="Q69">
            <v>11.23</v>
          </cell>
          <cell r="S69">
            <v>1021795</v>
          </cell>
        </row>
        <row r="70">
          <cell r="K70">
            <v>2151509.29</v>
          </cell>
          <cell r="M70">
            <v>1629740</v>
          </cell>
          <cell r="O70">
            <v>521769</v>
          </cell>
          <cell r="Q70">
            <v>4.2699999999999996</v>
          </cell>
          <cell r="S70">
            <v>91866</v>
          </cell>
        </row>
        <row r="71">
          <cell r="K71">
            <v>5497469.79</v>
          </cell>
          <cell r="M71">
            <v>1340447</v>
          </cell>
          <cell r="O71">
            <v>4157023</v>
          </cell>
          <cell r="Q71">
            <v>2.37</v>
          </cell>
          <cell r="S71">
            <v>130428</v>
          </cell>
        </row>
        <row r="72">
          <cell r="K72">
            <v>31976605.030000001</v>
          </cell>
          <cell r="M72">
            <v>1190936</v>
          </cell>
          <cell r="O72">
            <v>30785669</v>
          </cell>
          <cell r="Q72">
            <v>2.72</v>
          </cell>
          <cell r="S72">
            <v>868194</v>
          </cell>
        </row>
        <row r="73">
          <cell r="K73">
            <v>12217714.17</v>
          </cell>
          <cell r="M73">
            <v>5575600</v>
          </cell>
          <cell r="O73">
            <v>6642114</v>
          </cell>
          <cell r="Q73">
            <v>2.3199999999999998</v>
          </cell>
          <cell r="S73">
            <v>283267</v>
          </cell>
        </row>
        <row r="74">
          <cell r="K74">
            <v>2406013.35</v>
          </cell>
          <cell r="M74">
            <v>2241867</v>
          </cell>
          <cell r="O74">
            <v>164146</v>
          </cell>
          <cell r="Q74">
            <v>6.82</v>
          </cell>
          <cell r="S74">
            <v>164147</v>
          </cell>
        </row>
        <row r="75">
          <cell r="K75">
            <v>5799151.6900000004</v>
          </cell>
          <cell r="M75">
            <v>1940128</v>
          </cell>
          <cell r="O75">
            <v>3859024</v>
          </cell>
          <cell r="Q75">
            <v>2.46</v>
          </cell>
          <cell r="S75">
            <v>142485</v>
          </cell>
        </row>
        <row r="76">
          <cell r="K76">
            <v>1458709.16</v>
          </cell>
          <cell r="M76">
            <v>366304</v>
          </cell>
          <cell r="O76">
            <v>1092405</v>
          </cell>
          <cell r="Q76">
            <v>2.36</v>
          </cell>
          <cell r="S76">
            <v>34432</v>
          </cell>
        </row>
        <row r="77">
          <cell r="K77">
            <v>1061058.1399999999</v>
          </cell>
          <cell r="M77">
            <v>375971</v>
          </cell>
          <cell r="O77">
            <v>685087</v>
          </cell>
          <cell r="Q77">
            <v>5.79</v>
          </cell>
          <cell r="S77">
            <v>61468</v>
          </cell>
        </row>
        <row r="78">
          <cell r="K78">
            <v>2399274.35</v>
          </cell>
          <cell r="M78">
            <v>904371</v>
          </cell>
          <cell r="O78">
            <v>1494903</v>
          </cell>
          <cell r="Q78">
            <v>3.37</v>
          </cell>
          <cell r="S78">
            <v>80839</v>
          </cell>
        </row>
        <row r="79">
          <cell r="K79">
            <v>1451325.04</v>
          </cell>
          <cell r="M79">
            <v>414804</v>
          </cell>
          <cell r="O79">
            <v>1036521</v>
          </cell>
          <cell r="Q79">
            <v>3.02</v>
          </cell>
          <cell r="S79">
            <v>43784</v>
          </cell>
        </row>
        <row r="80">
          <cell r="K80">
            <v>21185793.629999999</v>
          </cell>
          <cell r="M80">
            <v>5709283</v>
          </cell>
          <cell r="O80">
            <v>15476511</v>
          </cell>
          <cell r="Q80">
            <v>2.97</v>
          </cell>
          <cell r="S80">
            <v>629664</v>
          </cell>
        </row>
        <row r="83">
          <cell r="K83">
            <v>23466</v>
          </cell>
          <cell r="M83">
            <v>23466</v>
          </cell>
          <cell r="O83">
            <v>0</v>
          </cell>
          <cell r="Q83">
            <v>0</v>
          </cell>
          <cell r="S83">
            <v>0</v>
          </cell>
        </row>
        <row r="84">
          <cell r="K84">
            <v>61661</v>
          </cell>
          <cell r="M84">
            <v>61661</v>
          </cell>
          <cell r="O84">
            <v>0</v>
          </cell>
          <cell r="Q84">
            <v>0</v>
          </cell>
          <cell r="S84">
            <v>0</v>
          </cell>
        </row>
        <row r="86">
          <cell r="K86">
            <v>9368117</v>
          </cell>
          <cell r="M86">
            <v>1891024</v>
          </cell>
          <cell r="O86">
            <v>7477093</v>
          </cell>
          <cell r="Q86">
            <v>4.96</v>
          </cell>
          <cell r="S86">
            <v>464597</v>
          </cell>
        </row>
        <row r="87">
          <cell r="K87">
            <v>381972</v>
          </cell>
          <cell r="M87">
            <v>150664</v>
          </cell>
          <cell r="O87">
            <v>231308</v>
          </cell>
          <cell r="Q87">
            <v>9.2100000000000009</v>
          </cell>
          <cell r="S87">
            <v>35184</v>
          </cell>
        </row>
        <row r="88">
          <cell r="K88">
            <v>941444</v>
          </cell>
          <cell r="M88">
            <v>699201</v>
          </cell>
          <cell r="O88">
            <v>242243</v>
          </cell>
          <cell r="Q88">
            <v>15.12</v>
          </cell>
          <cell r="S88">
            <v>142305</v>
          </cell>
        </row>
        <row r="89">
          <cell r="K89">
            <v>2794893</v>
          </cell>
          <cell r="M89">
            <v>791523</v>
          </cell>
          <cell r="O89">
            <v>2003370</v>
          </cell>
          <cell r="Q89">
            <v>14.1</v>
          </cell>
          <cell r="S89">
            <v>394153</v>
          </cell>
        </row>
        <row r="90">
          <cell r="K90">
            <v>11471719</v>
          </cell>
          <cell r="M90">
            <v>3185999</v>
          </cell>
          <cell r="O90">
            <v>8285720</v>
          </cell>
          <cell r="Q90">
            <v>11.35</v>
          </cell>
          <cell r="S90">
            <v>1301842</v>
          </cell>
        </row>
        <row r="91">
          <cell r="K91">
            <v>9927448</v>
          </cell>
          <cell r="M91">
            <v>1277563</v>
          </cell>
          <cell r="O91">
            <v>8649885</v>
          </cell>
          <cell r="Q91">
            <v>9.49</v>
          </cell>
          <cell r="S91">
            <v>942535</v>
          </cell>
        </row>
        <row r="92">
          <cell r="K92">
            <v>4738700</v>
          </cell>
          <cell r="M92">
            <v>1088599</v>
          </cell>
          <cell r="O92">
            <v>3650101</v>
          </cell>
          <cell r="Q92">
            <v>9</v>
          </cell>
          <cell r="S92">
            <v>426717</v>
          </cell>
        </row>
        <row r="93">
          <cell r="K93">
            <v>1220000</v>
          </cell>
          <cell r="M93">
            <v>492049</v>
          </cell>
          <cell r="O93">
            <v>727951</v>
          </cell>
          <cell r="Q93">
            <v>6.74</v>
          </cell>
          <cell r="S93">
            <v>82230</v>
          </cell>
        </row>
        <row r="94">
          <cell r="K94">
            <v>2311284</v>
          </cell>
          <cell r="M94">
            <v>1501131</v>
          </cell>
          <cell r="O94">
            <v>810153</v>
          </cell>
          <cell r="S94">
            <v>1592799</v>
          </cell>
        </row>
        <row r="95">
          <cell r="K95">
            <v>17606</v>
          </cell>
          <cell r="M95">
            <v>5346</v>
          </cell>
          <cell r="O95">
            <v>12260</v>
          </cell>
          <cell r="Q95">
            <v>5.03</v>
          </cell>
          <cell r="S95">
            <v>885</v>
          </cell>
        </row>
        <row r="96">
          <cell r="K96">
            <v>33238792</v>
          </cell>
          <cell r="M96">
            <v>11502644</v>
          </cell>
          <cell r="O96">
            <v>21736148</v>
          </cell>
          <cell r="Q96">
            <v>5.4</v>
          </cell>
          <cell r="S96">
            <v>1793913</v>
          </cell>
        </row>
        <row r="97">
          <cell r="K97">
            <v>437779</v>
          </cell>
          <cell r="M97">
            <v>90041</v>
          </cell>
          <cell r="O97">
            <v>347738</v>
          </cell>
          <cell r="Q97">
            <v>5.05</v>
          </cell>
          <cell r="S97">
            <v>22099</v>
          </cell>
        </row>
        <row r="98">
          <cell r="K98">
            <v>6616454</v>
          </cell>
          <cell r="M98">
            <v>1607992</v>
          </cell>
          <cell r="O98">
            <v>5008462</v>
          </cell>
          <cell r="Q98">
            <v>7.98</v>
          </cell>
          <cell r="S98">
            <v>527732</v>
          </cell>
        </row>
        <row r="99">
          <cell r="K99">
            <v>908753</v>
          </cell>
          <cell r="M99">
            <v>374065</v>
          </cell>
          <cell r="O99">
            <v>534688</v>
          </cell>
          <cell r="Q99">
            <v>11.24</v>
          </cell>
          <cell r="S99">
            <v>102110</v>
          </cell>
        </row>
        <row r="100">
          <cell r="K100">
            <v>9639006</v>
          </cell>
          <cell r="M100">
            <v>1813601</v>
          </cell>
          <cell r="O100">
            <v>7825405</v>
          </cell>
          <cell r="Q100">
            <v>6.54</v>
          </cell>
          <cell r="S100">
            <v>630032</v>
          </cell>
        </row>
        <row r="106">
          <cell r="K106">
            <v>166477</v>
          </cell>
        </row>
        <row r="107">
          <cell r="K107">
            <v>193597</v>
          </cell>
        </row>
        <row r="108">
          <cell r="K108">
            <v>289868</v>
          </cell>
        </row>
        <row r="109">
          <cell r="K109">
            <v>375198</v>
          </cell>
        </row>
        <row r="110">
          <cell r="K110">
            <v>6454</v>
          </cell>
        </row>
        <row r="111">
          <cell r="K111">
            <v>13029</v>
          </cell>
        </row>
        <row r="112">
          <cell r="K112">
            <v>1134</v>
          </cell>
        </row>
        <row r="113">
          <cell r="K113">
            <v>47323</v>
          </cell>
        </row>
        <row r="114">
          <cell r="K114">
            <v>849347</v>
          </cell>
        </row>
        <row r="115">
          <cell r="K115">
            <v>7094605</v>
          </cell>
        </row>
        <row r="116">
          <cell r="K116">
            <v>3273828</v>
          </cell>
        </row>
        <row r="117">
          <cell r="K117">
            <v>1313</v>
          </cell>
        </row>
        <row r="125">
          <cell r="K125">
            <v>138964</v>
          </cell>
        </row>
        <row r="126">
          <cell r="K126">
            <v>6947108</v>
          </cell>
        </row>
        <row r="127">
          <cell r="K127">
            <v>29899361</v>
          </cell>
          <cell r="M127">
            <v>2551321</v>
          </cell>
          <cell r="O127">
            <v>27348040</v>
          </cell>
          <cell r="Q127">
            <v>2.9</v>
          </cell>
          <cell r="S127">
            <v>868169</v>
          </cell>
        </row>
        <row r="128">
          <cell r="K128">
            <v>1056425</v>
          </cell>
          <cell r="M128">
            <v>423817</v>
          </cell>
          <cell r="O128">
            <v>632608</v>
          </cell>
          <cell r="Q128">
            <v>6.2</v>
          </cell>
          <cell r="S128">
            <v>65535</v>
          </cell>
        </row>
        <row r="129">
          <cell r="K129">
            <v>139971</v>
          </cell>
          <cell r="M129">
            <v>122703</v>
          </cell>
          <cell r="O129">
            <v>17268</v>
          </cell>
          <cell r="Q129">
            <v>8.2200000000000006</v>
          </cell>
          <cell r="S129">
            <v>11512</v>
          </cell>
        </row>
        <row r="130">
          <cell r="K130">
            <v>71637</v>
          </cell>
          <cell r="M130">
            <v>70952</v>
          </cell>
          <cell r="O130">
            <v>685</v>
          </cell>
          <cell r="Q130">
            <v>0.49</v>
          </cell>
          <cell r="S130">
            <v>351</v>
          </cell>
        </row>
        <row r="136">
          <cell r="K136">
            <v>36837</v>
          </cell>
          <cell r="M136">
            <v>33590</v>
          </cell>
          <cell r="O136">
            <v>3247</v>
          </cell>
          <cell r="Q136">
            <v>4.88</v>
          </cell>
          <cell r="S136">
            <v>1796</v>
          </cell>
        </row>
        <row r="137">
          <cell r="K137">
            <v>17035480</v>
          </cell>
          <cell r="M137">
            <v>10967724</v>
          </cell>
          <cell r="O137">
            <v>6067756</v>
          </cell>
          <cell r="Q137">
            <v>19.05</v>
          </cell>
          <cell r="S137">
            <v>3244980</v>
          </cell>
        </row>
        <row r="138">
          <cell r="K138">
            <v>2803866</v>
          </cell>
          <cell r="M138">
            <v>0</v>
          </cell>
          <cell r="O138">
            <v>2803866</v>
          </cell>
          <cell r="Q138">
            <v>25</v>
          </cell>
          <cell r="S138">
            <v>700966</v>
          </cell>
        </row>
        <row r="139">
          <cell r="K139">
            <v>48271125</v>
          </cell>
          <cell r="M139">
            <v>10856600</v>
          </cell>
          <cell r="O139">
            <v>37414525</v>
          </cell>
          <cell r="Q139">
            <v>9.89</v>
          </cell>
          <cell r="S139">
            <v>4774407</v>
          </cell>
        </row>
        <row r="140">
          <cell r="K140">
            <v>188415910</v>
          </cell>
          <cell r="M140">
            <v>39102010</v>
          </cell>
          <cell r="O140">
            <v>149313900</v>
          </cell>
          <cell r="Q140">
            <v>6.88</v>
          </cell>
          <cell r="S140">
            <v>12969290</v>
          </cell>
        </row>
        <row r="146">
          <cell r="K146">
            <v>2060918</v>
          </cell>
          <cell r="M146">
            <v>1452050</v>
          </cell>
          <cell r="O146">
            <v>608868</v>
          </cell>
          <cell r="S146">
            <v>71221</v>
          </cell>
        </row>
        <row r="151">
          <cell r="K151">
            <v>14623727.52</v>
          </cell>
          <cell r="M151">
            <v>7817467</v>
          </cell>
          <cell r="O151">
            <v>6806261</v>
          </cell>
          <cell r="S151">
            <v>447414</v>
          </cell>
        </row>
        <row r="159">
          <cell r="S159">
            <v>7851440</v>
          </cell>
        </row>
        <row r="161">
          <cell r="S161">
            <v>119677327</v>
          </cell>
        </row>
        <row r="170">
          <cell r="O170">
            <v>3164180903.4696002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5">
          <cell r="Z15">
            <v>14823</v>
          </cell>
        </row>
        <row r="16">
          <cell r="Z16">
            <v>0</v>
          </cell>
        </row>
        <row r="17">
          <cell r="Z17">
            <v>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9">
          <cell r="Z29">
            <v>15970</v>
          </cell>
        </row>
        <row r="33">
          <cell r="Z33">
            <v>0</v>
          </cell>
        </row>
        <row r="34">
          <cell r="Z34">
            <v>0</v>
          </cell>
        </row>
        <row r="35">
          <cell r="Z35">
            <v>0</v>
          </cell>
        </row>
        <row r="36">
          <cell r="Z36">
            <v>256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3">
          <cell r="Z43">
            <v>0</v>
          </cell>
        </row>
        <row r="44">
          <cell r="Z44">
            <v>7019</v>
          </cell>
        </row>
        <row r="45">
          <cell r="Z45">
            <v>777424</v>
          </cell>
        </row>
        <row r="46">
          <cell r="Z46">
            <v>248182</v>
          </cell>
        </row>
        <row r="47">
          <cell r="Z47">
            <v>302529</v>
          </cell>
        </row>
        <row r="48">
          <cell r="Z48">
            <v>0</v>
          </cell>
        </row>
        <row r="49">
          <cell r="Z49">
            <v>313879</v>
          </cell>
        </row>
        <row r="50">
          <cell r="Z50">
            <v>0</v>
          </cell>
        </row>
        <row r="51">
          <cell r="Z51">
            <v>4828008</v>
          </cell>
        </row>
        <row r="52">
          <cell r="Z52">
            <v>1664</v>
          </cell>
        </row>
        <row r="53">
          <cell r="Z53">
            <v>0</v>
          </cell>
        </row>
        <row r="54">
          <cell r="Z54">
            <v>281935</v>
          </cell>
        </row>
        <row r="55">
          <cell r="Z55">
            <v>966514</v>
          </cell>
        </row>
        <row r="56">
          <cell r="Z56">
            <v>32893</v>
          </cell>
        </row>
        <row r="57">
          <cell r="Z57">
            <v>8243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Z61">
            <v>0</v>
          </cell>
        </row>
        <row r="62">
          <cell r="Z62">
            <v>1510</v>
          </cell>
        </row>
        <row r="63">
          <cell r="Z63">
            <v>0</v>
          </cell>
        </row>
        <row r="67">
          <cell r="Z67">
            <v>67320</v>
          </cell>
        </row>
        <row r="68">
          <cell r="Z68">
            <v>0</v>
          </cell>
        </row>
        <row r="69">
          <cell r="Z69">
            <v>0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0</v>
          </cell>
        </row>
        <row r="73">
          <cell r="Z73">
            <v>-804</v>
          </cell>
        </row>
        <row r="74">
          <cell r="Z74">
            <v>-10707</v>
          </cell>
        </row>
        <row r="75">
          <cell r="Z75">
            <v>-6261</v>
          </cell>
        </row>
        <row r="76">
          <cell r="Z76">
            <v>-3841</v>
          </cell>
        </row>
        <row r="77">
          <cell r="Z77">
            <v>-548</v>
          </cell>
        </row>
        <row r="78">
          <cell r="Z78">
            <v>0</v>
          </cell>
        </row>
        <row r="79">
          <cell r="Z79">
            <v>0</v>
          </cell>
        </row>
        <row r="80">
          <cell r="Z80">
            <v>0</v>
          </cell>
        </row>
        <row r="81">
          <cell r="Z81">
            <v>-533</v>
          </cell>
        </row>
        <row r="82">
          <cell r="Z82">
            <v>0</v>
          </cell>
        </row>
        <row r="83">
          <cell r="Z83">
            <v>5965</v>
          </cell>
        </row>
        <row r="91">
          <cell r="Z91">
            <v>0</v>
          </cell>
        </row>
        <row r="92">
          <cell r="Z92">
            <v>0</v>
          </cell>
        </row>
        <row r="93">
          <cell r="Z93">
            <v>0</v>
          </cell>
        </row>
        <row r="94">
          <cell r="Z94">
            <v>0</v>
          </cell>
        </row>
        <row r="99">
          <cell r="Z99">
            <v>0</v>
          </cell>
        </row>
        <row r="100">
          <cell r="Z100">
            <v>0</v>
          </cell>
        </row>
        <row r="101">
          <cell r="Z101">
            <v>0</v>
          </cell>
        </row>
        <row r="102">
          <cell r="Z102">
            <v>0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Y"/>
      <sheetName val="Future Activity"/>
    </sheetNames>
    <sheetDataSet>
      <sheetData sheetId="0">
        <row r="25">
          <cell r="E25">
            <v>60357983.25</v>
          </cell>
        </row>
        <row r="26">
          <cell r="E26">
            <v>2057583.2</v>
          </cell>
        </row>
        <row r="27">
          <cell r="E27">
            <v>129717.35</v>
          </cell>
        </row>
        <row r="28">
          <cell r="E28">
            <v>5854681.5700000003</v>
          </cell>
        </row>
        <row r="29">
          <cell r="E29">
            <v>2873369.12</v>
          </cell>
        </row>
        <row r="30">
          <cell r="E30">
            <v>894153.41</v>
          </cell>
        </row>
        <row r="31">
          <cell r="E31">
            <v>53776.61</v>
          </cell>
        </row>
        <row r="32">
          <cell r="E32">
            <v>903370.78</v>
          </cell>
        </row>
        <row r="33">
          <cell r="E33">
            <v>3008282.72</v>
          </cell>
        </row>
        <row r="34">
          <cell r="E34">
            <v>30210.170000000002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y Project"/>
    </sheetNames>
    <sheetDataSet>
      <sheetData sheetId="0">
        <row r="24">
          <cell r="G24">
            <v>0.51930774783188038</v>
          </cell>
        </row>
        <row r="25">
          <cell r="G25">
            <v>0.48069225216811967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Attachment"/>
      <sheetName val="Attachment Support"/>
      <sheetName val="Diameters"/>
      <sheetName val="GAS Mains 367 &amp; 376"/>
      <sheetName val="All Companies Asset List"/>
      <sheetName val="ASSET 1200 Additions - Oct19"/>
      <sheetName val="Macro1"/>
    </sheetNames>
    <sheetDataSet>
      <sheetData sheetId="0">
        <row r="87">
          <cell r="K87">
            <v>0.64480000000000004</v>
          </cell>
        </row>
        <row r="95">
          <cell r="K95">
            <v>0.35520000000000002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ummary"/>
      <sheetName val="Rate R - PR"/>
      <sheetName val="Rate NCH - PR"/>
      <sheetName val="Rate Ind - PR"/>
      <sheetName val="Migration"/>
      <sheetName val="Budget Summary"/>
      <sheetName val="Adj Budget"/>
      <sheetName val="LGVOL - Bud to Kristin"/>
      <sheetName val="Summary - by Component"/>
      <sheetName val="Summary - Total Rev (Excl PGC)"/>
      <sheetName val="Summary - Total Rev"/>
      <sheetName val="Rate R"/>
      <sheetName val="Rate N"/>
      <sheetName val="Rate DS"/>
      <sheetName val="Rate LFD"/>
      <sheetName val="Rate XD"/>
      <sheetName val="Rate IS"/>
      <sheetName val="MFC Calc"/>
      <sheetName val="GL Distribution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598337</v>
          </cell>
          <cell r="C7">
            <v>50532744.923141882</v>
          </cell>
          <cell r="D7">
            <v>327136118.65344608</v>
          </cell>
          <cell r="F7">
            <v>388362568.62332052</v>
          </cell>
        </row>
        <row r="8">
          <cell r="B8">
            <v>69452</v>
          </cell>
          <cell r="C8">
            <v>31127993.101318076</v>
          </cell>
          <cell r="D8">
            <v>129248644.65573682</v>
          </cell>
          <cell r="F8">
            <v>141876205.84222966</v>
          </cell>
          <cell r="M8">
            <v>694174.08953326789</v>
          </cell>
          <cell r="N8">
            <v>663321.90777623386</v>
          </cell>
        </row>
        <row r="9">
          <cell r="B9">
            <v>1510</v>
          </cell>
          <cell r="C9">
            <v>10402429.94907777</v>
          </cell>
          <cell r="D9">
            <v>33898606.799392045</v>
          </cell>
          <cell r="F9">
            <v>34595077.278633557</v>
          </cell>
          <cell r="M9">
            <v>432867.91046673193</v>
          </cell>
          <cell r="N9">
            <v>413629.33666821051</v>
          </cell>
        </row>
        <row r="10">
          <cell r="B10">
            <v>508</v>
          </cell>
          <cell r="C10">
            <v>22225308.642074179</v>
          </cell>
          <cell r="D10">
            <v>38351108.576806046</v>
          </cell>
          <cell r="F10">
            <v>38351108.576806046</v>
          </cell>
          <cell r="M10">
            <v>117220</v>
          </cell>
          <cell r="N10">
            <v>111672</v>
          </cell>
        </row>
        <row r="11">
          <cell r="B11">
            <v>54</v>
          </cell>
          <cell r="C11">
            <v>165597260</v>
          </cell>
          <cell r="D11">
            <v>29856105</v>
          </cell>
          <cell r="F11">
            <v>29856105</v>
          </cell>
          <cell r="M11">
            <v>110269</v>
          </cell>
          <cell r="N11">
            <v>105160</v>
          </cell>
        </row>
        <row r="12">
          <cell r="B12">
            <v>374</v>
          </cell>
          <cell r="C12">
            <v>55674914.344801515</v>
          </cell>
          <cell r="D12">
            <v>23442353</v>
          </cell>
          <cell r="F12">
            <v>23442353</v>
          </cell>
          <cell r="M12">
            <v>664308</v>
          </cell>
          <cell r="N12">
            <v>643062</v>
          </cell>
        </row>
      </sheetData>
      <sheetData sheetId="10"/>
      <sheetData sheetId="11">
        <row r="12">
          <cell r="E12">
            <v>43838425.411517061</v>
          </cell>
        </row>
        <row r="14">
          <cell r="M14">
            <v>4452150.2604751699</v>
          </cell>
        </row>
        <row r="17">
          <cell r="M17">
            <v>11344601.235245353</v>
          </cell>
        </row>
      </sheetData>
      <sheetData sheetId="12">
        <row r="28">
          <cell r="E28">
            <v>17711843.576354589</v>
          </cell>
        </row>
        <row r="30">
          <cell r="M30">
            <v>232100.9575407519</v>
          </cell>
        </row>
        <row r="34">
          <cell r="M34">
            <v>1322939.7068060183</v>
          </cell>
        </row>
      </sheetData>
      <sheetData sheetId="13">
        <row r="29">
          <cell r="M29">
            <v>4160.9719796311083</v>
          </cell>
        </row>
      </sheetData>
      <sheetData sheetId="14">
        <row r="29">
          <cell r="E29">
            <v>1261920</v>
          </cell>
        </row>
        <row r="38">
          <cell r="M38">
            <v>228920.67901336405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XD"/>
      <sheetName val="Sheet1"/>
      <sheetName val="Customer 55"/>
      <sheetName val="Email"/>
    </sheetNames>
    <sheetDataSet>
      <sheetData sheetId="0">
        <row r="62">
          <cell r="F62">
            <v>120193984.24282543</v>
          </cell>
        </row>
        <row r="64">
          <cell r="F64">
            <v>552093.36200375622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Oracle"/>
      <sheetName val="PowerPlan"/>
      <sheetName val="Q4 - Meter Shop"/>
      <sheetName val="Business Technical Master Data"/>
      <sheetName val="Worksheet"/>
      <sheetName val="SDR-COS-7"/>
      <sheetName val="Oracle (2)"/>
      <sheetName val="PowerPlan (2)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1">
          <cell r="B41">
            <v>66676073.87429411</v>
          </cell>
          <cell r="C41">
            <v>65444586.815375187</v>
          </cell>
          <cell r="D41">
            <v>10033144.207410725</v>
          </cell>
          <cell r="E41">
            <v>6241298.5960345007</v>
          </cell>
          <cell r="F41">
            <v>3559397.6345948814</v>
          </cell>
          <cell r="G41">
            <v>1231689.0222907162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56C6E-E586-4A42-BF6C-EB77F1BBC46D}">
  <dimension ref="A2:H8"/>
  <sheetViews>
    <sheetView workbookViewId="0">
      <selection activeCell="H11" sqref="H11"/>
    </sheetView>
  </sheetViews>
  <sheetFormatPr defaultRowHeight="15"/>
  <cols>
    <col min="1" max="1" width="18.44140625" bestFit="1" customWidth="1"/>
    <col min="2" max="2" width="13.5546875" bestFit="1" customWidth="1"/>
    <col min="3" max="6" width="13.5546875" customWidth="1"/>
    <col min="7" max="7" width="13.5546875" bestFit="1" customWidth="1"/>
    <col min="8" max="8" width="14.109375" bestFit="1" customWidth="1"/>
  </cols>
  <sheetData>
    <row r="2" spans="1:8">
      <c r="E2" s="29" t="s">
        <v>841</v>
      </c>
    </row>
    <row r="3" spans="1:8">
      <c r="B3" s="206" t="s">
        <v>810</v>
      </c>
      <c r="C3" s="206" t="s">
        <v>833</v>
      </c>
      <c r="D3" s="206"/>
      <c r="E3" s="206" t="s">
        <v>842</v>
      </c>
      <c r="F3" s="206" t="s">
        <v>843</v>
      </c>
      <c r="G3" s="206" t="s">
        <v>811</v>
      </c>
      <c r="H3" s="206" t="s">
        <v>812</v>
      </c>
    </row>
    <row r="4" spans="1:8">
      <c r="A4" t="s">
        <v>813</v>
      </c>
      <c r="B4" s="28">
        <f>Alloc!I152</f>
        <v>281114521.82910275</v>
      </c>
      <c r="C4" s="28"/>
      <c r="D4" s="28"/>
      <c r="E4" s="28"/>
      <c r="F4" s="28"/>
      <c r="G4" s="913">
        <f>'[2]D-1'!$N$33*1000</f>
        <v>281114520.84320664</v>
      </c>
      <c r="H4" s="28">
        <f>G4-B4</f>
        <v>-0.98589611053466797</v>
      </c>
    </row>
    <row r="5" spans="1:8">
      <c r="A5" t="s">
        <v>154</v>
      </c>
      <c r="B5" s="28">
        <f>Alloc!I232-Alloc!I228</f>
        <v>119677327.33580001</v>
      </c>
      <c r="C5" s="28">
        <f>+'[3]Table 1 Total'!$S$161</f>
        <v>119677327</v>
      </c>
      <c r="D5" s="28">
        <f>+C5-B5</f>
        <v>-0.33580000698566437</v>
      </c>
      <c r="E5" s="28">
        <f>+Alloc!I228</f>
        <v>-7166000</v>
      </c>
      <c r="F5" s="28">
        <f>+B5+E5</f>
        <v>112511327.33580001</v>
      </c>
      <c r="G5" s="913">
        <f>'[2]D-1'!$K$32*1000</f>
        <v>112511000</v>
      </c>
      <c r="H5" s="28">
        <f>G5-F5</f>
        <v>-327.33580000698566</v>
      </c>
    </row>
    <row r="6" spans="1:8">
      <c r="A6" t="s">
        <v>814</v>
      </c>
      <c r="B6" s="28">
        <f>Alloc!I359</f>
        <v>3164180899.4832749</v>
      </c>
      <c r="C6" s="28">
        <f>+'[3]Table 1 Total'!$O$170</f>
        <v>3164180903.4696002</v>
      </c>
      <c r="D6" s="28">
        <f>+C6-B6</f>
        <v>3.9863252639770508</v>
      </c>
      <c r="E6" s="28"/>
      <c r="F6" s="28"/>
      <c r="G6" s="913">
        <f>'[2]C-1'!$M$18*1000</f>
        <v>3164181000</v>
      </c>
      <c r="H6" s="28">
        <f>G6-B6</f>
        <v>100.51672506332397</v>
      </c>
    </row>
    <row r="8" spans="1:8">
      <c r="A8" t="s">
        <v>815</v>
      </c>
      <c r="B8" s="913">
        <f>Alloc!I371</f>
        <v>2616718899.4832749</v>
      </c>
      <c r="C8" s="913"/>
      <c r="D8" s="913"/>
      <c r="E8" s="913"/>
      <c r="F8" s="913"/>
      <c r="G8" s="913">
        <f>'[2]C-1'!$M$31*1000</f>
        <v>2616719000</v>
      </c>
      <c r="H8" s="28">
        <f>G8-B8</f>
        <v>100.51672506332397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P181"/>
  <sheetViews>
    <sheetView workbookViewId="0">
      <selection sqref="A1:J1"/>
    </sheetView>
  </sheetViews>
  <sheetFormatPr defaultColWidth="9.6640625" defaultRowHeight="15"/>
  <cols>
    <col min="1" max="1" width="15.6640625" style="1" customWidth="1"/>
    <col min="2" max="2" width="2.6640625" style="1" customWidth="1"/>
    <col min="3" max="3" width="7.6640625" style="1" customWidth="1"/>
    <col min="4" max="4" width="2.6640625" style="1" customWidth="1"/>
    <col min="5" max="5" width="9.6640625" style="1" customWidth="1"/>
    <col min="6" max="6" width="3.5546875" style="1" customWidth="1"/>
    <col min="7" max="7" width="9.6640625" style="1" customWidth="1"/>
    <col min="8" max="8" width="4.109375" style="1" customWidth="1"/>
    <col min="9" max="9" width="9.6640625" style="1" customWidth="1"/>
    <col min="10" max="10" width="1.33203125" style="1" customWidth="1"/>
    <col min="11" max="16384" width="9.6640625" style="1"/>
  </cols>
  <sheetData>
    <row r="1" spans="1:16">
      <c r="A1" s="1091" t="s">
        <v>826</v>
      </c>
      <c r="B1" s="1091"/>
      <c r="C1" s="1091"/>
      <c r="D1" s="1091"/>
      <c r="E1" s="1091"/>
      <c r="F1" s="1091"/>
      <c r="G1" s="1091"/>
      <c r="H1" s="1091"/>
      <c r="I1" s="1091"/>
      <c r="J1" s="1091"/>
    </row>
    <row r="2" spans="1:16">
      <c r="P2" s="11" t="s">
        <v>835</v>
      </c>
    </row>
    <row r="3" spans="1:16">
      <c r="A3" s="1089" t="s">
        <v>167</v>
      </c>
      <c r="B3" s="1089"/>
      <c r="C3" s="1089"/>
      <c r="D3" s="1089"/>
      <c r="E3" s="1089"/>
      <c r="F3" s="1089"/>
      <c r="G3" s="1089"/>
      <c r="H3" s="1089"/>
      <c r="I3" s="1089"/>
      <c r="J3" s="1089"/>
    </row>
    <row r="4" spans="1:16">
      <c r="A4" s="98"/>
    </row>
    <row r="5" spans="1:16" ht="6.6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6">
      <c r="A6" s="353" t="s">
        <v>787</v>
      </c>
      <c r="B6" s="22"/>
      <c r="C6" s="22"/>
      <c r="D6" s="22"/>
      <c r="E6" s="22"/>
      <c r="F6" s="22"/>
      <c r="G6" s="22"/>
      <c r="H6" s="19"/>
      <c r="I6" s="19"/>
      <c r="J6" s="19"/>
    </row>
    <row r="7" spans="1:16">
      <c r="A7" s="353" t="s">
        <v>788</v>
      </c>
      <c r="B7" s="22"/>
      <c r="C7" s="22"/>
      <c r="D7" s="22"/>
      <c r="E7" s="22"/>
      <c r="F7" s="22"/>
      <c r="G7" s="22"/>
    </row>
    <row r="8" spans="1:16">
      <c r="A8" s="22"/>
      <c r="B8" s="22"/>
      <c r="C8" s="22"/>
      <c r="D8" s="22"/>
      <c r="E8" s="22"/>
      <c r="F8" s="22"/>
      <c r="G8" s="22"/>
    </row>
    <row r="9" spans="1:16">
      <c r="A9" s="306" t="s">
        <v>442</v>
      </c>
      <c r="B9" s="306"/>
      <c r="C9" s="306"/>
      <c r="D9" s="306"/>
      <c r="E9" s="306"/>
      <c r="F9" s="306"/>
      <c r="G9" s="306"/>
      <c r="H9" s="306"/>
      <c r="I9" s="306"/>
    </row>
    <row r="10" spans="1:16">
      <c r="A10" s="306"/>
      <c r="B10" s="306"/>
      <c r="C10" s="306"/>
      <c r="D10" s="306"/>
      <c r="E10" s="306"/>
      <c r="F10" s="306"/>
      <c r="G10" s="306"/>
      <c r="H10" s="306"/>
      <c r="I10" s="306"/>
    </row>
    <row r="11" spans="1:16">
      <c r="A11" s="305" t="s">
        <v>168</v>
      </c>
      <c r="B11" s="306"/>
      <c r="C11" s="765"/>
      <c r="D11" s="306"/>
      <c r="E11" s="313" t="s">
        <v>199</v>
      </c>
      <c r="F11" s="317"/>
      <c r="G11" s="334" t="s">
        <v>177</v>
      </c>
      <c r="H11" s="317"/>
      <c r="I11" s="334" t="s">
        <v>177</v>
      </c>
    </row>
    <row r="12" spans="1:16">
      <c r="A12" s="305" t="s">
        <v>169</v>
      </c>
      <c r="B12" s="306"/>
      <c r="C12" s="306"/>
      <c r="D12" s="306"/>
      <c r="E12" s="765" t="s">
        <v>321</v>
      </c>
      <c r="F12" s="306"/>
      <c r="G12" s="765" t="s">
        <v>354</v>
      </c>
      <c r="H12" s="306"/>
      <c r="I12" s="1075" t="s">
        <v>355</v>
      </c>
    </row>
    <row r="13" spans="1:16">
      <c r="A13" s="310" t="s">
        <v>170</v>
      </c>
      <c r="B13" s="306"/>
      <c r="C13" s="765"/>
      <c r="D13" s="306"/>
      <c r="E13" s="311" t="s">
        <v>178</v>
      </c>
      <c r="F13" s="306"/>
      <c r="G13" s="767" t="s">
        <v>191</v>
      </c>
      <c r="H13" s="306"/>
      <c r="I13" s="1077" t="s">
        <v>187</v>
      </c>
    </row>
    <row r="14" spans="1:16">
      <c r="A14" s="306"/>
      <c r="B14" s="306"/>
      <c r="C14" s="306"/>
      <c r="D14" s="306"/>
      <c r="E14" s="306"/>
      <c r="F14" s="306"/>
      <c r="G14" s="306"/>
      <c r="H14" s="306"/>
      <c r="I14" s="4"/>
    </row>
    <row r="15" spans="1:16">
      <c r="A15" s="314" t="s">
        <v>249</v>
      </c>
      <c r="B15" s="306"/>
      <c r="C15" s="306"/>
      <c r="D15" s="306"/>
      <c r="E15" s="306"/>
      <c r="F15" s="306"/>
      <c r="G15" s="306"/>
      <c r="H15" s="306"/>
      <c r="I15" s="4"/>
    </row>
    <row r="16" spans="1:16">
      <c r="A16" s="306" t="s">
        <v>314</v>
      </c>
      <c r="B16" s="306"/>
      <c r="C16" s="306"/>
      <c r="D16" s="306"/>
      <c r="E16" s="332">
        <f>+'Ftr 3 &amp; 6'!N118</f>
        <v>598337</v>
      </c>
      <c r="F16" s="306"/>
      <c r="G16" s="768">
        <f>ROUND(+E16/$E$23,4)-0.0001</f>
        <v>0.89260000000000006</v>
      </c>
      <c r="H16" s="306"/>
      <c r="I16" s="297"/>
    </row>
    <row r="17" spans="1:12">
      <c r="A17" s="306" t="s">
        <v>310</v>
      </c>
      <c r="B17" s="306"/>
      <c r="C17" s="306"/>
      <c r="D17" s="306"/>
      <c r="E17" s="332">
        <f>+'Ftr 3 &amp; 6'!N119</f>
        <v>69452</v>
      </c>
      <c r="F17" s="306"/>
      <c r="G17" s="768">
        <f>ROUND(+E17/$E$23,4)</f>
        <v>0.1036</v>
      </c>
      <c r="H17" s="306"/>
      <c r="I17" s="297"/>
    </row>
    <row r="18" spans="1:12">
      <c r="A18" s="306" t="s">
        <v>311</v>
      </c>
      <c r="B18" s="306"/>
      <c r="C18" s="306"/>
      <c r="D18" s="306"/>
      <c r="E18" s="332">
        <f>+'Ftr 3 &amp; 6'!N120</f>
        <v>1510</v>
      </c>
      <c r="F18" s="306"/>
      <c r="G18" s="768">
        <f>ROUND(+E18/$E$23,4)</f>
        <v>2.3E-3</v>
      </c>
      <c r="H18" s="306"/>
      <c r="I18" s="768">
        <f>ROUND(+E18/L$23,4)</f>
        <v>0.61729999999999996</v>
      </c>
    </row>
    <row r="19" spans="1:12">
      <c r="A19" s="306" t="s">
        <v>312</v>
      </c>
      <c r="B19" s="306"/>
      <c r="C19" s="306"/>
      <c r="D19" s="306"/>
      <c r="E19" s="332">
        <f>+'Ftr 3 &amp; 6'!N121</f>
        <v>508</v>
      </c>
      <c r="F19" s="306"/>
      <c r="G19" s="768">
        <f>ROUND(+E19/$E$23,4)</f>
        <v>8.0000000000000004E-4</v>
      </c>
      <c r="H19" s="306"/>
      <c r="I19" s="768">
        <f>ROUND(+E19/L$23,4)</f>
        <v>0.2077</v>
      </c>
    </row>
    <row r="20" spans="1:12">
      <c r="A20" s="306" t="s">
        <v>452</v>
      </c>
      <c r="B20" s="306"/>
      <c r="C20" s="306"/>
      <c r="D20" s="306"/>
      <c r="E20" s="332">
        <f>+'Ftr 3 &amp; 6'!N122</f>
        <v>54</v>
      </c>
      <c r="F20" s="306"/>
      <c r="G20" s="768">
        <f>ROUND(+E20/$E$23,4)</f>
        <v>1E-4</v>
      </c>
      <c r="H20" s="306"/>
      <c r="I20" s="768">
        <f>ROUND(+E20/L$23,4)</f>
        <v>2.2100000000000002E-2</v>
      </c>
    </row>
    <row r="21" spans="1:12" ht="14.1" customHeight="1">
      <c r="A21" s="306" t="s">
        <v>414</v>
      </c>
      <c r="B21" s="306"/>
      <c r="C21" s="306"/>
      <c r="D21" s="306"/>
      <c r="E21" s="343">
        <f>+'Ftr 3 &amp; 6'!N123</f>
        <v>374</v>
      </c>
      <c r="F21" s="306"/>
      <c r="G21" s="439">
        <f>ROUND(+E21/$E$23,4)</f>
        <v>5.9999999999999995E-4</v>
      </c>
      <c r="H21" s="306"/>
      <c r="I21" s="439">
        <f>ROUND(+E21/L$23,4)</f>
        <v>0.15290000000000001</v>
      </c>
    </row>
    <row r="22" spans="1:12" ht="12.95" customHeight="1">
      <c r="A22" s="306"/>
      <c r="B22" s="306"/>
      <c r="C22" s="306"/>
      <c r="D22" s="306"/>
      <c r="E22" s="306"/>
      <c r="F22" s="306"/>
      <c r="G22" s="768"/>
      <c r="H22" s="306"/>
      <c r="I22" s="768"/>
    </row>
    <row r="23" spans="1:12" ht="15.75" thickBot="1">
      <c r="A23" s="306" t="s">
        <v>173</v>
      </c>
      <c r="B23" s="306"/>
      <c r="C23" s="306"/>
      <c r="D23" s="306"/>
      <c r="E23" s="356">
        <f>SUM(E16:E21)</f>
        <v>670235</v>
      </c>
      <c r="F23" s="306"/>
      <c r="G23" s="368">
        <f>SUM(G16:G21)</f>
        <v>1</v>
      </c>
      <c r="H23" s="306"/>
      <c r="I23" s="368">
        <f>SUM(I16:I21)</f>
        <v>1</v>
      </c>
      <c r="L23" s="375">
        <f>SUM(E18:E21)</f>
        <v>2446</v>
      </c>
    </row>
    <row r="24" spans="1:12" ht="15.75" thickTop="1">
      <c r="A24" s="306"/>
      <c r="B24" s="306"/>
      <c r="C24" s="306"/>
      <c r="D24" s="306"/>
      <c r="E24" s="769"/>
      <c r="F24" s="317"/>
      <c r="G24" s="769"/>
      <c r="H24" s="317"/>
    </row>
    <row r="25" spans="1:12" ht="24" customHeight="1">
      <c r="A25" s="353" t="s">
        <v>568</v>
      </c>
      <c r="B25" s="353"/>
      <c r="C25" s="353"/>
      <c r="D25" s="353"/>
      <c r="E25" s="353"/>
      <c r="F25" s="353"/>
      <c r="G25" s="353"/>
      <c r="H25" s="306"/>
      <c r="I25" s="306"/>
      <c r="J25" s="306"/>
    </row>
    <row r="26" spans="1:12" ht="10.15" customHeight="1">
      <c r="A26" s="353"/>
      <c r="B26" s="353"/>
      <c r="C26" s="353"/>
      <c r="D26" s="353"/>
      <c r="E26" s="353"/>
      <c r="F26" s="353"/>
      <c r="G26" s="353"/>
      <c r="H26" s="306"/>
      <c r="I26" s="306"/>
      <c r="J26" s="306"/>
    </row>
    <row r="27" spans="1:12">
      <c r="A27" s="306" t="s">
        <v>569</v>
      </c>
      <c r="B27" s="306"/>
      <c r="C27" s="306"/>
      <c r="D27" s="306"/>
      <c r="E27" s="306"/>
      <c r="F27" s="306"/>
      <c r="G27" s="306"/>
      <c r="H27" s="306"/>
      <c r="I27" s="306"/>
      <c r="J27" s="306"/>
    </row>
    <row r="28" spans="1:12">
      <c r="A28" s="306"/>
      <c r="B28" s="306"/>
      <c r="C28" s="306"/>
      <c r="D28" s="306"/>
      <c r="E28" s="306"/>
      <c r="F28" s="306"/>
      <c r="G28" s="306"/>
      <c r="H28" s="306"/>
      <c r="I28" s="306"/>
      <c r="J28" s="306"/>
    </row>
    <row r="29" spans="1:12">
      <c r="A29" s="305" t="s">
        <v>168</v>
      </c>
      <c r="B29" s="306"/>
      <c r="C29" s="765"/>
      <c r="D29" s="306"/>
      <c r="E29" s="313" t="s">
        <v>199</v>
      </c>
      <c r="F29" s="317"/>
      <c r="G29" s="334"/>
      <c r="H29" s="317"/>
      <c r="I29" s="313" t="s">
        <v>177</v>
      </c>
      <c r="J29" s="306"/>
    </row>
    <row r="30" spans="1:12">
      <c r="A30" s="305" t="s">
        <v>169</v>
      </c>
      <c r="B30" s="306"/>
      <c r="C30" s="306"/>
      <c r="D30" s="306"/>
      <c r="E30" s="765" t="s">
        <v>321</v>
      </c>
      <c r="F30" s="306"/>
      <c r="G30" s="306"/>
      <c r="H30" s="306"/>
      <c r="I30" s="765" t="s">
        <v>183</v>
      </c>
      <c r="J30" s="306"/>
    </row>
    <row r="31" spans="1:12">
      <c r="A31" s="310" t="s">
        <v>170</v>
      </c>
      <c r="B31" s="306"/>
      <c r="C31" s="765"/>
      <c r="D31" s="306"/>
      <c r="E31" s="311" t="s">
        <v>178</v>
      </c>
      <c r="F31" s="306"/>
      <c r="G31" s="334"/>
      <c r="H31" s="306"/>
      <c r="I31" s="311" t="s">
        <v>191</v>
      </c>
      <c r="J31" s="317"/>
    </row>
    <row r="32" spans="1:12">
      <c r="A32" s="306"/>
      <c r="B32" s="306"/>
      <c r="C32" s="306"/>
      <c r="D32" s="306"/>
      <c r="E32" s="306"/>
      <c r="F32" s="306"/>
      <c r="G32" s="306"/>
      <c r="H32" s="306"/>
      <c r="I32" s="306"/>
      <c r="J32" s="317"/>
    </row>
    <row r="33" spans="1:10">
      <c r="A33" s="314" t="s">
        <v>249</v>
      </c>
      <c r="B33" s="306"/>
      <c r="C33" s="306"/>
      <c r="D33" s="306"/>
      <c r="E33" s="306"/>
      <c r="F33" s="306"/>
      <c r="G33" s="306"/>
      <c r="H33" s="306"/>
      <c r="I33" s="306"/>
      <c r="J33" s="317"/>
    </row>
    <row r="34" spans="1:10">
      <c r="A34" s="306" t="s">
        <v>314</v>
      </c>
      <c r="B34" s="306"/>
      <c r="C34" s="306"/>
      <c r="D34" s="306"/>
      <c r="E34" s="332">
        <f>+E16</f>
        <v>598337</v>
      </c>
      <c r="F34" s="306"/>
      <c r="G34" s="306"/>
      <c r="H34" s="306"/>
      <c r="I34" s="768">
        <f>ROUND(+E34/$E$41,4)</f>
        <v>0.89600000000000002</v>
      </c>
      <c r="J34" s="317"/>
    </row>
    <row r="35" spans="1:10">
      <c r="A35" s="306" t="s">
        <v>310</v>
      </c>
      <c r="B35" s="306"/>
      <c r="C35" s="306"/>
      <c r="D35" s="306"/>
      <c r="E35" s="332">
        <f>+E17</f>
        <v>69452</v>
      </c>
      <c r="F35" s="306"/>
      <c r="G35" s="306"/>
      <c r="H35" s="306"/>
      <c r="I35" s="439">
        <f>ROUND(+E35/$E$41,4)</f>
        <v>0.104</v>
      </c>
      <c r="J35" s="317"/>
    </row>
    <row r="36" spans="1:10" hidden="1">
      <c r="A36" s="306" t="s">
        <v>311</v>
      </c>
      <c r="B36" s="306"/>
      <c r="C36" s="306"/>
      <c r="D36" s="306"/>
      <c r="E36" s="770">
        <f>+'Ft  1to4'!F126*12</f>
        <v>0</v>
      </c>
      <c r="F36" s="306"/>
      <c r="G36" s="306"/>
      <c r="H36" s="306"/>
      <c r="I36" s="768">
        <f>ROUND(+E36/$E$23,4)</f>
        <v>0</v>
      </c>
      <c r="J36" s="317"/>
    </row>
    <row r="37" spans="1:10" ht="15.75" hidden="1" thickBot="1">
      <c r="A37" s="306" t="s">
        <v>312</v>
      </c>
      <c r="B37" s="306"/>
      <c r="C37" s="306"/>
      <c r="D37" s="306"/>
      <c r="E37" s="770">
        <f>+'Ft  1to4'!F127*12</f>
        <v>0</v>
      </c>
      <c r="F37" s="306"/>
      <c r="G37" s="306"/>
      <c r="H37" s="306"/>
      <c r="I37" s="368">
        <f>ROUND(+E37/$E$23,4)</f>
        <v>0</v>
      </c>
      <c r="J37" s="306"/>
    </row>
    <row r="38" spans="1:10" hidden="1">
      <c r="A38" s="306" t="s">
        <v>313</v>
      </c>
      <c r="B38" s="306"/>
      <c r="C38" s="306"/>
      <c r="D38" s="306"/>
      <c r="E38" s="770">
        <f>+'Ft  1to4'!F128*12</f>
        <v>0</v>
      </c>
      <c r="F38" s="306"/>
      <c r="G38" s="306"/>
      <c r="H38" s="306"/>
      <c r="I38" s="306">
        <f>ROUND(+E38/$E$23,4)</f>
        <v>0</v>
      </c>
      <c r="J38" s="306"/>
    </row>
    <row r="39" spans="1:10" hidden="1">
      <c r="A39" s="306" t="s">
        <v>279</v>
      </c>
      <c r="B39" s="306"/>
      <c r="C39" s="306"/>
      <c r="D39" s="306"/>
      <c r="E39" s="770">
        <f>+'Ft  1to4'!F129*12</f>
        <v>0</v>
      </c>
      <c r="F39" s="306"/>
      <c r="G39" s="306"/>
      <c r="H39" s="306"/>
      <c r="I39" s="771">
        <f>ROUND(+E39/$E$23,4)</f>
        <v>0</v>
      </c>
      <c r="J39" s="306"/>
    </row>
    <row r="40" spans="1:10">
      <c r="A40" s="306"/>
      <c r="B40" s="306"/>
      <c r="C40" s="306"/>
      <c r="D40" s="306"/>
      <c r="E40" s="772"/>
      <c r="F40" s="306"/>
      <c r="G40" s="306"/>
      <c r="H40" s="306"/>
      <c r="I40" s="773"/>
      <c r="J40" s="306"/>
    </row>
    <row r="41" spans="1:10" ht="15.75" thickBot="1">
      <c r="A41" s="306" t="s">
        <v>173</v>
      </c>
      <c r="B41" s="306"/>
      <c r="C41" s="306"/>
      <c r="D41" s="306"/>
      <c r="E41" s="356">
        <f>SUM(E34:E39)</f>
        <v>667789</v>
      </c>
      <c r="F41" s="306"/>
      <c r="G41" s="306"/>
      <c r="H41" s="306"/>
      <c r="I41" s="368">
        <f>SUM(I34:I39)</f>
        <v>1</v>
      </c>
      <c r="J41" s="306"/>
    </row>
    <row r="42" spans="1:10" ht="15.75" thickTop="1">
      <c r="A42" s="306"/>
      <c r="B42" s="306"/>
      <c r="C42" s="306"/>
      <c r="D42" s="306"/>
      <c r="E42" s="769"/>
      <c r="F42" s="317"/>
      <c r="G42" s="317"/>
      <c r="H42" s="317"/>
      <c r="I42" s="769"/>
      <c r="J42" s="306"/>
    </row>
    <row r="43" spans="1:10">
      <c r="A43" s="306"/>
      <c r="B43" s="306"/>
      <c r="C43" s="306"/>
      <c r="D43" s="306"/>
      <c r="E43" s="769"/>
      <c r="F43" s="317"/>
      <c r="G43" s="317"/>
      <c r="H43" s="317"/>
      <c r="I43" s="769"/>
      <c r="J43" s="306"/>
    </row>
    <row r="44" spans="1:10">
      <c r="A44" s="1089" t="s">
        <v>826</v>
      </c>
      <c r="B44" s="1089"/>
      <c r="C44" s="1089"/>
      <c r="D44" s="1089"/>
      <c r="E44" s="1089"/>
      <c r="F44" s="1089"/>
      <c r="G44" s="1089"/>
      <c r="H44" s="1089"/>
      <c r="I44" s="1089"/>
      <c r="J44" s="306"/>
    </row>
    <row r="45" spans="1:10">
      <c r="A45" s="306"/>
      <c r="B45" s="306"/>
      <c r="C45" s="306"/>
      <c r="D45" s="306"/>
      <c r="E45" s="306"/>
      <c r="F45" s="306"/>
      <c r="G45" s="306"/>
      <c r="H45" s="306"/>
      <c r="I45" s="306"/>
      <c r="J45" s="306"/>
    </row>
    <row r="46" spans="1:10">
      <c r="A46" s="306" t="s">
        <v>167</v>
      </c>
      <c r="B46" s="306"/>
      <c r="C46" s="306"/>
      <c r="D46" s="306"/>
      <c r="E46" s="306"/>
      <c r="F46" s="306"/>
      <c r="G46" s="306"/>
      <c r="H46" s="306"/>
      <c r="I46" s="306"/>
      <c r="J46" s="306"/>
    </row>
    <row r="47" spans="1:10">
      <c r="A47" s="306"/>
      <c r="B47" s="306"/>
      <c r="C47" s="306"/>
      <c r="D47" s="306"/>
      <c r="E47" s="306"/>
      <c r="F47" s="306"/>
      <c r="G47" s="306"/>
      <c r="H47" s="306"/>
      <c r="I47" s="306"/>
      <c r="J47" s="306"/>
    </row>
    <row r="48" spans="1:10">
      <c r="A48" s="306"/>
      <c r="B48" s="306"/>
      <c r="C48" s="306"/>
      <c r="D48" s="306"/>
      <c r="E48" s="306"/>
      <c r="F48" s="306"/>
      <c r="G48" s="306"/>
      <c r="H48" s="306"/>
      <c r="I48" s="306"/>
      <c r="J48" s="306"/>
    </row>
    <row r="49" spans="1:10">
      <c r="A49" s="353" t="s">
        <v>400</v>
      </c>
      <c r="B49" s="306"/>
      <c r="C49" s="306"/>
      <c r="D49" s="306"/>
      <c r="E49" s="306"/>
      <c r="F49" s="306"/>
      <c r="G49" s="306"/>
      <c r="H49" s="306"/>
      <c r="I49" s="306"/>
      <c r="J49" s="306"/>
    </row>
    <row r="50" spans="1:10">
      <c r="A50" s="306"/>
      <c r="B50" s="306"/>
      <c r="C50" s="306"/>
      <c r="D50" s="306"/>
      <c r="E50" s="306"/>
      <c r="F50" s="306"/>
      <c r="G50" s="306"/>
      <c r="H50" s="306"/>
      <c r="I50" s="306"/>
      <c r="J50" s="306"/>
    </row>
    <row r="51" spans="1:10">
      <c r="A51" s="306" t="s">
        <v>401</v>
      </c>
      <c r="B51" s="306"/>
      <c r="C51" s="306"/>
      <c r="D51" s="306"/>
      <c r="E51" s="306"/>
      <c r="F51" s="306"/>
      <c r="G51" s="306"/>
      <c r="H51" s="306"/>
      <c r="I51" s="306"/>
      <c r="J51" s="306"/>
    </row>
    <row r="52" spans="1:10">
      <c r="A52" s="306"/>
      <c r="B52" s="306"/>
      <c r="C52" s="306"/>
      <c r="D52" s="306"/>
      <c r="E52" s="306"/>
      <c r="F52" s="306"/>
      <c r="G52" s="306"/>
      <c r="H52" s="306"/>
      <c r="I52" s="306"/>
      <c r="J52" s="306"/>
    </row>
    <row r="53" spans="1:10">
      <c r="A53" s="305" t="s">
        <v>168</v>
      </c>
      <c r="B53" s="306"/>
      <c r="C53" s="765"/>
      <c r="D53" s="306"/>
      <c r="E53" s="313"/>
      <c r="F53" s="317"/>
      <c r="G53" s="334"/>
      <c r="H53" s="317"/>
      <c r="I53" s="313" t="s">
        <v>177</v>
      </c>
      <c r="J53" s="306"/>
    </row>
    <row r="54" spans="1:10">
      <c r="A54" s="305" t="s">
        <v>169</v>
      </c>
      <c r="B54" s="306"/>
      <c r="C54" s="306"/>
      <c r="D54" s="306"/>
      <c r="E54" s="306"/>
      <c r="F54" s="306"/>
      <c r="G54" s="306"/>
      <c r="H54" s="306"/>
      <c r="I54" s="765" t="s">
        <v>183</v>
      </c>
      <c r="J54" s="306"/>
    </row>
    <row r="55" spans="1:10">
      <c r="A55" s="310" t="s">
        <v>170</v>
      </c>
      <c r="B55" s="306"/>
      <c r="C55" s="765"/>
      <c r="D55" s="306"/>
      <c r="E55" s="334"/>
      <c r="F55" s="306"/>
      <c r="G55" s="334"/>
      <c r="H55" s="306"/>
      <c r="I55" s="311" t="s">
        <v>191</v>
      </c>
      <c r="J55" s="306"/>
    </row>
    <row r="56" spans="1:10">
      <c r="A56" s="306"/>
      <c r="B56" s="306"/>
      <c r="C56" s="306"/>
      <c r="D56" s="306"/>
      <c r="E56" s="306"/>
      <c r="F56" s="306"/>
      <c r="G56" s="306"/>
      <c r="H56" s="306"/>
      <c r="I56" s="306"/>
      <c r="J56" s="306"/>
    </row>
    <row r="57" spans="1:10">
      <c r="A57" s="314" t="s">
        <v>249</v>
      </c>
      <c r="B57" s="306"/>
      <c r="C57" s="306"/>
      <c r="D57" s="306"/>
      <c r="E57" s="306"/>
      <c r="F57" s="306"/>
      <c r="G57" s="306"/>
      <c r="H57" s="306"/>
      <c r="I57" s="306"/>
      <c r="J57" s="306"/>
    </row>
    <row r="58" spans="1:10" ht="15.75" thickBot="1">
      <c r="A58" s="306" t="s">
        <v>315</v>
      </c>
      <c r="B58" s="306"/>
      <c r="C58" s="306"/>
      <c r="D58" s="306"/>
      <c r="E58" s="306"/>
      <c r="F58" s="306"/>
      <c r="G58" s="306"/>
      <c r="H58" s="306"/>
      <c r="I58" s="774">
        <v>1</v>
      </c>
      <c r="J58" s="306"/>
    </row>
    <row r="59" spans="1:10" ht="15.75" thickTop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</row>
    <row r="60" spans="1:10">
      <c r="A60" s="306"/>
      <c r="B60" s="306"/>
      <c r="C60" s="306"/>
      <c r="D60" s="306"/>
      <c r="E60" s="306"/>
      <c r="F60" s="306"/>
      <c r="G60" s="306"/>
      <c r="H60" s="306"/>
      <c r="I60" s="306"/>
      <c r="J60" s="306"/>
    </row>
    <row r="61" spans="1:10">
      <c r="A61" s="306"/>
      <c r="B61" s="306"/>
      <c r="C61" s="306"/>
      <c r="D61" s="306"/>
      <c r="E61" s="306"/>
      <c r="F61" s="306"/>
      <c r="G61" s="306"/>
      <c r="H61" s="306"/>
      <c r="I61" s="306"/>
      <c r="J61" s="306"/>
    </row>
    <row r="62" spans="1:10">
      <c r="A62" s="306"/>
      <c r="B62" s="306"/>
      <c r="C62" s="306"/>
      <c r="D62" s="306"/>
      <c r="E62" s="306"/>
      <c r="F62" s="306"/>
      <c r="G62" s="306"/>
      <c r="H62" s="306"/>
      <c r="I62" s="306"/>
      <c r="J62" s="306"/>
    </row>
    <row r="63" spans="1:10">
      <c r="A63" s="306"/>
      <c r="B63" s="306"/>
      <c r="C63" s="306"/>
      <c r="D63" s="306"/>
      <c r="E63" s="306"/>
      <c r="F63" s="306"/>
      <c r="G63" s="306"/>
      <c r="H63" s="306"/>
      <c r="I63" s="306"/>
      <c r="J63" s="306"/>
    </row>
    <row r="64" spans="1:10">
      <c r="A64" s="306"/>
      <c r="B64" s="306"/>
      <c r="C64" s="306"/>
      <c r="D64" s="306"/>
      <c r="E64" s="306"/>
      <c r="F64" s="306"/>
      <c r="G64" s="306"/>
      <c r="H64" s="306"/>
      <c r="I64" s="306"/>
      <c r="J64" s="306"/>
    </row>
    <row r="65" spans="1:10">
      <c r="A65" s="306"/>
      <c r="B65" s="306"/>
      <c r="C65" s="306"/>
      <c r="D65" s="306"/>
      <c r="E65" s="306"/>
      <c r="F65" s="306"/>
      <c r="G65" s="306"/>
      <c r="H65" s="306"/>
      <c r="I65" s="306"/>
      <c r="J65" s="306"/>
    </row>
    <row r="66" spans="1:10">
      <c r="A66" s="306"/>
      <c r="B66" s="306"/>
      <c r="C66" s="306"/>
      <c r="D66" s="306"/>
      <c r="E66" s="306"/>
      <c r="F66" s="306"/>
      <c r="G66" s="306"/>
      <c r="H66" s="306"/>
      <c r="I66" s="306"/>
      <c r="J66" s="306"/>
    </row>
    <row r="67" spans="1:10">
      <c r="A67" s="306"/>
      <c r="B67" s="306"/>
      <c r="C67" s="306"/>
      <c r="D67" s="306"/>
      <c r="E67" s="306"/>
      <c r="F67" s="306"/>
      <c r="G67" s="306"/>
      <c r="H67" s="306"/>
      <c r="I67" s="306"/>
      <c r="J67" s="306"/>
    </row>
    <row r="68" spans="1:10">
      <c r="A68" s="306"/>
      <c r="B68" s="306"/>
      <c r="C68" s="306"/>
      <c r="D68" s="306"/>
      <c r="E68" s="306"/>
      <c r="F68" s="306"/>
      <c r="G68" s="306"/>
      <c r="H68" s="306"/>
      <c r="I68" s="306"/>
      <c r="J68" s="306"/>
    </row>
    <row r="69" spans="1:10">
      <c r="A69" s="306"/>
      <c r="B69" s="306"/>
      <c r="C69" s="306"/>
      <c r="D69" s="306"/>
      <c r="E69" s="306"/>
      <c r="F69" s="306"/>
      <c r="G69" s="306"/>
      <c r="H69" s="306"/>
      <c r="I69" s="306"/>
      <c r="J69" s="306"/>
    </row>
    <row r="70" spans="1:10">
      <c r="A70" s="306"/>
      <c r="B70" s="306"/>
      <c r="C70" s="306"/>
      <c r="D70" s="306"/>
      <c r="E70" s="306"/>
      <c r="F70" s="306"/>
      <c r="G70" s="306"/>
      <c r="H70" s="306"/>
      <c r="I70" s="306"/>
      <c r="J70" s="306"/>
    </row>
    <row r="71" spans="1:10">
      <c r="A71" s="306"/>
      <c r="B71" s="306"/>
      <c r="C71" s="306"/>
      <c r="D71" s="306"/>
      <c r="E71" s="306"/>
      <c r="F71" s="306"/>
      <c r="G71" s="306"/>
      <c r="H71" s="306"/>
      <c r="I71" s="306"/>
      <c r="J71" s="306"/>
    </row>
    <row r="72" spans="1:10">
      <c r="A72" s="306"/>
      <c r="B72" s="306"/>
      <c r="C72" s="306"/>
      <c r="D72" s="306"/>
      <c r="E72" s="306"/>
      <c r="F72" s="306"/>
      <c r="G72" s="306"/>
      <c r="H72" s="306"/>
      <c r="I72" s="306"/>
      <c r="J72" s="306"/>
    </row>
    <row r="73" spans="1:10">
      <c r="A73" s="306"/>
      <c r="B73" s="306"/>
      <c r="C73" s="306"/>
      <c r="D73" s="306"/>
      <c r="E73" s="306"/>
      <c r="F73" s="306"/>
      <c r="G73" s="306"/>
      <c r="H73" s="306"/>
      <c r="I73" s="306"/>
      <c r="J73" s="306"/>
    </row>
    <row r="74" spans="1:10">
      <c r="A74" s="306"/>
      <c r="B74" s="306"/>
      <c r="C74" s="306"/>
      <c r="D74" s="306"/>
      <c r="E74" s="306"/>
      <c r="F74" s="306"/>
      <c r="G74" s="306"/>
      <c r="H74" s="306"/>
      <c r="I74" s="306"/>
      <c r="J74" s="306"/>
    </row>
    <row r="75" spans="1:10">
      <c r="A75" s="306"/>
      <c r="B75" s="306"/>
      <c r="C75" s="306"/>
      <c r="D75" s="306"/>
      <c r="E75" s="306"/>
      <c r="F75" s="306"/>
      <c r="G75" s="306"/>
      <c r="H75" s="306"/>
      <c r="I75" s="306"/>
      <c r="J75" s="306"/>
    </row>
    <row r="76" spans="1:10">
      <c r="A76" s="306"/>
      <c r="B76" s="306"/>
      <c r="C76" s="306"/>
      <c r="D76" s="306"/>
      <c r="E76" s="306"/>
      <c r="F76" s="306"/>
      <c r="G76" s="306"/>
      <c r="H76" s="306"/>
      <c r="I76" s="306"/>
      <c r="J76" s="306"/>
    </row>
    <row r="77" spans="1:10">
      <c r="A77" s="306"/>
      <c r="B77" s="306"/>
      <c r="C77" s="306"/>
      <c r="D77" s="306"/>
      <c r="E77" s="306"/>
      <c r="F77" s="306"/>
      <c r="G77" s="306"/>
      <c r="H77" s="306"/>
      <c r="I77" s="306"/>
      <c r="J77" s="306"/>
    </row>
    <row r="78" spans="1:10">
      <c r="A78" s="306"/>
      <c r="B78" s="306"/>
      <c r="C78" s="306"/>
      <c r="D78" s="306"/>
      <c r="E78" s="306"/>
      <c r="F78" s="306"/>
      <c r="G78" s="306"/>
      <c r="H78" s="306"/>
      <c r="I78" s="306"/>
      <c r="J78" s="306"/>
    </row>
    <row r="79" spans="1:10">
      <c r="A79" s="306"/>
      <c r="B79" s="306"/>
      <c r="C79" s="306"/>
      <c r="D79" s="306"/>
      <c r="E79" s="306"/>
      <c r="F79" s="306"/>
      <c r="G79" s="306"/>
      <c r="H79" s="306"/>
      <c r="I79" s="306"/>
      <c r="J79" s="306"/>
    </row>
    <row r="80" spans="1:10">
      <c r="A80" s="306"/>
      <c r="B80" s="306"/>
      <c r="C80" s="306"/>
      <c r="D80" s="306"/>
      <c r="E80" s="306"/>
      <c r="F80" s="306"/>
      <c r="G80" s="306"/>
      <c r="H80" s="306"/>
      <c r="I80" s="306"/>
      <c r="J80" s="306"/>
    </row>
    <row r="81" spans="1:10">
      <c r="A81" s="306"/>
      <c r="B81" s="306"/>
      <c r="C81" s="306"/>
      <c r="D81" s="306"/>
      <c r="E81" s="306"/>
      <c r="F81" s="306"/>
      <c r="G81" s="306"/>
      <c r="H81" s="306"/>
      <c r="I81" s="306"/>
      <c r="J81" s="306"/>
    </row>
    <row r="82" spans="1:10">
      <c r="A82" s="306"/>
      <c r="B82" s="306"/>
      <c r="C82" s="306"/>
      <c r="D82" s="306"/>
      <c r="E82" s="306"/>
      <c r="F82" s="306"/>
      <c r="G82" s="306"/>
      <c r="H82" s="306"/>
      <c r="I82" s="306"/>
      <c r="J82" s="306"/>
    </row>
    <row r="83" spans="1:10">
      <c r="A83" s="306"/>
      <c r="B83" s="306"/>
      <c r="C83" s="306"/>
      <c r="D83" s="306"/>
      <c r="E83" s="306"/>
      <c r="F83" s="306"/>
      <c r="G83" s="306"/>
      <c r="H83" s="306"/>
      <c r="I83" s="306"/>
      <c r="J83" s="306"/>
    </row>
    <row r="84" spans="1:10">
      <c r="A84" s="306"/>
      <c r="B84" s="306"/>
      <c r="C84" s="306"/>
      <c r="D84" s="306"/>
      <c r="E84" s="306"/>
      <c r="F84" s="306"/>
      <c r="G84" s="306"/>
      <c r="H84" s="306"/>
      <c r="I84" s="306"/>
      <c r="J84" s="306"/>
    </row>
    <row r="85" spans="1:10">
      <c r="A85" s="306"/>
      <c r="B85" s="306"/>
      <c r="C85" s="306"/>
      <c r="D85" s="306"/>
      <c r="E85" s="306"/>
      <c r="F85" s="306"/>
      <c r="G85" s="306"/>
      <c r="H85" s="306"/>
      <c r="I85" s="306"/>
      <c r="J85" s="306"/>
    </row>
    <row r="86" spans="1:10">
      <c r="A86" s="306"/>
      <c r="B86" s="306"/>
      <c r="C86" s="306"/>
      <c r="D86" s="306"/>
      <c r="E86" s="306"/>
      <c r="F86" s="306"/>
      <c r="G86" s="306"/>
      <c r="H86" s="306"/>
      <c r="I86" s="306"/>
      <c r="J86" s="306"/>
    </row>
    <row r="87" spans="1:10">
      <c r="A87" s="306"/>
      <c r="B87" s="306"/>
      <c r="C87" s="306"/>
      <c r="D87" s="306"/>
      <c r="E87" s="306"/>
      <c r="F87" s="306"/>
      <c r="G87" s="306"/>
      <c r="H87" s="306"/>
      <c r="I87" s="306"/>
      <c r="J87" s="306"/>
    </row>
    <row r="88" spans="1:10">
      <c r="A88" s="306"/>
      <c r="B88" s="306"/>
      <c r="C88" s="306"/>
      <c r="D88" s="306"/>
      <c r="E88" s="306"/>
      <c r="F88" s="306"/>
      <c r="G88" s="306"/>
      <c r="H88" s="306"/>
      <c r="I88" s="306"/>
      <c r="J88" s="306"/>
    </row>
    <row r="89" spans="1:10">
      <c r="A89" s="306"/>
      <c r="B89" s="306"/>
      <c r="C89" s="306"/>
      <c r="D89" s="306"/>
      <c r="E89" s="306"/>
      <c r="F89" s="306"/>
      <c r="G89" s="306"/>
      <c r="H89" s="306"/>
      <c r="I89" s="306"/>
      <c r="J89" s="306"/>
    </row>
    <row r="90" spans="1:10">
      <c r="A90" s="306"/>
      <c r="B90" s="306"/>
      <c r="C90" s="306"/>
      <c r="D90" s="306"/>
      <c r="E90" s="306"/>
      <c r="F90" s="306"/>
      <c r="G90" s="306"/>
      <c r="H90" s="306"/>
      <c r="I90" s="306"/>
      <c r="J90" s="306"/>
    </row>
    <row r="91" spans="1:10">
      <c r="A91" s="306"/>
      <c r="B91" s="306"/>
      <c r="C91" s="306"/>
      <c r="D91" s="306"/>
      <c r="E91" s="306"/>
      <c r="F91" s="306"/>
      <c r="G91" s="306"/>
      <c r="H91" s="306"/>
      <c r="I91" s="306"/>
      <c r="J91" s="306"/>
    </row>
    <row r="92" spans="1:10">
      <c r="A92" s="306"/>
      <c r="B92" s="306"/>
      <c r="C92" s="306"/>
      <c r="D92" s="306"/>
      <c r="E92" s="306"/>
      <c r="F92" s="306"/>
      <c r="G92" s="306"/>
      <c r="H92" s="306"/>
      <c r="I92" s="306"/>
      <c r="J92" s="306"/>
    </row>
    <row r="93" spans="1:10">
      <c r="A93" s="306"/>
      <c r="B93" s="306"/>
      <c r="C93" s="306"/>
      <c r="D93" s="306"/>
      <c r="E93" s="306"/>
      <c r="F93" s="306"/>
      <c r="G93" s="306"/>
      <c r="H93" s="306"/>
      <c r="I93" s="306"/>
      <c r="J93" s="306"/>
    </row>
    <row r="94" spans="1:10">
      <c r="A94" s="306"/>
      <c r="B94" s="306"/>
      <c r="C94" s="306"/>
      <c r="D94" s="306"/>
      <c r="E94" s="306"/>
      <c r="F94" s="306"/>
      <c r="G94" s="306"/>
      <c r="H94" s="306"/>
      <c r="I94" s="306"/>
      <c r="J94" s="306"/>
    </row>
    <row r="95" spans="1:10">
      <c r="A95" s="306"/>
      <c r="B95" s="306"/>
      <c r="C95" s="306"/>
      <c r="D95" s="306"/>
      <c r="E95" s="306"/>
      <c r="F95" s="306"/>
      <c r="G95" s="306"/>
      <c r="H95" s="306"/>
      <c r="I95" s="306"/>
      <c r="J95" s="306"/>
    </row>
    <row r="96" spans="1:10">
      <c r="A96" s="306"/>
      <c r="B96" s="306"/>
      <c r="C96" s="306"/>
      <c r="D96" s="306"/>
      <c r="E96" s="306"/>
      <c r="F96" s="306"/>
      <c r="G96" s="306"/>
      <c r="H96" s="306"/>
      <c r="I96" s="306"/>
      <c r="J96" s="306"/>
    </row>
    <row r="97" spans="1:10">
      <c r="A97" s="306"/>
      <c r="B97" s="306"/>
      <c r="C97" s="306"/>
      <c r="D97" s="306"/>
      <c r="E97" s="306"/>
      <c r="F97" s="306"/>
      <c r="G97" s="306"/>
      <c r="H97" s="306"/>
      <c r="I97" s="306"/>
      <c r="J97" s="306"/>
    </row>
    <row r="98" spans="1:10">
      <c r="A98" s="306"/>
      <c r="B98" s="306"/>
      <c r="C98" s="306"/>
      <c r="D98" s="306"/>
      <c r="E98" s="306"/>
      <c r="F98" s="306"/>
      <c r="G98" s="306"/>
      <c r="H98" s="306"/>
      <c r="I98" s="306"/>
      <c r="J98" s="306"/>
    </row>
    <row r="99" spans="1:10">
      <c r="A99" s="306"/>
      <c r="B99" s="306"/>
      <c r="C99" s="306"/>
      <c r="D99" s="306"/>
      <c r="E99" s="306"/>
      <c r="F99" s="306"/>
      <c r="G99" s="306"/>
      <c r="H99" s="306"/>
      <c r="I99" s="306"/>
      <c r="J99" s="306"/>
    </row>
    <row r="100" spans="1:10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</row>
    <row r="101" spans="1:10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</row>
    <row r="102" spans="1:10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</row>
    <row r="103" spans="1:10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</row>
    <row r="104" spans="1:10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</row>
    <row r="105" spans="1:10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</row>
    <row r="106" spans="1:10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</row>
    <row r="107" spans="1:10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</row>
    <row r="108" spans="1:10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</row>
    <row r="109" spans="1:10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</row>
    <row r="110" spans="1:10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</row>
    <row r="111" spans="1:10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</row>
    <row r="112" spans="1:10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</row>
    <row r="113" spans="1:10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</row>
    <row r="114" spans="1:10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</row>
    <row r="115" spans="1:10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</row>
    <row r="116" spans="1:10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</row>
    <row r="117" spans="1:10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</row>
    <row r="118" spans="1:10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</row>
    <row r="119" spans="1:10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</row>
    <row r="120" spans="1:10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</row>
    <row r="121" spans="1:10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</row>
    <row r="122" spans="1:10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</row>
    <row r="123" spans="1:10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</row>
    <row r="124" spans="1:10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</row>
    <row r="125" spans="1:10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</row>
    <row r="126" spans="1:10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</row>
    <row r="127" spans="1:10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</row>
    <row r="128" spans="1:10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</row>
    <row r="129" spans="1:10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</row>
    <row r="130" spans="1:10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</row>
    <row r="131" spans="1:10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</row>
    <row r="132" spans="1:10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</row>
    <row r="133" spans="1:10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</row>
    <row r="134" spans="1:10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</row>
    <row r="135" spans="1:10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</row>
    <row r="136" spans="1:10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</row>
    <row r="137" spans="1:10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</row>
    <row r="138" spans="1:10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</row>
    <row r="139" spans="1:10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</row>
    <row r="140" spans="1:10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</row>
    <row r="141" spans="1:10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</row>
    <row r="142" spans="1:10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</row>
    <row r="143" spans="1:10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</row>
    <row r="144" spans="1:10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</row>
    <row r="145" spans="1:10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</row>
    <row r="146" spans="1:10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</row>
    <row r="147" spans="1:10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</row>
    <row r="148" spans="1:10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</row>
    <row r="149" spans="1:10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</row>
    <row r="150" spans="1:10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</row>
    <row r="151" spans="1:10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</row>
    <row r="152" spans="1:10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</row>
    <row r="153" spans="1:10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</row>
    <row r="154" spans="1:10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</row>
    <row r="155" spans="1:10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</row>
    <row r="156" spans="1:10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</row>
    <row r="157" spans="1:10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</row>
    <row r="158" spans="1:10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</row>
    <row r="159" spans="1:10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</row>
    <row r="160" spans="1:10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</row>
    <row r="161" spans="1:10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</row>
    <row r="162" spans="1:10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</row>
    <row r="163" spans="1:10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</row>
    <row r="164" spans="1:10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</row>
    <row r="165" spans="1:10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</row>
    <row r="166" spans="1:10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</row>
    <row r="167" spans="1:10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</row>
    <row r="168" spans="1:10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</row>
    <row r="169" spans="1:10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</row>
    <row r="170" spans="1:10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</row>
    <row r="171" spans="1:10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</row>
    <row r="172" spans="1:10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</row>
    <row r="173" spans="1:10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</row>
    <row r="174" spans="1:10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</row>
    <row r="175" spans="1:10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</row>
    <row r="176" spans="1:10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</row>
    <row r="177" spans="1:10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</row>
    <row r="178" spans="1:10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</row>
    <row r="179" spans="1:10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</row>
    <row r="180" spans="1:10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</row>
    <row r="181" spans="1:10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</row>
  </sheetData>
  <mergeCells count="3">
    <mergeCell ref="A44:I44"/>
    <mergeCell ref="A3:J3"/>
    <mergeCell ref="A1:J1"/>
  </mergeCells>
  <phoneticPr fontId="9" type="noConversion"/>
  <printOptions horizontalCentered="1"/>
  <pageMargins left="0.9" right="0.4" top="1" bottom="0.2" header="0" footer="0"/>
  <pageSetup orientation="portrait" r:id="rId1"/>
  <headerFooter alignWithMargins="0"/>
  <rowBreaks count="1" manualBreakCount="1">
    <brk id="4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J171"/>
  <sheetViews>
    <sheetView workbookViewId="0"/>
  </sheetViews>
  <sheetFormatPr defaultColWidth="9.6640625" defaultRowHeight="15"/>
  <cols>
    <col min="1" max="1" width="19.88671875" style="1" customWidth="1"/>
    <col min="2" max="2" width="12.21875" style="1" customWidth="1"/>
    <col min="3" max="3" width="13.109375" style="1" bestFit="1" customWidth="1"/>
    <col min="4" max="4" width="14" style="1" customWidth="1"/>
    <col min="5" max="5" width="11.88671875" style="1" customWidth="1"/>
    <col min="6" max="16384" width="9.6640625" style="1"/>
  </cols>
  <sheetData>
    <row r="1" spans="1:10" ht="14.1" customHeight="1">
      <c r="A1" s="55" t="s">
        <v>826</v>
      </c>
      <c r="B1" s="2"/>
      <c r="C1" s="2"/>
      <c r="D1" s="2"/>
      <c r="E1" s="2"/>
    </row>
    <row r="2" spans="1:10" ht="14.1" customHeight="1">
      <c r="A2" s="98"/>
      <c r="B2" s="2"/>
      <c r="C2" s="2"/>
      <c r="D2" s="2"/>
      <c r="E2" s="2"/>
      <c r="J2" s="11" t="s">
        <v>835</v>
      </c>
    </row>
    <row r="3" spans="1:10" ht="14.1" customHeight="1">
      <c r="A3" s="305" t="s">
        <v>167</v>
      </c>
      <c r="B3" s="2"/>
      <c r="C3" s="2"/>
      <c r="D3" s="2"/>
      <c r="E3" s="2"/>
    </row>
    <row r="4" spans="1:10" ht="10.9" customHeight="1">
      <c r="A4" s="4"/>
      <c r="B4" s="4"/>
      <c r="C4" s="4"/>
      <c r="D4" s="4"/>
      <c r="E4" s="4"/>
    </row>
    <row r="5" spans="1:10" ht="16.899999999999999" customHeight="1">
      <c r="A5" s="775" t="s">
        <v>397</v>
      </c>
      <c r="B5" s="776"/>
      <c r="C5" s="776"/>
      <c r="D5" s="776"/>
      <c r="E5" s="776"/>
    </row>
    <row r="6" spans="1:10" ht="7.15" customHeight="1">
      <c r="A6" s="306"/>
      <c r="B6" s="306"/>
      <c r="C6" s="306"/>
      <c r="D6" s="306"/>
      <c r="E6" s="306"/>
    </row>
    <row r="7" spans="1:10" ht="12" customHeight="1">
      <c r="A7" s="306" t="s">
        <v>200</v>
      </c>
      <c r="B7" s="306"/>
      <c r="C7" s="306"/>
      <c r="D7" s="306"/>
      <c r="E7" s="306"/>
    </row>
    <row r="8" spans="1:10" ht="9" customHeight="1">
      <c r="A8" s="775"/>
      <c r="B8" s="775"/>
      <c r="C8" s="775"/>
      <c r="D8" s="775"/>
      <c r="E8" s="775"/>
      <c r="F8" s="37"/>
    </row>
    <row r="9" spans="1:10" ht="14.1" customHeight="1">
      <c r="A9" s="305" t="s">
        <v>168</v>
      </c>
      <c r="B9" s="306"/>
      <c r="C9" s="765" t="s">
        <v>202</v>
      </c>
      <c r="D9" s="306"/>
      <c r="E9" s="765" t="s">
        <v>177</v>
      </c>
    </row>
    <row r="10" spans="1:10" ht="14.1" customHeight="1">
      <c r="A10" s="305" t="s">
        <v>169</v>
      </c>
      <c r="B10" s="306"/>
      <c r="C10" s="765" t="s">
        <v>206</v>
      </c>
      <c r="D10" s="306"/>
      <c r="E10" s="765" t="s">
        <v>183</v>
      </c>
    </row>
    <row r="11" spans="1:10" ht="14.1" customHeight="1">
      <c r="A11" s="310" t="s">
        <v>170</v>
      </c>
      <c r="B11" s="306"/>
      <c r="C11" s="311" t="s">
        <v>178</v>
      </c>
      <c r="D11" s="306"/>
      <c r="E11" s="311" t="s">
        <v>191</v>
      </c>
    </row>
    <row r="12" spans="1:10" ht="7.9" customHeight="1">
      <c r="A12" s="314"/>
      <c r="B12" s="306"/>
      <c r="C12" s="306"/>
      <c r="D12" s="306"/>
      <c r="E12" s="306"/>
    </row>
    <row r="13" spans="1:10" ht="14.1" customHeight="1">
      <c r="A13" s="314" t="s">
        <v>248</v>
      </c>
      <c r="B13" s="306"/>
      <c r="C13" s="306"/>
      <c r="D13" s="306"/>
      <c r="E13" s="306"/>
    </row>
    <row r="14" spans="1:10" ht="14.1" customHeight="1">
      <c r="A14" s="306" t="s">
        <v>316</v>
      </c>
      <c r="B14" s="306"/>
      <c r="C14" s="482">
        <f>+Alloc!K397</f>
        <v>7453273</v>
      </c>
      <c r="D14" s="306"/>
      <c r="E14" s="366">
        <f>+Alloc!K398</f>
        <v>0.20039999999999999</v>
      </c>
    </row>
    <row r="15" spans="1:10" ht="14.1" customHeight="1">
      <c r="A15" s="306" t="s">
        <v>317</v>
      </c>
      <c r="B15" s="306"/>
      <c r="C15" s="332">
        <f>+Alloc!M397</f>
        <v>4639880</v>
      </c>
      <c r="D15" s="306"/>
      <c r="E15" s="366">
        <f>+Alloc!M398</f>
        <v>0.12470000000000001</v>
      </c>
    </row>
    <row r="16" spans="1:10" ht="13.5" customHeight="1">
      <c r="A16" s="306" t="s">
        <v>318</v>
      </c>
      <c r="B16" s="306"/>
      <c r="C16" s="332">
        <f>+Alloc!O397</f>
        <v>1287354</v>
      </c>
      <c r="D16" s="306"/>
      <c r="E16" s="366">
        <f>+Alloc!O398</f>
        <v>3.4599999999999999E-2</v>
      </c>
    </row>
    <row r="17" spans="1:5" ht="12" customHeight="1">
      <c r="A17" s="306" t="s">
        <v>319</v>
      </c>
      <c r="B17" s="306"/>
      <c r="C17" s="332">
        <f>+Alloc!Q397</f>
        <v>1432849</v>
      </c>
      <c r="D17" s="306"/>
      <c r="E17" s="366">
        <f>+Alloc!Q398</f>
        <v>3.85E-2</v>
      </c>
    </row>
    <row r="18" spans="1:5" ht="14.1" customHeight="1">
      <c r="A18" s="306" t="s">
        <v>583</v>
      </c>
      <c r="B18" s="306"/>
      <c r="C18" s="332">
        <f>+Alloc!S397</f>
        <v>2414266</v>
      </c>
      <c r="D18" s="306"/>
      <c r="E18" s="366">
        <f>+Alloc!S398</f>
        <v>6.4899999999999999E-2</v>
      </c>
    </row>
    <row r="19" spans="1:5" ht="14.1" customHeight="1">
      <c r="A19" s="306" t="s">
        <v>415</v>
      </c>
      <c r="B19" s="306"/>
      <c r="C19" s="332">
        <f>+Alloc!U397</f>
        <v>975789</v>
      </c>
      <c r="D19" s="306"/>
      <c r="E19" s="366">
        <f>+Alloc!U398</f>
        <v>2.6200000000000001E-2</v>
      </c>
    </row>
    <row r="20" spans="1:5" ht="20.25" customHeight="1">
      <c r="A20" s="314" t="s">
        <v>249</v>
      </c>
      <c r="B20" s="306"/>
      <c r="C20" s="332"/>
      <c r="D20" s="317"/>
      <c r="E20" s="768"/>
    </row>
    <row r="21" spans="1:5" ht="14.1" customHeight="1">
      <c r="A21" s="306" t="s">
        <v>316</v>
      </c>
      <c r="B21" s="306"/>
      <c r="C21" s="332">
        <f>+Alloc!W397</f>
        <v>13328223</v>
      </c>
      <c r="D21" s="317"/>
      <c r="E21" s="768">
        <f>+Alloc!W398</f>
        <v>0.35830000000000001</v>
      </c>
    </row>
    <row r="22" spans="1:5" ht="14.1" customHeight="1">
      <c r="A22" s="306" t="s">
        <v>317</v>
      </c>
      <c r="B22" s="306"/>
      <c r="C22" s="332">
        <f>+Alloc!Y397</f>
        <v>4258394</v>
      </c>
      <c r="D22" s="317"/>
      <c r="E22" s="768">
        <f>+Alloc!Y398</f>
        <v>0.1145</v>
      </c>
    </row>
    <row r="23" spans="1:5" ht="14.1" customHeight="1">
      <c r="A23" s="306" t="s">
        <v>318</v>
      </c>
      <c r="B23" s="306"/>
      <c r="C23" s="332">
        <f>+Alloc!AA397</f>
        <v>699973</v>
      </c>
      <c r="D23" s="317"/>
      <c r="E23" s="768">
        <f>+Alloc!AA398</f>
        <v>1.8800000000000001E-2</v>
      </c>
    </row>
    <row r="24" spans="1:5" ht="14.1" customHeight="1">
      <c r="A24" s="306" t="s">
        <v>319</v>
      </c>
      <c r="B24" s="306"/>
      <c r="C24" s="332">
        <f>+Alloc!AC397</f>
        <v>400489</v>
      </c>
      <c r="D24" s="317"/>
      <c r="E24" s="768">
        <f>+Alloc!AC398</f>
        <v>1.0800000000000001E-2</v>
      </c>
    </row>
    <row r="25" spans="1:5" ht="14.1" customHeight="1">
      <c r="A25" s="306" t="s">
        <v>583</v>
      </c>
      <c r="B25" s="306"/>
      <c r="C25" s="332">
        <f>+Alloc!AE397</f>
        <v>74257</v>
      </c>
      <c r="D25" s="317"/>
      <c r="E25" s="768">
        <f>+Alloc!AE398</f>
        <v>2E-3</v>
      </c>
    </row>
    <row r="26" spans="1:5">
      <c r="A26" s="306" t="s">
        <v>415</v>
      </c>
      <c r="B26" s="306"/>
      <c r="C26" s="343">
        <f>+Alloc!AG397</f>
        <v>235967</v>
      </c>
      <c r="D26" s="317"/>
      <c r="E26" s="439">
        <f>+Alloc!AG398</f>
        <v>6.3E-3</v>
      </c>
    </row>
    <row r="27" spans="1:5" ht="15.6" customHeight="1">
      <c r="A27" s="306" t="s">
        <v>173</v>
      </c>
      <c r="B27" s="306"/>
      <c r="C27" s="482">
        <f>SUM(C14:C26)</f>
        <v>37200714</v>
      </c>
      <c r="D27" s="306"/>
      <c r="E27" s="366">
        <f>SUM(E14:E26)</f>
        <v>1.0000000000000002</v>
      </c>
    </row>
    <row r="28" spans="1:5" ht="14.1" customHeight="1" thickTop="1">
      <c r="A28" s="306"/>
      <c r="B28" s="306"/>
      <c r="C28" s="325"/>
      <c r="D28" s="777"/>
      <c r="E28" s="325"/>
    </row>
    <row r="29" spans="1:5" ht="26.25" customHeight="1">
      <c r="A29" s="775" t="s">
        <v>398</v>
      </c>
      <c r="B29" s="776"/>
      <c r="C29" s="776"/>
      <c r="D29" s="776"/>
      <c r="E29" s="776"/>
    </row>
    <row r="30" spans="1:5" ht="12" customHeight="1">
      <c r="A30" s="306"/>
      <c r="B30" s="306"/>
      <c r="C30" s="306"/>
      <c r="D30" s="306"/>
      <c r="E30" s="306"/>
    </row>
    <row r="31" spans="1:5" ht="12.75" customHeight="1">
      <c r="A31" s="306" t="s">
        <v>399</v>
      </c>
      <c r="B31" s="306"/>
      <c r="C31" s="306"/>
      <c r="D31" s="306"/>
      <c r="E31" s="306"/>
    </row>
    <row r="32" spans="1:5" ht="9" customHeight="1">
      <c r="A32" s="775"/>
      <c r="B32" s="775"/>
      <c r="C32" s="775"/>
      <c r="D32" s="775"/>
      <c r="E32" s="775"/>
    </row>
    <row r="33" spans="1:5" ht="12.75" customHeight="1">
      <c r="A33" s="305" t="s">
        <v>168</v>
      </c>
      <c r="B33" s="306"/>
      <c r="C33" s="765" t="s">
        <v>205</v>
      </c>
      <c r="D33" s="306"/>
      <c r="E33" s="765" t="s">
        <v>177</v>
      </c>
    </row>
    <row r="34" spans="1:5" ht="14.1" customHeight="1">
      <c r="A34" s="305" t="s">
        <v>169</v>
      </c>
      <c r="B34" s="306"/>
      <c r="C34" s="765" t="s">
        <v>206</v>
      </c>
      <c r="D34" s="306"/>
      <c r="E34" s="765" t="s">
        <v>183</v>
      </c>
    </row>
    <row r="35" spans="1:5" ht="14.1" customHeight="1">
      <c r="A35" s="310" t="s">
        <v>170</v>
      </c>
      <c r="B35" s="306"/>
      <c r="C35" s="311" t="s">
        <v>178</v>
      </c>
      <c r="D35" s="306"/>
      <c r="E35" s="311" t="s">
        <v>191</v>
      </c>
    </row>
    <row r="36" spans="1:5" ht="14.1" customHeight="1">
      <c r="A36" s="314"/>
      <c r="B36" s="306"/>
      <c r="C36" s="306"/>
      <c r="D36" s="306"/>
      <c r="E36" s="306"/>
    </row>
    <row r="37" spans="1:5" ht="14.1" customHeight="1">
      <c r="A37" s="314" t="s">
        <v>248</v>
      </c>
      <c r="B37" s="306"/>
      <c r="C37" s="306"/>
      <c r="D37" s="306"/>
      <c r="E37" s="306"/>
    </row>
    <row r="38" spans="1:5" ht="14.1" customHeight="1">
      <c r="A38" s="306" t="s">
        <v>316</v>
      </c>
      <c r="B38" s="306"/>
      <c r="C38" s="482">
        <f>+Alloc!K399</f>
        <v>8884160</v>
      </c>
      <c r="D38" s="306"/>
      <c r="E38" s="366">
        <f>+Alloc!K400</f>
        <v>0.3735</v>
      </c>
    </row>
    <row r="39" spans="1:5" ht="14.1" customHeight="1">
      <c r="A39" s="306" t="s">
        <v>317</v>
      </c>
      <c r="B39" s="306"/>
      <c r="C39" s="332">
        <f>+Alloc!M399</f>
        <v>5529389</v>
      </c>
      <c r="D39" s="306"/>
      <c r="E39" s="366">
        <f>+Alloc!M400</f>
        <v>0.23250000000000001</v>
      </c>
    </row>
    <row r="40" spans="1:5" ht="14.1" customHeight="1">
      <c r="A40" s="306" t="s">
        <v>318</v>
      </c>
      <c r="B40" s="306"/>
      <c r="C40" s="332">
        <f>+Alloc!O399</f>
        <v>1539898</v>
      </c>
      <c r="D40" s="306"/>
      <c r="E40" s="366">
        <f>+Alloc!O400</f>
        <v>6.4799999999999996E-2</v>
      </c>
    </row>
    <row r="41" spans="1:5" ht="14.1" customHeight="1">
      <c r="A41" s="306" t="s">
        <v>319</v>
      </c>
      <c r="B41" s="306"/>
      <c r="C41" s="332">
        <f>+Alloc!Q399</f>
        <v>1747137</v>
      </c>
      <c r="D41" s="306"/>
      <c r="E41" s="366">
        <f>+Alloc!Q400</f>
        <v>7.3499999999999996E-2</v>
      </c>
    </row>
    <row r="42" spans="1:5" ht="14.1" customHeight="1">
      <c r="A42" s="306" t="s">
        <v>583</v>
      </c>
      <c r="B42" s="306"/>
      <c r="C42" s="332">
        <f>+Alloc!S399</f>
        <v>1763908</v>
      </c>
      <c r="D42" s="306"/>
      <c r="E42" s="366">
        <f>+Alloc!S400</f>
        <v>7.4200000000000002E-2</v>
      </c>
    </row>
    <row r="43" spans="1:5" ht="14.1" customHeight="1">
      <c r="A43" s="306" t="s">
        <v>415</v>
      </c>
      <c r="B43" s="306"/>
      <c r="C43" s="332">
        <f>+Alloc!U399</f>
        <v>967980</v>
      </c>
      <c r="D43" s="306"/>
      <c r="E43" s="366">
        <f>+Alloc!U400</f>
        <v>4.07E-2</v>
      </c>
    </row>
    <row r="44" spans="1:5" ht="16.5" customHeight="1">
      <c r="A44" s="314" t="s">
        <v>249</v>
      </c>
      <c r="B44" s="306"/>
      <c r="C44" s="332"/>
      <c r="D44" s="317"/>
      <c r="E44" s="768"/>
    </row>
    <row r="45" spans="1:5" ht="14.1" customHeight="1">
      <c r="A45" s="306" t="s">
        <v>316</v>
      </c>
      <c r="B45" s="306"/>
      <c r="C45" s="332">
        <f>+Alloc!W399</f>
        <v>2138694</v>
      </c>
      <c r="D45" s="317"/>
      <c r="E45" s="768">
        <f>+Alloc!W400</f>
        <v>8.9899999999999994E-2</v>
      </c>
    </row>
    <row r="46" spans="1:5" ht="14.1" customHeight="1">
      <c r="A46" s="306" t="s">
        <v>317</v>
      </c>
      <c r="B46" s="306"/>
      <c r="C46" s="332">
        <f>+Alloc!Y399</f>
        <v>703927</v>
      </c>
      <c r="D46" s="317"/>
      <c r="E46" s="768">
        <f>+Alloc!Y400</f>
        <v>2.9600000000000001E-2</v>
      </c>
    </row>
    <row r="47" spans="1:5" ht="14.1" customHeight="1">
      <c r="A47" s="306" t="s">
        <v>318</v>
      </c>
      <c r="B47" s="306"/>
      <c r="C47" s="332">
        <f>+Alloc!AA399</f>
        <v>250510</v>
      </c>
      <c r="D47" s="317"/>
      <c r="E47" s="768">
        <f>+Alloc!AA400</f>
        <v>1.0500000000000001E-2</v>
      </c>
    </row>
    <row r="48" spans="1:5" ht="14.1" customHeight="1">
      <c r="A48" s="306" t="s">
        <v>319</v>
      </c>
      <c r="B48" s="306"/>
      <c r="C48" s="332">
        <f>+Alloc!AC399</f>
        <v>144342</v>
      </c>
      <c r="D48" s="317"/>
      <c r="E48" s="768">
        <f>+Alloc!AC400</f>
        <v>6.1000000000000004E-3</v>
      </c>
    </row>
    <row r="49" spans="1:5" ht="14.1" customHeight="1">
      <c r="A49" s="306" t="s">
        <v>583</v>
      </c>
      <c r="B49" s="306"/>
      <c r="C49" s="332">
        <f>+Alloc!AE399</f>
        <v>27084</v>
      </c>
      <c r="D49" s="317"/>
      <c r="E49" s="768">
        <f>+Alloc!AE400</f>
        <v>1.1000000000000001E-3</v>
      </c>
    </row>
    <row r="50" spans="1:5" ht="14.1" customHeight="1">
      <c r="A50" s="306" t="s">
        <v>415</v>
      </c>
      <c r="B50" s="306"/>
      <c r="C50" s="343">
        <f>+Alloc!AG399</f>
        <v>84695</v>
      </c>
      <c r="D50" s="317"/>
      <c r="E50" s="439">
        <f>+Alloc!AG400</f>
        <v>3.5999999999999999E-3</v>
      </c>
    </row>
    <row r="51" spans="1:5" ht="16.149999999999999" customHeight="1" thickBot="1">
      <c r="A51" s="306" t="s">
        <v>173</v>
      </c>
      <c r="B51" s="306"/>
      <c r="C51" s="778">
        <f>SUM(C38:C50)</f>
        <v>23781724</v>
      </c>
      <c r="D51" s="306"/>
      <c r="E51" s="779">
        <f>SUM(E38:E50)</f>
        <v>0.99999999999999989</v>
      </c>
    </row>
    <row r="52" spans="1:5" ht="23.45" customHeight="1" thickTop="1">
      <c r="A52" s="780" t="s">
        <v>826</v>
      </c>
      <c r="B52" s="305"/>
      <c r="C52" s="305"/>
      <c r="D52" s="305"/>
      <c r="E52" s="305"/>
    </row>
    <row r="53" spans="1:5" ht="14.1" customHeight="1">
      <c r="A53" s="781"/>
      <c r="B53" s="305"/>
      <c r="C53" s="305"/>
      <c r="D53" s="305"/>
      <c r="E53" s="305"/>
    </row>
    <row r="54" spans="1:5" ht="14.1" customHeight="1">
      <c r="A54" s="305" t="s">
        <v>167</v>
      </c>
      <c r="B54" s="305"/>
      <c r="C54" s="305"/>
      <c r="D54" s="305"/>
      <c r="E54" s="305"/>
    </row>
    <row r="55" spans="1:5" ht="14.1" customHeight="1">
      <c r="A55" s="306"/>
      <c r="B55" s="306"/>
      <c r="C55" s="306"/>
      <c r="D55" s="306"/>
      <c r="E55" s="306"/>
    </row>
    <row r="56" spans="1:5" ht="14.25" customHeight="1">
      <c r="A56" s="306" t="s">
        <v>439</v>
      </c>
      <c r="B56" s="306"/>
      <c r="C56" s="306"/>
      <c r="D56" s="777"/>
      <c r="E56" s="306"/>
    </row>
    <row r="57" spans="1:5" ht="8.4499999999999993" customHeight="1">
      <c r="A57" s="306"/>
      <c r="B57" s="306"/>
      <c r="C57" s="306"/>
      <c r="D57" s="777"/>
      <c r="E57" s="306"/>
    </row>
    <row r="58" spans="1:5" ht="14.1" customHeight="1">
      <c r="A58" s="306" t="s">
        <v>280</v>
      </c>
      <c r="B58" s="306"/>
      <c r="C58" s="306"/>
      <c r="D58" s="306"/>
      <c r="E58" s="306"/>
    </row>
    <row r="59" spans="1:5" ht="9" customHeight="1">
      <c r="A59" s="335"/>
      <c r="B59" s="306"/>
      <c r="C59" s="306"/>
      <c r="D59" s="306"/>
      <c r="E59" s="306"/>
    </row>
    <row r="60" spans="1:5" ht="14.1" customHeight="1">
      <c r="A60" s="306"/>
      <c r="B60" s="306"/>
      <c r="C60" s="765" t="s">
        <v>204</v>
      </c>
      <c r="D60" s="306"/>
      <c r="E60" s="306"/>
    </row>
    <row r="61" spans="1:5" ht="14.1" customHeight="1">
      <c r="A61" s="305" t="s">
        <v>168</v>
      </c>
      <c r="B61" s="306"/>
      <c r="C61" s="765" t="s">
        <v>205</v>
      </c>
      <c r="D61" s="306"/>
      <c r="E61" s="765" t="s">
        <v>177</v>
      </c>
    </row>
    <row r="62" spans="1:5" ht="14.1" customHeight="1">
      <c r="A62" s="305" t="s">
        <v>169</v>
      </c>
      <c r="B62" s="306"/>
      <c r="C62" s="765" t="s">
        <v>206</v>
      </c>
      <c r="D62" s="306"/>
      <c r="E62" s="765" t="s">
        <v>183</v>
      </c>
    </row>
    <row r="63" spans="1:5" ht="12" customHeight="1">
      <c r="A63" s="310" t="s">
        <v>170</v>
      </c>
      <c r="B63" s="306"/>
      <c r="C63" s="311" t="s">
        <v>178</v>
      </c>
      <c r="D63" s="306"/>
      <c r="E63" s="311" t="s">
        <v>191</v>
      </c>
    </row>
    <row r="64" spans="1:5" ht="19.149999999999999" customHeight="1">
      <c r="A64" s="314" t="s">
        <v>248</v>
      </c>
      <c r="B64" s="306"/>
      <c r="C64" s="306"/>
      <c r="D64" s="306"/>
      <c r="E64" s="306"/>
    </row>
    <row r="65" spans="1:5" ht="12.75" customHeight="1">
      <c r="A65" s="306" t="s">
        <v>316</v>
      </c>
      <c r="B65" s="306"/>
      <c r="C65" s="482">
        <f>+Alloc!K401</f>
        <v>49929600.495720528</v>
      </c>
      <c r="D65" s="306"/>
      <c r="E65" s="366">
        <f>+Alloc!K402</f>
        <v>0.33</v>
      </c>
    </row>
    <row r="66" spans="1:5" ht="12" customHeight="1">
      <c r="A66" s="306" t="s">
        <v>317</v>
      </c>
      <c r="B66" s="306"/>
      <c r="C66" s="332">
        <f>+Alloc!M401</f>
        <v>15134911.664346771</v>
      </c>
      <c r="D66" s="306"/>
      <c r="E66" s="366">
        <f>+Alloc!M402</f>
        <v>0.1</v>
      </c>
    </row>
    <row r="67" spans="1:5" ht="14.1" customHeight="1">
      <c r="A67" s="306" t="s">
        <v>318</v>
      </c>
      <c r="B67" s="306"/>
      <c r="C67" s="332">
        <f>+Alloc!O401</f>
        <v>3779002.9719796311</v>
      </c>
      <c r="D67" s="306"/>
      <c r="E67" s="366">
        <f>+Alloc!O402</f>
        <v>2.5000000000000001E-2</v>
      </c>
    </row>
    <row r="68" spans="1:5" ht="14.1" customHeight="1">
      <c r="A68" s="306" t="s">
        <v>319</v>
      </c>
      <c r="B68" s="306"/>
      <c r="C68" s="332">
        <f>+Alloc!Q401</f>
        <v>4469410.679013364</v>
      </c>
      <c r="D68" s="306"/>
      <c r="E68" s="366">
        <f>+Alloc!Q402</f>
        <v>2.9499999999999998E-2</v>
      </c>
    </row>
    <row r="69" spans="1:5" ht="14.1" customHeight="1">
      <c r="A69" s="306" t="s">
        <v>583</v>
      </c>
      <c r="B69" s="306"/>
      <c r="C69" s="332">
        <f>+Alloc!S401</f>
        <v>5748550</v>
      </c>
      <c r="D69" s="306"/>
      <c r="E69" s="366">
        <f>+Alloc!S402</f>
        <v>3.7999999999999999E-2</v>
      </c>
    </row>
    <row r="70" spans="1:5" ht="14.1" customHeight="1">
      <c r="A70" s="306" t="s">
        <v>415</v>
      </c>
      <c r="B70" s="306"/>
      <c r="C70" s="332">
        <f>+Alloc!U401</f>
        <v>2624716</v>
      </c>
      <c r="D70" s="306"/>
      <c r="E70" s="366">
        <f>+Alloc!U402</f>
        <v>1.7299999999999999E-2</v>
      </c>
    </row>
    <row r="71" spans="1:5" ht="18" customHeight="1">
      <c r="A71" s="314" t="s">
        <v>249</v>
      </c>
      <c r="B71" s="306"/>
      <c r="C71" s="332"/>
      <c r="D71" s="306"/>
      <c r="E71" s="768"/>
    </row>
    <row r="72" spans="1:5" ht="14.1" customHeight="1">
      <c r="A72" s="306" t="s">
        <v>316</v>
      </c>
      <c r="B72" s="306"/>
      <c r="C72" s="332">
        <f>+Alloc!W401</f>
        <v>56015775.739524826</v>
      </c>
      <c r="D72" s="306"/>
      <c r="E72" s="768">
        <f>+Alloc!W402</f>
        <v>0.37029999999999996</v>
      </c>
    </row>
    <row r="73" spans="1:5" ht="14.1" customHeight="1">
      <c r="A73" s="306" t="s">
        <v>317</v>
      </c>
      <c r="B73" s="306"/>
      <c r="C73" s="332">
        <f>+Alloc!Y401</f>
        <v>10369918.042459248</v>
      </c>
      <c r="D73" s="306"/>
      <c r="E73" s="768">
        <f>+Alloc!Y402</f>
        <v>6.8500000000000005E-2</v>
      </c>
    </row>
    <row r="74" spans="1:5" ht="14.1" customHeight="1">
      <c r="A74" s="306" t="s">
        <v>318</v>
      </c>
      <c r="B74" s="306"/>
      <c r="C74" s="332">
        <f>+Alloc!AA401</f>
        <v>1568232</v>
      </c>
      <c r="D74" s="306"/>
      <c r="E74" s="768">
        <f>+Alloc!AA402</f>
        <v>1.04E-2</v>
      </c>
    </row>
    <row r="75" spans="1:5" ht="14.1" customHeight="1">
      <c r="A75" s="306" t="s">
        <v>319</v>
      </c>
      <c r="B75" s="306"/>
      <c r="C75" s="332">
        <f>+Alloc!AC401</f>
        <v>878151</v>
      </c>
      <c r="D75" s="306"/>
      <c r="E75" s="768">
        <f>+Alloc!AC402</f>
        <v>5.7999999999999996E-3</v>
      </c>
    </row>
    <row r="76" spans="1:5" ht="14.1" customHeight="1">
      <c r="A76" s="306" t="s">
        <v>583</v>
      </c>
      <c r="B76" s="306"/>
      <c r="C76" s="332">
        <f>+Alloc!AE401</f>
        <v>251939</v>
      </c>
      <c r="D76" s="306"/>
      <c r="E76" s="768">
        <f>+Alloc!AE402</f>
        <v>1.6999999999999999E-3</v>
      </c>
    </row>
    <row r="77" spans="1:5" ht="14.1" customHeight="1">
      <c r="A77" s="306" t="s">
        <v>415</v>
      </c>
      <c r="B77" s="306"/>
      <c r="C77" s="343">
        <f>+Alloc!AG401</f>
        <v>523622</v>
      </c>
      <c r="D77" s="306"/>
      <c r="E77" s="439">
        <f>+Alloc!AG402</f>
        <v>3.5000000000000001E-3</v>
      </c>
    </row>
    <row r="78" spans="1:5" ht="15.6" customHeight="1" thickBot="1">
      <c r="A78" s="306" t="s">
        <v>173</v>
      </c>
      <c r="B78" s="306"/>
      <c r="C78" s="482">
        <f>SUM(C65:C77)</f>
        <v>151293829.59304434</v>
      </c>
      <c r="D78" s="306"/>
      <c r="E78" s="366">
        <f>SUM(E65:E77)</f>
        <v>1</v>
      </c>
    </row>
    <row r="79" spans="1:5" ht="14.1" customHeight="1" thickTop="1">
      <c r="A79" s="306"/>
      <c r="B79" s="306"/>
      <c r="C79" s="325"/>
      <c r="D79" s="306"/>
      <c r="E79" s="325"/>
    </row>
    <row r="80" spans="1:5" ht="14.1" customHeight="1">
      <c r="A80" s="780" t="s">
        <v>826</v>
      </c>
      <c r="B80" s="308"/>
      <c r="C80" s="308"/>
      <c r="D80" s="308"/>
      <c r="E80" s="308"/>
    </row>
    <row r="81" spans="1:5" ht="10.9" customHeight="1">
      <c r="A81" s="305"/>
      <c r="B81" s="305"/>
      <c r="C81" s="305"/>
      <c r="D81" s="305"/>
      <c r="E81" s="305"/>
    </row>
    <row r="82" spans="1:5" ht="14.1" customHeight="1">
      <c r="A82" s="305" t="s">
        <v>167</v>
      </c>
      <c r="B82" s="305"/>
      <c r="C82" s="305"/>
      <c r="D82" s="305"/>
      <c r="E82" s="305"/>
    </row>
    <row r="83" spans="1:5" ht="12" customHeight="1">
      <c r="A83" s="306"/>
      <c r="B83" s="306"/>
      <c r="C83" s="306"/>
      <c r="D83" s="306"/>
      <c r="E83" s="306"/>
    </row>
    <row r="84" spans="1:5" ht="14.1" customHeight="1">
      <c r="A84" s="306" t="s">
        <v>201</v>
      </c>
      <c r="B84" s="306"/>
      <c r="C84" s="306"/>
      <c r="D84" s="306"/>
      <c r="E84" s="306"/>
    </row>
    <row r="85" spans="1:5" ht="7.9" customHeight="1">
      <c r="A85" s="306"/>
      <c r="B85" s="306"/>
      <c r="C85" s="306"/>
      <c r="D85" s="306"/>
      <c r="E85" s="306"/>
    </row>
    <row r="86" spans="1:5" ht="14.1" customHeight="1">
      <c r="A86" s="306" t="s">
        <v>134</v>
      </c>
      <c r="B86" s="306"/>
      <c r="C86" s="306"/>
      <c r="D86" s="306"/>
      <c r="E86" s="306"/>
    </row>
    <row r="87" spans="1:5" ht="16.5" customHeight="1">
      <c r="A87" s="306" t="s">
        <v>444</v>
      </c>
      <c r="B87" s="306"/>
      <c r="C87" s="306"/>
      <c r="D87" s="306"/>
      <c r="E87" s="306"/>
    </row>
    <row r="88" spans="1:5" ht="4.9000000000000004" customHeight="1">
      <c r="A88" s="306"/>
      <c r="B88" s="306"/>
      <c r="C88" s="306"/>
      <c r="D88" s="306"/>
      <c r="E88" s="306"/>
    </row>
    <row r="89" spans="1:5" ht="8.25" customHeight="1">
      <c r="A89" s="308"/>
      <c r="B89" s="776"/>
      <c r="C89" s="776"/>
      <c r="D89" s="776"/>
      <c r="E89" s="776"/>
    </row>
    <row r="90" spans="1:5" ht="12" customHeight="1">
      <c r="A90" s="305" t="s">
        <v>168</v>
      </c>
      <c r="B90" s="306"/>
      <c r="C90" s="765" t="s">
        <v>207</v>
      </c>
      <c r="D90" s="306"/>
      <c r="E90" s="765" t="s">
        <v>177</v>
      </c>
    </row>
    <row r="91" spans="1:5" ht="13.5" customHeight="1">
      <c r="A91" s="305" t="s">
        <v>169</v>
      </c>
      <c r="B91" s="306"/>
      <c r="C91" s="765" t="s">
        <v>203</v>
      </c>
      <c r="D91" s="306"/>
      <c r="E91" s="765" t="s">
        <v>183</v>
      </c>
    </row>
    <row r="92" spans="1:5" ht="12.6" customHeight="1">
      <c r="A92" s="310" t="s">
        <v>170</v>
      </c>
      <c r="B92" s="306"/>
      <c r="C92" s="311" t="s">
        <v>178</v>
      </c>
      <c r="D92" s="306"/>
      <c r="E92" s="311" t="s">
        <v>191</v>
      </c>
    </row>
    <row r="93" spans="1:5" ht="13.15" customHeight="1">
      <c r="A93" s="314" t="s">
        <v>248</v>
      </c>
      <c r="B93" s="306"/>
      <c r="C93" s="306"/>
      <c r="D93" s="306"/>
      <c r="E93" s="306"/>
    </row>
    <row r="94" spans="1:5" ht="13.15" customHeight="1">
      <c r="A94" s="306" t="s">
        <v>316</v>
      </c>
      <c r="B94" s="306"/>
      <c r="C94" s="482">
        <f>+Alloc!K403</f>
        <v>17072788</v>
      </c>
      <c r="D94" s="306"/>
      <c r="E94" s="366">
        <f>+Alloc!K404</f>
        <v>0.20430000000000001</v>
      </c>
    </row>
    <row r="95" spans="1:5" ht="13.15" customHeight="1">
      <c r="A95" s="306" t="s">
        <v>317</v>
      </c>
      <c r="B95" s="306"/>
      <c r="C95" s="332">
        <f>+Alloc!M403</f>
        <v>8145300</v>
      </c>
      <c r="D95" s="306"/>
      <c r="E95" s="366">
        <f>+Alloc!M404</f>
        <v>9.7500000000000003E-2</v>
      </c>
    </row>
    <row r="96" spans="1:5" ht="13.15" customHeight="1">
      <c r="A96" s="306" t="s">
        <v>318</v>
      </c>
      <c r="B96" s="306"/>
      <c r="C96" s="332">
        <f>+Alloc!O403</f>
        <v>2196922</v>
      </c>
      <c r="D96" s="306"/>
      <c r="E96" s="366">
        <f>+Alloc!O404</f>
        <v>2.63E-2</v>
      </c>
    </row>
    <row r="97" spans="1:5" ht="13.15" customHeight="1">
      <c r="A97" s="306" t="s">
        <v>319</v>
      </c>
      <c r="B97" s="306"/>
      <c r="C97" s="332">
        <f>+Alloc!Q403</f>
        <v>2492519</v>
      </c>
      <c r="D97" s="306"/>
      <c r="E97" s="366">
        <f>+Alloc!Q404</f>
        <v>2.98E-2</v>
      </c>
    </row>
    <row r="98" spans="1:5" ht="13.15" customHeight="1">
      <c r="A98" s="306" t="s">
        <v>583</v>
      </c>
      <c r="B98" s="306"/>
      <c r="C98" s="332">
        <f>+Alloc!S474</f>
        <v>3636206</v>
      </c>
      <c r="D98" s="306"/>
      <c r="E98" s="366">
        <f>+Alloc!S404</f>
        <v>4.3499999999999997E-2</v>
      </c>
    </row>
    <row r="99" spans="1:5" ht="13.15" customHeight="1">
      <c r="A99" s="306" t="s">
        <v>415</v>
      </c>
      <c r="B99" s="306"/>
      <c r="C99" s="332">
        <f>+Alloc!U403</f>
        <v>1577029</v>
      </c>
      <c r="D99" s="306"/>
      <c r="E99" s="366">
        <f>+Alloc!U404</f>
        <v>1.89E-2</v>
      </c>
    </row>
    <row r="100" spans="1:5" ht="16.5" customHeight="1">
      <c r="A100" s="314" t="s">
        <v>249</v>
      </c>
      <c r="B100" s="306"/>
      <c r="C100" s="332"/>
      <c r="D100" s="306"/>
      <c r="E100" s="768"/>
    </row>
    <row r="101" spans="1:5" ht="13.15" customHeight="1">
      <c r="A101" s="306" t="s">
        <v>316</v>
      </c>
      <c r="B101" s="306"/>
      <c r="C101" s="332">
        <f>+Alloc!W474</f>
        <v>38204982</v>
      </c>
      <c r="D101" s="306"/>
      <c r="E101" s="768">
        <f>+Alloc!W404</f>
        <v>0.45729999999999998</v>
      </c>
    </row>
    <row r="102" spans="1:5" ht="13.15" customHeight="1">
      <c r="A102" s="306" t="s">
        <v>317</v>
      </c>
      <c r="B102" s="306"/>
      <c r="C102" s="332">
        <f>+Alloc!Y474</f>
        <v>8055415</v>
      </c>
      <c r="D102" s="306"/>
      <c r="E102" s="768">
        <f>+Alloc!Y404</f>
        <v>9.64E-2</v>
      </c>
    </row>
    <row r="103" spans="1:5" ht="13.15" customHeight="1">
      <c r="A103" s="306" t="s">
        <v>318</v>
      </c>
      <c r="B103" s="306"/>
      <c r="C103" s="332">
        <f>+Alloc!AA474</f>
        <v>1078520</v>
      </c>
      <c r="D103" s="306"/>
      <c r="E103" s="768">
        <f>+Alloc!AA404</f>
        <v>1.29E-2</v>
      </c>
    </row>
    <row r="104" spans="1:5" ht="13.15" customHeight="1">
      <c r="A104" s="306" t="s">
        <v>319</v>
      </c>
      <c r="B104" s="306"/>
      <c r="C104" s="332">
        <f>+Alloc!AC474</f>
        <v>607014</v>
      </c>
      <c r="D104" s="306"/>
      <c r="E104" s="768">
        <f>+Alloc!AC404</f>
        <v>7.3000000000000001E-3</v>
      </c>
    </row>
    <row r="105" spans="1:5" ht="13.15" customHeight="1">
      <c r="A105" s="306" t="s">
        <v>583</v>
      </c>
      <c r="B105" s="306"/>
      <c r="C105" s="332">
        <f>+Alloc!AE474</f>
        <v>126683</v>
      </c>
      <c r="D105" s="306"/>
      <c r="E105" s="768">
        <f>+Alloc!AE404</f>
        <v>1.5E-3</v>
      </c>
    </row>
    <row r="106" spans="1:5" ht="13.15" customHeight="1">
      <c r="A106" s="306" t="s">
        <v>415</v>
      </c>
      <c r="B106" s="306"/>
      <c r="C106" s="343">
        <f>+Alloc!AG403</f>
        <v>360405</v>
      </c>
      <c r="D106" s="306"/>
      <c r="E106" s="439">
        <f>+Alloc!AG404</f>
        <v>4.3E-3</v>
      </c>
    </row>
    <row r="107" spans="1:5" ht="16.899999999999999" customHeight="1" thickBot="1">
      <c r="A107" s="306" t="s">
        <v>173</v>
      </c>
      <c r="B107" s="306"/>
      <c r="C107" s="482">
        <f>SUM(C94:C106)</f>
        <v>83553783</v>
      </c>
      <c r="D107" s="306"/>
      <c r="E107" s="366">
        <f>+SUM(E94:E106)</f>
        <v>0.99999999999999989</v>
      </c>
    </row>
    <row r="108" spans="1:5" ht="9" customHeight="1" thickTop="1">
      <c r="A108" s="306"/>
      <c r="B108" s="306"/>
      <c r="C108" s="782"/>
      <c r="D108" s="306"/>
      <c r="E108" s="782"/>
    </row>
    <row r="109" spans="1:5" ht="13.15" customHeight="1">
      <c r="A109" s="306"/>
      <c r="B109" s="306"/>
      <c r="C109" s="306"/>
      <c r="D109" s="306"/>
      <c r="E109" s="306"/>
    </row>
    <row r="110" spans="1:5" ht="13.15" customHeight="1">
      <c r="A110" s="306" t="s">
        <v>151</v>
      </c>
      <c r="B110" s="306"/>
      <c r="C110" s="306"/>
      <c r="D110" s="306"/>
      <c r="E110" s="306"/>
    </row>
    <row r="111" spans="1:5" ht="13.15" customHeight="1">
      <c r="A111" s="306" t="s">
        <v>152</v>
      </c>
      <c r="B111" s="306"/>
      <c r="C111" s="306"/>
      <c r="D111" s="306"/>
      <c r="E111" s="306"/>
    </row>
    <row r="112" spans="1:5" ht="13.15" customHeight="1">
      <c r="A112" s="306"/>
      <c r="B112" s="306"/>
      <c r="C112" s="306"/>
      <c r="D112" s="306"/>
      <c r="E112" s="306"/>
    </row>
    <row r="113" spans="1:5" ht="13.15" customHeight="1">
      <c r="A113" s="306" t="s">
        <v>135</v>
      </c>
      <c r="B113" s="306"/>
      <c r="C113" s="306"/>
      <c r="D113" s="306"/>
      <c r="E113" s="306"/>
    </row>
    <row r="114" spans="1:5" ht="13.15" customHeight="1">
      <c r="A114" s="306" t="s">
        <v>136</v>
      </c>
      <c r="B114" s="306"/>
      <c r="C114" s="306"/>
      <c r="D114" s="306"/>
      <c r="E114" s="306"/>
    </row>
    <row r="115" spans="1:5" ht="7.15" customHeight="1">
      <c r="A115" s="306"/>
      <c r="B115" s="306"/>
      <c r="C115" s="306"/>
      <c r="D115" s="306"/>
      <c r="E115" s="306"/>
    </row>
    <row r="116" spans="1:5" ht="13.15" customHeight="1">
      <c r="A116" s="306"/>
      <c r="B116" s="306"/>
      <c r="C116" s="765" t="s">
        <v>197</v>
      </c>
      <c r="D116" s="306"/>
      <c r="E116" s="306"/>
    </row>
    <row r="117" spans="1:5" ht="13.15" customHeight="1">
      <c r="A117" s="305" t="s">
        <v>168</v>
      </c>
      <c r="B117" s="306"/>
      <c r="C117" s="765" t="s">
        <v>208</v>
      </c>
      <c r="D117" s="306"/>
      <c r="E117" s="765" t="s">
        <v>177</v>
      </c>
    </row>
    <row r="118" spans="1:5" ht="13.15" customHeight="1">
      <c r="A118" s="305" t="s">
        <v>169</v>
      </c>
      <c r="B118" s="306"/>
      <c r="C118" s="765" t="s">
        <v>209</v>
      </c>
      <c r="D118" s="306"/>
      <c r="E118" s="765" t="s">
        <v>183</v>
      </c>
    </row>
    <row r="119" spans="1:5" ht="13.15" customHeight="1">
      <c r="A119" s="310" t="s">
        <v>170</v>
      </c>
      <c r="B119" s="306"/>
      <c r="C119" s="311" t="s">
        <v>178</v>
      </c>
      <c r="D119" s="306"/>
      <c r="E119" s="311" t="s">
        <v>191</v>
      </c>
    </row>
    <row r="120" spans="1:5" ht="13.15" customHeight="1">
      <c r="A120" s="314" t="s">
        <v>248</v>
      </c>
      <c r="B120" s="306"/>
      <c r="C120" s="306"/>
      <c r="D120" s="306"/>
      <c r="E120" s="306"/>
    </row>
    <row r="121" spans="1:5" ht="13.15" customHeight="1">
      <c r="A121" s="306" t="s">
        <v>316</v>
      </c>
      <c r="B121" s="306"/>
      <c r="C121" s="482">
        <f>+Alloc!K405</f>
        <v>939585198</v>
      </c>
      <c r="D121" s="306"/>
      <c r="E121" s="366">
        <f>+Alloc!K406</f>
        <v>0.29170000000000001</v>
      </c>
    </row>
    <row r="122" spans="1:5" ht="13.15" customHeight="1">
      <c r="A122" s="306" t="s">
        <v>317</v>
      </c>
      <c r="B122" s="306"/>
      <c r="C122" s="332">
        <f>+Alloc!M405</f>
        <v>545001985</v>
      </c>
      <c r="D122" s="306"/>
      <c r="E122" s="366">
        <f>+Alloc!M406</f>
        <v>0.16919999999999999</v>
      </c>
    </row>
    <row r="123" spans="1:5" ht="13.15" customHeight="1">
      <c r="A123" s="306" t="s">
        <v>318</v>
      </c>
      <c r="B123" s="306"/>
      <c r="C123" s="332">
        <f>+Alloc!O405</f>
        <v>147492161</v>
      </c>
      <c r="D123" s="306"/>
      <c r="E123" s="366">
        <f>+Alloc!O406</f>
        <v>4.58E-2</v>
      </c>
    </row>
    <row r="124" spans="1:5" ht="13.15" customHeight="1">
      <c r="A124" s="306" t="s">
        <v>319</v>
      </c>
      <c r="B124" s="306"/>
      <c r="C124" s="332">
        <f>+Alloc!Q405</f>
        <v>169428260</v>
      </c>
      <c r="D124" s="306"/>
      <c r="E124" s="366">
        <f>+Alloc!Q406</f>
        <v>5.2600000000000001E-2</v>
      </c>
    </row>
    <row r="125" spans="1:5" ht="13.15" customHeight="1">
      <c r="A125" s="306" t="s">
        <v>583</v>
      </c>
      <c r="B125" s="306"/>
      <c r="C125" s="332">
        <f>+Alloc!S405</f>
        <v>114872393</v>
      </c>
      <c r="D125" s="306"/>
      <c r="E125" s="366">
        <f>+Alloc!S406</f>
        <v>3.5700000000000003E-2</v>
      </c>
    </row>
    <row r="126" spans="1:5" ht="13.15" customHeight="1">
      <c r="A126" s="306" t="s">
        <v>415</v>
      </c>
      <c r="B126" s="306"/>
      <c r="C126" s="332">
        <f>+Alloc!U405</f>
        <v>82697148</v>
      </c>
      <c r="D126" s="306"/>
      <c r="E126" s="366">
        <f>+Alloc!U406</f>
        <v>2.5700000000000001E-2</v>
      </c>
    </row>
    <row r="127" spans="1:5" ht="16.5" customHeight="1">
      <c r="A127" s="314" t="s">
        <v>249</v>
      </c>
      <c r="B127" s="306"/>
      <c r="C127" s="332"/>
      <c r="D127" s="306"/>
      <c r="E127" s="768"/>
    </row>
    <row r="128" spans="1:5" ht="13.15" customHeight="1">
      <c r="A128" s="306" t="s">
        <v>316</v>
      </c>
      <c r="B128" s="306"/>
      <c r="C128" s="332">
        <f>+Alloc!W405</f>
        <v>991755721</v>
      </c>
      <c r="D128" s="306"/>
      <c r="E128" s="768">
        <f>+Alloc!W406</f>
        <v>0.30809999999999998</v>
      </c>
    </row>
    <row r="129" spans="1:5" ht="13.15" customHeight="1">
      <c r="A129" s="306" t="s">
        <v>317</v>
      </c>
      <c r="B129" s="306"/>
      <c r="C129" s="332">
        <f>+Alloc!Y405</f>
        <v>189503034</v>
      </c>
      <c r="D129" s="306"/>
      <c r="E129" s="768">
        <f>+Alloc!Y406</f>
        <v>5.8799999999999998E-2</v>
      </c>
    </row>
    <row r="130" spans="1:5" ht="13.15" customHeight="1">
      <c r="A130" s="306" t="s">
        <v>318</v>
      </c>
      <c r="B130" s="306"/>
      <c r="C130" s="332">
        <f>+Alloc!AA405</f>
        <v>20035532</v>
      </c>
      <c r="D130" s="306"/>
      <c r="E130" s="768">
        <f>+Alloc!AA406</f>
        <v>6.1999999999999998E-3</v>
      </c>
    </row>
    <row r="131" spans="1:5" ht="13.15" customHeight="1">
      <c r="A131" s="306" t="s">
        <v>319</v>
      </c>
      <c r="B131" s="306"/>
      <c r="C131" s="332">
        <f>+Alloc!AC405</f>
        <v>11110823</v>
      </c>
      <c r="D131" s="306"/>
      <c r="E131" s="768">
        <f>+Alloc!AC406</f>
        <v>3.3999999999999998E-3</v>
      </c>
    </row>
    <row r="132" spans="1:5" ht="13.15" customHeight="1">
      <c r="A132" s="306" t="s">
        <v>583</v>
      </c>
      <c r="B132" s="306"/>
      <c r="C132" s="332">
        <f>+Alloc!AE405</f>
        <v>2316091</v>
      </c>
      <c r="D132" s="306"/>
      <c r="E132" s="768">
        <f>+Alloc!AE406</f>
        <v>6.9999999999999999E-4</v>
      </c>
    </row>
    <row r="133" spans="1:5" ht="13.15" customHeight="1">
      <c r="A133" s="306" t="s">
        <v>415</v>
      </c>
      <c r="B133" s="306"/>
      <c r="C133" s="343">
        <f>+Alloc!AG405</f>
        <v>6896078</v>
      </c>
      <c r="D133" s="306"/>
      <c r="E133" s="439">
        <f>+Alloc!AG406</f>
        <v>2.0999999999999999E-3</v>
      </c>
    </row>
    <row r="134" spans="1:5" ht="18.600000000000001" customHeight="1" thickBot="1">
      <c r="A134" s="306" t="s">
        <v>173</v>
      </c>
      <c r="B134" s="306"/>
      <c r="C134" s="778">
        <f>SUM(C121:C133)</f>
        <v>3220694424</v>
      </c>
      <c r="D134" s="306"/>
      <c r="E134" s="779">
        <f>SUM(E121:E133)</f>
        <v>0.99999999999999978</v>
      </c>
    </row>
    <row r="135" spans="1:5" ht="15.75" thickTop="1">
      <c r="A135" s="306"/>
      <c r="B135" s="306"/>
      <c r="C135" s="306"/>
      <c r="D135" s="306"/>
      <c r="E135" s="306"/>
    </row>
    <row r="136" spans="1:5">
      <c r="A136" s="306"/>
      <c r="B136" s="306"/>
      <c r="C136" s="306"/>
      <c r="D136" s="306"/>
      <c r="E136" s="306"/>
    </row>
    <row r="137" spans="1:5">
      <c r="A137" s="306"/>
      <c r="B137" s="306"/>
      <c r="C137" s="306"/>
      <c r="D137" s="306"/>
      <c r="E137" s="306"/>
    </row>
    <row r="138" spans="1:5">
      <c r="A138" s="306"/>
      <c r="B138" s="306"/>
      <c r="C138" s="306"/>
      <c r="D138" s="306"/>
      <c r="E138" s="306"/>
    </row>
    <row r="139" spans="1:5">
      <c r="A139" s="306"/>
      <c r="B139" s="306"/>
      <c r="C139" s="306"/>
      <c r="D139" s="306"/>
      <c r="E139" s="306"/>
    </row>
    <row r="140" spans="1:5">
      <c r="A140" s="306"/>
      <c r="B140" s="306"/>
      <c r="C140" s="306"/>
      <c r="D140" s="306"/>
      <c r="E140" s="306"/>
    </row>
    <row r="141" spans="1:5">
      <c r="A141" s="306"/>
      <c r="B141" s="306"/>
      <c r="C141" s="306"/>
      <c r="D141" s="306"/>
      <c r="E141" s="306"/>
    </row>
    <row r="142" spans="1:5">
      <c r="A142" s="306"/>
      <c r="B142" s="306"/>
      <c r="C142" s="306"/>
      <c r="D142" s="306"/>
      <c r="E142" s="306"/>
    </row>
    <row r="143" spans="1:5">
      <c r="A143" s="306"/>
      <c r="B143" s="306"/>
      <c r="C143" s="306"/>
      <c r="D143" s="306"/>
      <c r="E143" s="306"/>
    </row>
    <row r="144" spans="1:5">
      <c r="A144" s="306"/>
      <c r="B144" s="306"/>
      <c r="C144" s="306"/>
      <c r="D144" s="306"/>
      <c r="E144" s="306"/>
    </row>
    <row r="145" spans="1:5">
      <c r="A145" s="306"/>
      <c r="B145" s="306"/>
      <c r="C145" s="306"/>
      <c r="D145" s="306"/>
      <c r="E145" s="306"/>
    </row>
    <row r="146" spans="1:5">
      <c r="A146" s="306"/>
      <c r="B146" s="306"/>
      <c r="C146" s="306"/>
      <c r="D146" s="306"/>
      <c r="E146" s="306"/>
    </row>
    <row r="147" spans="1:5">
      <c r="A147" s="306"/>
      <c r="B147" s="306"/>
      <c r="C147" s="306"/>
      <c r="D147" s="306"/>
      <c r="E147" s="306"/>
    </row>
    <row r="148" spans="1:5">
      <c r="A148" s="306"/>
      <c r="B148" s="306"/>
      <c r="C148" s="306"/>
      <c r="D148" s="306"/>
      <c r="E148" s="306"/>
    </row>
    <row r="149" spans="1:5">
      <c r="A149" s="306"/>
      <c r="B149" s="306"/>
      <c r="C149" s="306"/>
      <c r="D149" s="306"/>
      <c r="E149" s="306"/>
    </row>
    <row r="150" spans="1:5">
      <c r="A150" s="306"/>
      <c r="B150" s="306"/>
      <c r="C150" s="306"/>
      <c r="D150" s="306"/>
      <c r="E150" s="306"/>
    </row>
    <row r="151" spans="1:5">
      <c r="A151" s="306"/>
      <c r="B151" s="306"/>
      <c r="C151" s="306"/>
      <c r="D151" s="306"/>
      <c r="E151" s="306"/>
    </row>
    <row r="152" spans="1:5">
      <c r="A152" s="306"/>
      <c r="B152" s="306"/>
      <c r="C152" s="306"/>
      <c r="D152" s="306"/>
      <c r="E152" s="306"/>
    </row>
    <row r="153" spans="1:5">
      <c r="A153" s="306"/>
      <c r="B153" s="306"/>
      <c r="C153" s="306"/>
      <c r="D153" s="306"/>
      <c r="E153" s="306"/>
    </row>
    <row r="154" spans="1:5">
      <c r="A154" s="306"/>
      <c r="B154" s="306"/>
      <c r="C154" s="306"/>
      <c r="D154" s="306"/>
      <c r="E154" s="306"/>
    </row>
    <row r="155" spans="1:5">
      <c r="A155" s="306"/>
      <c r="B155" s="306"/>
      <c r="C155" s="306"/>
      <c r="D155" s="306"/>
      <c r="E155" s="306"/>
    </row>
    <row r="156" spans="1:5">
      <c r="A156" s="306"/>
      <c r="B156" s="306"/>
      <c r="C156" s="306"/>
      <c r="D156" s="306"/>
      <c r="E156" s="306"/>
    </row>
    <row r="157" spans="1:5">
      <c r="A157" s="306"/>
      <c r="B157" s="306"/>
      <c r="C157" s="306"/>
      <c r="D157" s="306"/>
      <c r="E157" s="306"/>
    </row>
    <row r="158" spans="1:5">
      <c r="A158" s="306"/>
      <c r="B158" s="306"/>
      <c r="C158" s="306"/>
      <c r="D158" s="306"/>
      <c r="E158" s="306"/>
    </row>
    <row r="159" spans="1:5">
      <c r="A159" s="306"/>
      <c r="B159" s="306"/>
      <c r="C159" s="306"/>
      <c r="D159" s="306"/>
      <c r="E159" s="306"/>
    </row>
    <row r="160" spans="1:5">
      <c r="A160" s="306"/>
      <c r="B160" s="306"/>
      <c r="C160" s="306"/>
      <c r="D160" s="306"/>
      <c r="E160" s="306"/>
    </row>
    <row r="161" spans="1:5">
      <c r="A161" s="306"/>
      <c r="B161" s="306"/>
      <c r="C161" s="306"/>
      <c r="D161" s="306"/>
      <c r="E161" s="306"/>
    </row>
    <row r="162" spans="1:5">
      <c r="A162" s="306"/>
      <c r="B162" s="306"/>
      <c r="C162" s="306"/>
      <c r="D162" s="306"/>
      <c r="E162" s="306"/>
    </row>
    <row r="163" spans="1:5">
      <c r="A163" s="306"/>
      <c r="B163" s="306"/>
      <c r="C163" s="306"/>
      <c r="D163" s="306"/>
      <c r="E163" s="306"/>
    </row>
    <row r="164" spans="1:5">
      <c r="A164" s="306"/>
      <c r="B164" s="306"/>
      <c r="C164" s="306"/>
      <c r="D164" s="306"/>
      <c r="E164" s="306"/>
    </row>
    <row r="165" spans="1:5">
      <c r="A165" s="306"/>
      <c r="B165" s="306"/>
      <c r="C165" s="306"/>
      <c r="D165" s="306"/>
      <c r="E165" s="306"/>
    </row>
    <row r="166" spans="1:5">
      <c r="A166" s="306"/>
      <c r="B166" s="306"/>
      <c r="C166" s="306"/>
      <c r="D166" s="306"/>
      <c r="E166" s="306"/>
    </row>
    <row r="167" spans="1:5">
      <c r="A167" s="306"/>
      <c r="B167" s="306"/>
      <c r="C167" s="306"/>
      <c r="D167" s="306"/>
      <c r="E167" s="306"/>
    </row>
    <row r="168" spans="1:5">
      <c r="A168" s="306"/>
      <c r="B168" s="306"/>
      <c r="C168" s="306"/>
      <c r="D168" s="306"/>
      <c r="E168" s="306"/>
    </row>
    <row r="169" spans="1:5">
      <c r="A169" s="306"/>
      <c r="B169" s="306"/>
      <c r="C169" s="306"/>
      <c r="D169" s="306"/>
      <c r="E169" s="306"/>
    </row>
    <row r="170" spans="1:5">
      <c r="A170" s="306"/>
      <c r="B170" s="306"/>
      <c r="C170" s="306"/>
      <c r="D170" s="306"/>
      <c r="E170" s="306"/>
    </row>
    <row r="171" spans="1:5">
      <c r="A171" s="306"/>
      <c r="B171" s="306"/>
      <c r="C171" s="306"/>
      <c r="D171" s="306"/>
      <c r="E171" s="306"/>
    </row>
  </sheetData>
  <phoneticPr fontId="9" type="noConversion"/>
  <printOptions horizontalCentered="1"/>
  <pageMargins left="0.9" right="0.65" top="1" bottom="0.2" header="0" footer="0"/>
  <pageSetup scale="95" orientation="portrait" r:id="rId1"/>
  <headerFooter alignWithMargins="0"/>
  <rowBreaks count="2" manualBreakCount="2">
    <brk id="51" max="4" man="1"/>
    <brk id="79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K177"/>
  <sheetViews>
    <sheetView workbookViewId="0">
      <selection sqref="A1:E1"/>
    </sheetView>
  </sheetViews>
  <sheetFormatPr defaultColWidth="9.6640625" defaultRowHeight="15"/>
  <cols>
    <col min="1" max="1" width="18.6640625" style="1" customWidth="1"/>
    <col min="2" max="2" width="9.44140625" style="1" customWidth="1"/>
    <col min="3" max="3" width="14" style="1" bestFit="1" customWidth="1"/>
    <col min="4" max="4" width="12.77734375" style="1" customWidth="1"/>
    <col min="5" max="5" width="10.6640625" style="1" customWidth="1"/>
    <col min="6" max="7" width="9.6640625" style="1" customWidth="1"/>
    <col min="8" max="8" width="10" style="1" bestFit="1" customWidth="1"/>
    <col min="9" max="9" width="9.6640625" style="1" customWidth="1"/>
    <col min="10" max="10" width="10" style="1" bestFit="1" customWidth="1"/>
    <col min="11" max="16384" width="9.6640625" style="1"/>
  </cols>
  <sheetData>
    <row r="1" spans="1:10">
      <c r="A1" s="1087" t="s">
        <v>826</v>
      </c>
      <c r="B1" s="1087"/>
      <c r="C1" s="1087"/>
      <c r="D1" s="1087"/>
      <c r="E1" s="1087"/>
    </row>
    <row r="2" spans="1:10" ht="11.45" customHeight="1">
      <c r="A2" s="98"/>
      <c r="B2" s="2"/>
      <c r="C2" s="2"/>
      <c r="D2" s="2"/>
      <c r="E2" s="2"/>
    </row>
    <row r="3" spans="1:10">
      <c r="A3" s="305" t="s">
        <v>167</v>
      </c>
      <c r="B3" s="2"/>
      <c r="C3" s="2"/>
      <c r="D3" s="2"/>
      <c r="E3" s="2"/>
      <c r="J3" s="11" t="s">
        <v>835</v>
      </c>
    </row>
    <row r="4" spans="1:10" ht="9" customHeight="1">
      <c r="A4" s="4"/>
      <c r="B4" s="4"/>
      <c r="C4" s="4"/>
      <c r="D4" s="4"/>
      <c r="E4" s="4"/>
    </row>
    <row r="5" spans="1:10">
      <c r="A5" s="306" t="s">
        <v>210</v>
      </c>
      <c r="B5" s="306"/>
      <c r="C5" s="306"/>
      <c r="D5" s="306"/>
      <c r="E5" s="306"/>
    </row>
    <row r="6" spans="1:10" ht="5.25" customHeight="1">
      <c r="A6" s="306"/>
      <c r="B6" s="306"/>
      <c r="C6" s="306"/>
      <c r="D6" s="306"/>
      <c r="E6" s="306"/>
    </row>
    <row r="7" spans="1:10">
      <c r="A7" s="306" t="s">
        <v>131</v>
      </c>
      <c r="B7" s="306"/>
      <c r="C7" s="306"/>
      <c r="D7" s="306"/>
      <c r="E7" s="306"/>
    </row>
    <row r="8" spans="1:10">
      <c r="A8" s="306" t="s">
        <v>612</v>
      </c>
      <c r="B8" s="306"/>
      <c r="C8" s="306"/>
      <c r="D8" s="306"/>
      <c r="E8" s="306"/>
    </row>
    <row r="9" spans="1:10" ht="8.25" customHeight="1">
      <c r="A9" s="306"/>
      <c r="B9" s="306"/>
      <c r="C9" s="306"/>
      <c r="D9" s="306"/>
      <c r="E9" s="306"/>
    </row>
    <row r="10" spans="1:10" ht="13.15" customHeight="1">
      <c r="A10" s="306"/>
      <c r="B10" s="306"/>
      <c r="C10" s="765" t="s">
        <v>197</v>
      </c>
      <c r="D10" s="306"/>
      <c r="E10" s="306"/>
    </row>
    <row r="11" spans="1:10" ht="13.15" customHeight="1">
      <c r="A11" s="305" t="s">
        <v>168</v>
      </c>
      <c r="B11" s="306"/>
      <c r="C11" s="765" t="s">
        <v>208</v>
      </c>
      <c r="D11" s="306"/>
      <c r="E11" s="765" t="s">
        <v>177</v>
      </c>
    </row>
    <row r="12" spans="1:10" ht="13.15" customHeight="1">
      <c r="A12" s="305" t="s">
        <v>169</v>
      </c>
      <c r="B12" s="306"/>
      <c r="C12" s="765" t="s">
        <v>209</v>
      </c>
      <c r="D12" s="306"/>
      <c r="E12" s="765" t="s">
        <v>183</v>
      </c>
    </row>
    <row r="13" spans="1:10" ht="13.15" customHeight="1">
      <c r="A13" s="310" t="s">
        <v>170</v>
      </c>
      <c r="B13" s="306"/>
      <c r="C13" s="311" t="s">
        <v>178</v>
      </c>
      <c r="D13" s="306"/>
      <c r="E13" s="311" t="s">
        <v>191</v>
      </c>
    </row>
    <row r="14" spans="1:10" ht="13.15" customHeight="1">
      <c r="A14" s="314" t="s">
        <v>248</v>
      </c>
      <c r="B14" s="306"/>
      <c r="C14" s="306"/>
      <c r="D14" s="306"/>
      <c r="E14" s="306"/>
    </row>
    <row r="15" spans="1:10" ht="13.15" customHeight="1">
      <c r="A15" s="306" t="s">
        <v>316</v>
      </c>
      <c r="B15" s="306"/>
      <c r="C15" s="482">
        <f>+Alloc!K407</f>
        <v>763405538</v>
      </c>
      <c r="D15" s="306"/>
      <c r="E15" s="784">
        <f>+Alloc!K408</f>
        <v>0.29170000000000001</v>
      </c>
    </row>
    <row r="16" spans="1:10" ht="13.15" customHeight="1">
      <c r="A16" s="306" t="s">
        <v>317</v>
      </c>
      <c r="B16" s="306"/>
      <c r="C16" s="332">
        <f>+Alloc!M407</f>
        <v>442809328</v>
      </c>
      <c r="D16" s="306"/>
      <c r="E16" s="366">
        <f>+Alloc!M408</f>
        <v>0.16919999999999999</v>
      </c>
    </row>
    <row r="17" spans="1:5" ht="13.15" customHeight="1">
      <c r="A17" s="306" t="s">
        <v>318</v>
      </c>
      <c r="B17" s="306"/>
      <c r="C17" s="332">
        <f>+Alloc!O407</f>
        <v>119830083</v>
      </c>
      <c r="D17" s="306"/>
      <c r="E17" s="366">
        <f>+Alloc!O408</f>
        <v>4.58E-2</v>
      </c>
    </row>
    <row r="18" spans="1:5" ht="13.15" customHeight="1">
      <c r="A18" s="306" t="s">
        <v>319</v>
      </c>
      <c r="B18" s="306"/>
      <c r="C18" s="332">
        <f>+Alloc!Q407</f>
        <v>137659148</v>
      </c>
      <c r="D18" s="306"/>
      <c r="E18" s="366">
        <f>+Alloc!Q408</f>
        <v>5.2600000000000001E-2</v>
      </c>
    </row>
    <row r="19" spans="1:5" ht="13.15" customHeight="1">
      <c r="A19" s="306" t="s">
        <v>583</v>
      </c>
      <c r="B19" s="306"/>
      <c r="C19" s="332">
        <f>+Alloc!S407</f>
        <v>93310466</v>
      </c>
      <c r="D19" s="306"/>
      <c r="E19" s="366">
        <f>ROUND(+C19/$C$29,4)</f>
        <v>3.5700000000000003E-2</v>
      </c>
    </row>
    <row r="20" spans="1:5" ht="13.15" customHeight="1">
      <c r="A20" s="306" t="s">
        <v>415</v>
      </c>
      <c r="B20" s="306"/>
      <c r="C20" s="332">
        <f>+Alloc!U407</f>
        <v>67174976</v>
      </c>
      <c r="D20" s="306"/>
      <c r="E20" s="366">
        <f>+Alloc!U408</f>
        <v>2.5700000000000001E-2</v>
      </c>
    </row>
    <row r="21" spans="1:5" ht="18" customHeight="1">
      <c r="A21" s="314" t="s">
        <v>249</v>
      </c>
      <c r="B21" s="306"/>
      <c r="C21" s="332"/>
      <c r="D21" s="306"/>
      <c r="E21" s="366"/>
    </row>
    <row r="22" spans="1:5" ht="13.15" customHeight="1">
      <c r="A22" s="306" t="s">
        <v>316</v>
      </c>
      <c r="B22" s="306"/>
      <c r="C22" s="332">
        <f>+Alloc!W407</f>
        <v>805670863</v>
      </c>
      <c r="D22" s="306"/>
      <c r="E22" s="366">
        <f>+Alloc!W408</f>
        <v>0.30790000000000001</v>
      </c>
    </row>
    <row r="23" spans="1:5" ht="13.15" customHeight="1">
      <c r="A23" s="306" t="s">
        <v>317</v>
      </c>
      <c r="B23" s="306"/>
      <c r="C23" s="332">
        <f>+Alloc!Y407</f>
        <v>153989274</v>
      </c>
      <c r="D23" s="306"/>
      <c r="E23" s="366">
        <f>+Alloc!Y408</f>
        <v>5.8799999999999998E-2</v>
      </c>
    </row>
    <row r="24" spans="1:5" ht="13.15" customHeight="1">
      <c r="A24" s="306" t="s">
        <v>318</v>
      </c>
      <c r="B24" s="306"/>
      <c r="C24" s="332">
        <f>+Alloc!AA407</f>
        <v>16290883</v>
      </c>
      <c r="D24" s="306"/>
      <c r="E24" s="366">
        <f>+Alloc!AA408</f>
        <v>6.1999999999999998E-3</v>
      </c>
    </row>
    <row r="25" spans="1:5" ht="13.15" customHeight="1">
      <c r="A25" s="306" t="s">
        <v>319</v>
      </c>
      <c r="B25" s="306"/>
      <c r="C25" s="332">
        <f>+Alloc!AC407</f>
        <v>9057307</v>
      </c>
      <c r="D25" s="306"/>
      <c r="E25" s="366">
        <f>+Alloc!AC408</f>
        <v>3.5000000000000001E-3</v>
      </c>
    </row>
    <row r="26" spans="1:5" ht="13.15" customHeight="1">
      <c r="A26" s="306" t="s">
        <v>583</v>
      </c>
      <c r="B26" s="306"/>
      <c r="C26" s="332">
        <f>+Alloc!AE407</f>
        <v>1893309</v>
      </c>
      <c r="D26" s="306"/>
      <c r="E26" s="366">
        <f>+Alloc!AE408</f>
        <v>6.9999999999999999E-4</v>
      </c>
    </row>
    <row r="27" spans="1:5" ht="13.15" customHeight="1">
      <c r="A27" s="306" t="s">
        <v>415</v>
      </c>
      <c r="B27" s="306"/>
      <c r="C27" s="332">
        <f>+Alloc!AG407</f>
        <v>5627730</v>
      </c>
      <c r="D27" s="306"/>
      <c r="E27" s="366">
        <f>+Alloc!AG408</f>
        <v>2.2000000000000001E-3</v>
      </c>
    </row>
    <row r="28" spans="1:5" ht="7.9" customHeight="1">
      <c r="A28" s="306"/>
      <c r="B28" s="306"/>
      <c r="C28" s="339"/>
      <c r="D28" s="306"/>
      <c r="E28" s="367"/>
    </row>
    <row r="29" spans="1:5" ht="13.15" customHeight="1">
      <c r="A29" s="306" t="s">
        <v>173</v>
      </c>
      <c r="B29" s="306"/>
      <c r="C29" s="482">
        <f>SUM(C15:C27)</f>
        <v>2616718905</v>
      </c>
      <c r="D29" s="306"/>
      <c r="E29" s="366">
        <f>SUM(E15:E27)</f>
        <v>0.99999999999999978</v>
      </c>
    </row>
    <row r="30" spans="1:5" ht="9.6" customHeight="1">
      <c r="A30" s="306"/>
      <c r="B30" s="306"/>
      <c r="C30" s="782"/>
      <c r="D30" s="306"/>
      <c r="E30" s="790"/>
    </row>
    <row r="31" spans="1:5" ht="5.45" customHeight="1">
      <c r="A31" s="306"/>
      <c r="B31" s="306"/>
      <c r="C31" s="306"/>
      <c r="D31" s="306"/>
      <c r="E31" s="306"/>
    </row>
    <row r="32" spans="1:5" ht="13.15" customHeight="1">
      <c r="A32" s="306" t="s">
        <v>132</v>
      </c>
      <c r="B32" s="306"/>
      <c r="C32" s="306"/>
      <c r="D32" s="306"/>
      <c r="E32" s="306"/>
    </row>
    <row r="33" spans="1:5" ht="13.15" customHeight="1">
      <c r="A33" s="306" t="s">
        <v>133</v>
      </c>
      <c r="B33" s="306"/>
      <c r="C33" s="306"/>
      <c r="D33" s="306"/>
      <c r="E33" s="306"/>
    </row>
    <row r="34" spans="1:5" ht="9.6" customHeight="1">
      <c r="A34" s="306"/>
      <c r="B34" s="306"/>
      <c r="C34" s="306"/>
      <c r="D34" s="306"/>
      <c r="E34" s="306"/>
    </row>
    <row r="35" spans="1:5" ht="13.15" customHeight="1">
      <c r="A35" s="306" t="s">
        <v>582</v>
      </c>
      <c r="B35" s="308"/>
      <c r="C35" s="308"/>
      <c r="D35" s="308"/>
      <c r="E35" s="308"/>
    </row>
    <row r="36" spans="1:5" ht="6.6" customHeight="1">
      <c r="A36" s="306"/>
      <c r="B36" s="306"/>
      <c r="C36" s="306"/>
      <c r="D36" s="306"/>
      <c r="E36" s="306"/>
    </row>
    <row r="37" spans="1:5" ht="13.15" customHeight="1">
      <c r="A37" s="306"/>
      <c r="B37" s="306"/>
      <c r="C37" s="765" t="s">
        <v>175</v>
      </c>
      <c r="D37" s="306"/>
      <c r="E37" s="306"/>
    </row>
    <row r="38" spans="1:5" ht="13.15" customHeight="1">
      <c r="A38" s="305" t="s">
        <v>168</v>
      </c>
      <c r="B38" s="306"/>
      <c r="C38" s="765" t="s">
        <v>211</v>
      </c>
      <c r="D38" s="306"/>
      <c r="E38" s="765" t="s">
        <v>177</v>
      </c>
    </row>
    <row r="39" spans="1:5" ht="13.15" customHeight="1">
      <c r="A39" s="305" t="s">
        <v>169</v>
      </c>
      <c r="B39" s="306"/>
      <c r="C39" s="765" t="s">
        <v>168</v>
      </c>
      <c r="D39" s="306"/>
      <c r="E39" s="765" t="s">
        <v>183</v>
      </c>
    </row>
    <row r="40" spans="1:5" ht="13.15" customHeight="1">
      <c r="A40" s="310" t="s">
        <v>170</v>
      </c>
      <c r="B40" s="306"/>
      <c r="C40" s="311" t="s">
        <v>178</v>
      </c>
      <c r="D40" s="306"/>
      <c r="E40" s="311" t="s">
        <v>191</v>
      </c>
    </row>
    <row r="41" spans="1:5" ht="13.15" customHeight="1">
      <c r="A41" s="314" t="s">
        <v>248</v>
      </c>
      <c r="B41" s="306"/>
      <c r="C41" s="306"/>
      <c r="D41" s="306"/>
      <c r="E41" s="306"/>
    </row>
    <row r="42" spans="1:5" ht="13.15" customHeight="1">
      <c r="A42" s="306" t="s">
        <v>316</v>
      </c>
      <c r="B42" s="306"/>
      <c r="C42" s="482">
        <f>+Alloc!K409</f>
        <v>193660504.49572054</v>
      </c>
      <c r="D42" s="306"/>
      <c r="E42" s="784">
        <f>+Alloc!K410</f>
        <v>0.29480000000000001</v>
      </c>
    </row>
    <row r="43" spans="1:5" ht="13.15" customHeight="1">
      <c r="A43" s="306" t="s">
        <v>317</v>
      </c>
      <c r="B43" s="306"/>
      <c r="C43" s="332">
        <f>+Alloc!M409</f>
        <v>87094700.664346769</v>
      </c>
      <c r="D43" s="306"/>
      <c r="E43" s="366">
        <f>+Alloc!M410</f>
        <v>0.1326</v>
      </c>
    </row>
    <row r="44" spans="1:5" ht="13.15" customHeight="1">
      <c r="A44" s="306" t="s">
        <v>318</v>
      </c>
      <c r="B44" s="306"/>
      <c r="C44" s="332">
        <f>+Alloc!O409</f>
        <v>22579788.971979633</v>
      </c>
      <c r="D44" s="306"/>
      <c r="E44" s="366">
        <f>+Alloc!O410</f>
        <v>3.44E-2</v>
      </c>
    </row>
    <row r="45" spans="1:5" ht="13.15" customHeight="1">
      <c r="A45" s="306" t="s">
        <v>319</v>
      </c>
      <c r="B45" s="306"/>
      <c r="C45" s="332">
        <f>+Alloc!Q409</f>
        <v>26134381.679013364</v>
      </c>
      <c r="D45" s="306"/>
      <c r="E45" s="366">
        <f>+Alloc!Q410</f>
        <v>3.9800000000000002E-2</v>
      </c>
    </row>
    <row r="46" spans="1:5" ht="13.15" customHeight="1">
      <c r="A46" s="306" t="s">
        <v>583</v>
      </c>
      <c r="B46" s="306"/>
      <c r="C46" s="332">
        <f>+Alloc!S409</f>
        <v>23193803</v>
      </c>
      <c r="D46" s="306"/>
      <c r="E46" s="366">
        <f>+Alloc!S410</f>
        <v>3.5299999999999998E-2</v>
      </c>
    </row>
    <row r="47" spans="1:5" ht="13.15" customHeight="1">
      <c r="A47" s="306" t="s">
        <v>415</v>
      </c>
      <c r="B47" s="306"/>
      <c r="C47" s="332">
        <f>+Alloc!U409</f>
        <v>13672654</v>
      </c>
      <c r="D47" s="306"/>
      <c r="E47" s="366">
        <f>+Alloc!U410</f>
        <v>2.0799999999999999E-2</v>
      </c>
    </row>
    <row r="48" spans="1:5" ht="16.5" customHeight="1">
      <c r="A48" s="314" t="s">
        <v>249</v>
      </c>
      <c r="B48" s="791"/>
      <c r="C48" s="332"/>
      <c r="D48" s="306"/>
      <c r="E48" s="366"/>
    </row>
    <row r="49" spans="1:7" ht="13.15" customHeight="1">
      <c r="A49" s="306" t="s">
        <v>316</v>
      </c>
      <c r="B49" s="306"/>
      <c r="C49" s="332">
        <f>+Alloc!W409</f>
        <v>233702603.73952484</v>
      </c>
      <c r="D49" s="306"/>
      <c r="E49" s="366">
        <f>+Alloc!W410</f>
        <v>0.35599999999999998</v>
      </c>
    </row>
    <row r="50" spans="1:7" ht="13.15" customHeight="1">
      <c r="A50" s="306" t="s">
        <v>317</v>
      </c>
      <c r="B50" s="306"/>
      <c r="C50" s="332">
        <f>+Alloc!Y409</f>
        <v>45160898.042459249</v>
      </c>
      <c r="D50" s="306"/>
      <c r="E50" s="366">
        <f>+Alloc!Y410</f>
        <v>6.88E-2</v>
      </c>
    </row>
    <row r="51" spans="1:7" ht="13.15" customHeight="1">
      <c r="A51" s="306" t="s">
        <v>318</v>
      </c>
      <c r="B51" s="306"/>
      <c r="C51" s="332">
        <f>+Alloc!AA409</f>
        <v>5635329</v>
      </c>
      <c r="D51" s="306"/>
      <c r="E51" s="366">
        <f>+Alloc!AA410</f>
        <v>8.6E-3</v>
      </c>
    </row>
    <row r="52" spans="1:7" ht="13.15" customHeight="1">
      <c r="A52" s="306" t="s">
        <v>319</v>
      </c>
      <c r="B52" s="306"/>
      <c r="C52" s="332">
        <f>+Alloc!AC409</f>
        <v>3161426</v>
      </c>
      <c r="D52" s="306"/>
      <c r="E52" s="366">
        <f>+Alloc!AC410</f>
        <v>4.7999999999999996E-3</v>
      </c>
    </row>
    <row r="53" spans="1:7" ht="13.15" customHeight="1">
      <c r="A53" s="306" t="s">
        <v>583</v>
      </c>
      <c r="B53" s="306"/>
      <c r="C53" s="332">
        <f>+Alloc!AE409</f>
        <v>762916</v>
      </c>
      <c r="D53" s="306"/>
      <c r="E53" s="366">
        <f>+Alloc!AE410</f>
        <v>1.1999999999999999E-3</v>
      </c>
    </row>
    <row r="54" spans="1:7" ht="13.15" customHeight="1">
      <c r="A54" s="306" t="s">
        <v>415</v>
      </c>
      <c r="B54" s="306"/>
      <c r="C54" s="332">
        <f>+Alloc!AG409</f>
        <v>1917942</v>
      </c>
      <c r="D54" s="306"/>
      <c r="E54" s="366">
        <f>+Alloc!AG410</f>
        <v>2.8999999999999998E-3</v>
      </c>
    </row>
    <row r="55" spans="1:7" ht="7.9" customHeight="1">
      <c r="A55" s="306"/>
      <c r="B55" s="306"/>
      <c r="C55" s="339"/>
      <c r="D55" s="306"/>
      <c r="E55" s="367"/>
    </row>
    <row r="56" spans="1:7" ht="13.15" customHeight="1">
      <c r="A56" s="306" t="s">
        <v>173</v>
      </c>
      <c r="B56" s="306"/>
      <c r="C56" s="482">
        <f>SUM(C42:C54)</f>
        <v>656676947.5930444</v>
      </c>
      <c r="D56" s="306"/>
      <c r="E56" s="366">
        <f>SUM(E42:E54)</f>
        <v>1</v>
      </c>
    </row>
    <row r="57" spans="1:7" ht="9" customHeight="1" thickTop="1">
      <c r="A57" s="306"/>
      <c r="B57" s="306"/>
      <c r="C57" s="782"/>
      <c r="D57" s="306"/>
      <c r="E57" s="790"/>
    </row>
    <row r="58" spans="1:7">
      <c r="A58" s="1097" t="s">
        <v>826</v>
      </c>
      <c r="B58" s="1097"/>
      <c r="C58" s="1097"/>
      <c r="D58" s="1097"/>
      <c r="E58" s="1097"/>
      <c r="F58" s="15"/>
      <c r="G58" s="15"/>
    </row>
    <row r="59" spans="1:7" ht="9" customHeight="1">
      <c r="A59" s="305"/>
      <c r="B59" s="305"/>
      <c r="C59" s="305"/>
      <c r="D59" s="305"/>
      <c r="E59" s="305"/>
    </row>
    <row r="60" spans="1:7">
      <c r="A60" s="305" t="s">
        <v>167</v>
      </c>
      <c r="B60" s="305"/>
      <c r="C60" s="305"/>
      <c r="D60" s="305"/>
      <c r="E60" s="305"/>
    </row>
    <row r="61" spans="1:7" ht="8.4499999999999993" customHeight="1">
      <c r="A61" s="306"/>
      <c r="B61" s="306"/>
      <c r="C61" s="306"/>
      <c r="D61" s="306"/>
      <c r="E61" s="306"/>
    </row>
    <row r="62" spans="1:7" ht="9.6" customHeight="1">
      <c r="A62" s="306"/>
      <c r="B62" s="306"/>
      <c r="C62" s="306"/>
      <c r="D62" s="306"/>
      <c r="E62" s="306"/>
    </row>
    <row r="63" spans="1:7" s="169" customFormat="1">
      <c r="A63" s="306" t="s">
        <v>789</v>
      </c>
      <c r="B63" s="306"/>
      <c r="C63" s="306"/>
      <c r="D63" s="306"/>
      <c r="E63" s="306"/>
    </row>
    <row r="64" spans="1:7" s="170" customFormat="1">
      <c r="A64" s="317" t="s">
        <v>790</v>
      </c>
      <c r="B64" s="317"/>
      <c r="C64" s="317"/>
      <c r="D64" s="317"/>
      <c r="E64" s="317"/>
    </row>
    <row r="65" spans="1:5" s="170" customFormat="1" ht="26.25" customHeight="1">
      <c r="A65" s="306" t="s">
        <v>557</v>
      </c>
      <c r="B65" s="306"/>
      <c r="C65" s="783"/>
      <c r="D65" s="306"/>
      <c r="E65" s="316"/>
    </row>
    <row r="66" spans="1:5" s="170" customFormat="1" ht="27.75" customHeight="1">
      <c r="A66" s="306"/>
      <c r="B66" s="306"/>
      <c r="C66" s="765" t="s">
        <v>197</v>
      </c>
      <c r="D66" s="306"/>
      <c r="E66" s="316"/>
    </row>
    <row r="67" spans="1:5" s="170" customFormat="1" ht="15.75" customHeight="1">
      <c r="A67" s="305" t="s">
        <v>168</v>
      </c>
      <c r="B67" s="306"/>
      <c r="C67" s="765" t="s">
        <v>208</v>
      </c>
      <c r="D67" s="306"/>
      <c r="E67" s="765" t="s">
        <v>177</v>
      </c>
    </row>
    <row r="68" spans="1:5" s="170" customFormat="1" ht="15.75" customHeight="1">
      <c r="A68" s="305" t="s">
        <v>169</v>
      </c>
      <c r="B68" s="306"/>
      <c r="C68" s="765" t="s">
        <v>209</v>
      </c>
      <c r="D68" s="306"/>
      <c r="E68" s="765" t="s">
        <v>183</v>
      </c>
    </row>
    <row r="69" spans="1:5" s="170" customFormat="1" ht="15.75" customHeight="1">
      <c r="A69" s="310" t="s">
        <v>170</v>
      </c>
      <c r="B69" s="306"/>
      <c r="C69" s="311" t="s">
        <v>178</v>
      </c>
      <c r="D69" s="306"/>
      <c r="E69" s="311" t="s">
        <v>191</v>
      </c>
    </row>
    <row r="70" spans="1:5" s="170" customFormat="1" ht="15.75" customHeight="1">
      <c r="A70" s="314" t="s">
        <v>248</v>
      </c>
      <c r="B70" s="306"/>
      <c r="C70" s="306"/>
      <c r="D70" s="306"/>
      <c r="E70" s="316"/>
    </row>
    <row r="71" spans="1:5" s="170" customFormat="1" ht="13.15" customHeight="1">
      <c r="A71" s="306" t="s">
        <v>316</v>
      </c>
      <c r="B71" s="306"/>
      <c r="C71" s="482">
        <f>+Alloc!K411</f>
        <v>467577453</v>
      </c>
      <c r="D71" s="306"/>
      <c r="E71" s="784">
        <f>+Alloc!K412</f>
        <v>0.4365</v>
      </c>
    </row>
    <row r="72" spans="1:5" s="170" customFormat="1" ht="13.15" customHeight="1">
      <c r="A72" s="306" t="s">
        <v>317</v>
      </c>
      <c r="B72" s="306"/>
      <c r="C72" s="332">
        <f>+Alloc!M411</f>
        <v>291026151</v>
      </c>
      <c r="D72" s="306"/>
      <c r="E72" s="366">
        <f>+Alloc!M412</f>
        <v>0.27160000000000001</v>
      </c>
    </row>
    <row r="73" spans="1:5" s="170" customFormat="1" ht="13.15" customHeight="1">
      <c r="A73" s="306" t="s">
        <v>318</v>
      </c>
      <c r="B73" s="306"/>
      <c r="C73" s="332">
        <f>+Alloc!O411</f>
        <v>81237061</v>
      </c>
      <c r="D73" s="306"/>
      <c r="E73" s="366">
        <f>+Alloc!O412</f>
        <v>7.5800000000000006E-2</v>
      </c>
    </row>
    <row r="74" spans="1:5" s="170" customFormat="1" ht="13.15" customHeight="1">
      <c r="A74" s="306" t="s">
        <v>319</v>
      </c>
      <c r="B74" s="306"/>
      <c r="C74" s="332">
        <f>+Alloc!Q411</f>
        <v>93163561</v>
      </c>
      <c r="D74" s="306"/>
      <c r="E74" s="366">
        <f>+Alloc!Q412</f>
        <v>8.6999999999999994E-2</v>
      </c>
    </row>
    <row r="75" spans="1:5" s="170" customFormat="1" ht="13.15" customHeight="1">
      <c r="A75" s="306" t="s">
        <v>583</v>
      </c>
      <c r="B75" s="306"/>
      <c r="C75" s="332">
        <f>+Alloc!S411</f>
        <v>93342444</v>
      </c>
      <c r="D75" s="306"/>
      <c r="E75" s="366">
        <f>+Alloc!S412</f>
        <v>8.7099999999999997E-2</v>
      </c>
    </row>
    <row r="76" spans="1:5" s="170" customFormat="1" ht="13.15" customHeight="1">
      <c r="A76" s="306" t="s">
        <v>415</v>
      </c>
      <c r="B76" s="306"/>
      <c r="C76" s="343">
        <f>+Alloc!U411</f>
        <v>45008471</v>
      </c>
      <c r="D76" s="306"/>
      <c r="E76" s="439">
        <f>+Alloc!U412</f>
        <v>4.2000000000000003E-2</v>
      </c>
    </row>
    <row r="77" spans="1:5" s="170" customFormat="1" ht="13.15" customHeight="1">
      <c r="A77" s="306"/>
      <c r="B77" s="306"/>
      <c r="C77" s="783"/>
      <c r="D77" s="306"/>
      <c r="E77" s="316"/>
    </row>
    <row r="78" spans="1:5" s="170" customFormat="1" ht="13.15" customHeight="1" thickBot="1">
      <c r="A78" s="306" t="s">
        <v>12</v>
      </c>
      <c r="B78" s="306"/>
      <c r="C78" s="500">
        <f>SUM(C71:C77)</f>
        <v>1071355141</v>
      </c>
      <c r="D78" s="306"/>
      <c r="E78" s="368">
        <f>SUM(E71:E77)</f>
        <v>0.99999999999999989</v>
      </c>
    </row>
    <row r="79" spans="1:5" s="170" customFormat="1" ht="13.15" customHeight="1" thickTop="1">
      <c r="A79" s="306"/>
      <c r="B79" s="306"/>
      <c r="C79" s="783"/>
      <c r="D79" s="306"/>
      <c r="E79" s="316"/>
    </row>
    <row r="80" spans="1:5" s="170" customFormat="1" ht="13.15" customHeight="1">
      <c r="A80" s="306"/>
      <c r="B80" s="306"/>
      <c r="C80" s="783"/>
      <c r="D80" s="306"/>
      <c r="E80" s="316"/>
    </row>
    <row r="81" spans="1:5" s="170" customFormat="1" ht="13.15" customHeight="1">
      <c r="A81" s="306" t="s">
        <v>792</v>
      </c>
      <c r="B81" s="306"/>
      <c r="C81" s="783"/>
      <c r="D81" s="306"/>
      <c r="E81" s="316"/>
    </row>
    <row r="82" spans="1:5" s="170" customFormat="1" ht="14.25" customHeight="1">
      <c r="A82" s="317" t="s">
        <v>791</v>
      </c>
      <c r="B82" s="306"/>
      <c r="C82" s="783"/>
      <c r="D82" s="306"/>
      <c r="E82" s="316"/>
    </row>
    <row r="83" spans="1:5" s="170" customFormat="1" ht="25.5" customHeight="1">
      <c r="A83" s="306" t="s">
        <v>570</v>
      </c>
      <c r="B83" s="306"/>
      <c r="C83" s="783"/>
      <c r="D83" s="306"/>
      <c r="E83" s="316"/>
    </row>
    <row r="84" spans="1:5" s="170" customFormat="1" ht="9" customHeight="1">
      <c r="A84" s="317"/>
      <c r="B84" s="306"/>
      <c r="C84" s="783"/>
      <c r="D84" s="306"/>
      <c r="E84" s="316"/>
    </row>
    <row r="85" spans="1:5" s="170" customFormat="1" ht="13.15" customHeight="1">
      <c r="A85" s="306"/>
      <c r="B85" s="306"/>
      <c r="C85" s="765" t="s">
        <v>197</v>
      </c>
      <c r="D85" s="306"/>
      <c r="E85" s="316"/>
    </row>
    <row r="86" spans="1:5" s="170" customFormat="1" ht="13.15" customHeight="1">
      <c r="A86" s="305" t="s">
        <v>168</v>
      </c>
      <c r="B86" s="306"/>
      <c r="C86" s="765" t="s">
        <v>208</v>
      </c>
      <c r="D86" s="306"/>
      <c r="E86" s="765" t="s">
        <v>177</v>
      </c>
    </row>
    <row r="87" spans="1:5" s="170" customFormat="1" ht="13.15" customHeight="1">
      <c r="A87" s="305" t="s">
        <v>169</v>
      </c>
      <c r="B87" s="306"/>
      <c r="C87" s="765" t="s">
        <v>209</v>
      </c>
      <c r="D87" s="306"/>
      <c r="E87" s="765" t="s">
        <v>183</v>
      </c>
    </row>
    <row r="88" spans="1:5" s="170" customFormat="1" ht="13.15" customHeight="1">
      <c r="A88" s="310" t="s">
        <v>170</v>
      </c>
      <c r="B88" s="306"/>
      <c r="C88" s="311" t="s">
        <v>178</v>
      </c>
      <c r="D88" s="306"/>
      <c r="E88" s="311" t="s">
        <v>191</v>
      </c>
    </row>
    <row r="89" spans="1:5" s="170" customFormat="1" ht="13.15" customHeight="1">
      <c r="A89" s="314" t="s">
        <v>248</v>
      </c>
      <c r="B89" s="306"/>
      <c r="C89" s="306"/>
      <c r="D89" s="306"/>
      <c r="E89" s="316"/>
    </row>
    <row r="90" spans="1:5" s="170" customFormat="1" ht="13.15" customHeight="1">
      <c r="A90" s="306" t="s">
        <v>315</v>
      </c>
      <c r="B90" s="306"/>
      <c r="C90" s="482">
        <f>+Alloc!K413</f>
        <v>725151137</v>
      </c>
      <c r="D90" s="306"/>
      <c r="E90" s="784">
        <f>+Alloc!K414</f>
        <v>0.45040000000000002</v>
      </c>
    </row>
    <row r="91" spans="1:5" s="170" customFormat="1" ht="13.35" customHeight="1">
      <c r="A91" s="306" t="s">
        <v>323</v>
      </c>
      <c r="B91" s="306"/>
      <c r="C91" s="332">
        <f>+Alloc!M413</f>
        <v>451343286</v>
      </c>
      <c r="D91" s="306"/>
      <c r="E91" s="366">
        <f>+Alloc!M414</f>
        <v>0.28039999999999998</v>
      </c>
    </row>
    <row r="92" spans="1:5" s="170" customFormat="1" ht="13.15" customHeight="1">
      <c r="A92" s="306" t="s">
        <v>324</v>
      </c>
      <c r="B92" s="306"/>
      <c r="C92" s="332">
        <f>+Alloc!O413</f>
        <v>125987998</v>
      </c>
      <c r="D92" s="306"/>
      <c r="E92" s="366">
        <f>+Alloc!O414</f>
        <v>7.8299999999999995E-2</v>
      </c>
    </row>
    <row r="93" spans="1:5" s="170" customFormat="1" ht="13.15" customHeight="1">
      <c r="A93" s="306" t="s">
        <v>325</v>
      </c>
      <c r="B93" s="306"/>
      <c r="C93" s="332">
        <f>+Alloc!Q413</f>
        <v>144484431</v>
      </c>
      <c r="D93" s="306"/>
      <c r="E93" s="366">
        <f>+Alloc!Q414</f>
        <v>8.9700000000000002E-2</v>
      </c>
    </row>
    <row r="94" spans="1:5" s="170" customFormat="1" ht="13.15" customHeight="1">
      <c r="A94" s="306" t="s">
        <v>454</v>
      </c>
      <c r="B94" s="306"/>
      <c r="C94" s="332">
        <f>+Alloc!S413</f>
        <v>93342444</v>
      </c>
      <c r="D94" s="306"/>
      <c r="E94" s="366">
        <f>+Alloc!S414</f>
        <v>5.8000000000000003E-2</v>
      </c>
    </row>
    <row r="95" spans="1:5" s="170" customFormat="1" ht="13.15" customHeight="1">
      <c r="A95" s="306" t="s">
        <v>584</v>
      </c>
      <c r="B95" s="306"/>
      <c r="C95" s="343">
        <f>+Alloc!U413</f>
        <v>69564942</v>
      </c>
      <c r="D95" s="306"/>
      <c r="E95" s="439">
        <f>+Alloc!U414</f>
        <v>4.3200000000000002E-2</v>
      </c>
    </row>
    <row r="96" spans="1:5" s="170" customFormat="1" ht="9.6" customHeight="1">
      <c r="A96" s="306"/>
      <c r="B96" s="306"/>
      <c r="C96" s="783"/>
      <c r="D96" s="306"/>
      <c r="E96" s="316"/>
    </row>
    <row r="97" spans="1:10" s="170" customFormat="1" ht="13.15" customHeight="1" thickBot="1">
      <c r="A97" s="306" t="s">
        <v>173</v>
      </c>
      <c r="B97" s="306"/>
      <c r="C97" s="500">
        <f>SUM(C90:C96)</f>
        <v>1609874238</v>
      </c>
      <c r="D97" s="306"/>
      <c r="E97" s="368">
        <f>SUM(E90:E96)</f>
        <v>1</v>
      </c>
    </row>
    <row r="98" spans="1:10" s="170" customFormat="1" ht="15.75" customHeight="1" thickTop="1">
      <c r="A98" s="306"/>
      <c r="B98" s="306"/>
      <c r="C98" s="783"/>
      <c r="D98" s="306"/>
      <c r="E98" s="316"/>
    </row>
    <row r="99" spans="1:10" s="170" customFormat="1" ht="15.75" customHeight="1">
      <c r="A99" s="780" t="s">
        <v>826</v>
      </c>
      <c r="B99" s="305"/>
      <c r="C99" s="305"/>
      <c r="D99" s="305"/>
      <c r="E99" s="305"/>
    </row>
    <row r="100" spans="1:10" s="170" customFormat="1" ht="10.5" customHeight="1">
      <c r="A100" s="305"/>
      <c r="B100" s="305"/>
      <c r="C100" s="305"/>
      <c r="D100" s="305"/>
      <c r="E100" s="305"/>
    </row>
    <row r="101" spans="1:10" s="170" customFormat="1" ht="15.75" customHeight="1">
      <c r="A101" s="305" t="s">
        <v>167</v>
      </c>
      <c r="B101" s="305"/>
      <c r="C101" s="305"/>
      <c r="D101" s="305"/>
      <c r="E101" s="305"/>
    </row>
    <row r="102" spans="1:10" s="169" customFormat="1" ht="12" customHeight="1">
      <c r="A102" s="317"/>
      <c r="B102" s="317"/>
      <c r="C102" s="785"/>
      <c r="D102" s="317"/>
      <c r="E102" s="786"/>
    </row>
    <row r="103" spans="1:10">
      <c r="A103" s="306" t="s">
        <v>793</v>
      </c>
      <c r="B103" s="306"/>
      <c r="C103" s="306"/>
      <c r="D103" s="306"/>
      <c r="E103" s="306"/>
    </row>
    <row r="104" spans="1:10" ht="4.5" customHeight="1">
      <c r="A104" s="317"/>
      <c r="B104" s="317"/>
      <c r="C104" s="317"/>
      <c r="D104" s="317"/>
      <c r="E104" s="317"/>
    </row>
    <row r="105" spans="1:10">
      <c r="A105" s="306" t="s">
        <v>561</v>
      </c>
      <c r="B105" s="317"/>
      <c r="C105" s="317"/>
      <c r="D105" s="317"/>
      <c r="E105" s="317"/>
      <c r="F105" s="36"/>
      <c r="G105" s="36"/>
      <c r="H105" s="36"/>
      <c r="I105" s="36"/>
      <c r="J105" s="36"/>
    </row>
    <row r="106" spans="1:10" ht="8.25" customHeight="1">
      <c r="A106" s="317"/>
      <c r="B106" s="317"/>
      <c r="C106" s="317"/>
      <c r="D106" s="317"/>
      <c r="E106" s="317"/>
      <c r="F106" s="36"/>
      <c r="G106" s="36"/>
      <c r="H106" s="36"/>
      <c r="I106" s="36"/>
      <c r="J106" s="36"/>
    </row>
    <row r="107" spans="1:10">
      <c r="A107" s="305" t="s">
        <v>168</v>
      </c>
      <c r="B107" s="306"/>
      <c r="C107" s="787" t="s">
        <v>598</v>
      </c>
      <c r="D107" s="306"/>
      <c r="E107" s="765" t="s">
        <v>177</v>
      </c>
      <c r="F107" s="36"/>
      <c r="G107" s="36"/>
      <c r="H107" s="36"/>
      <c r="I107" s="36"/>
      <c r="J107" s="36"/>
    </row>
    <row r="108" spans="1:10">
      <c r="A108" s="305" t="s">
        <v>169</v>
      </c>
      <c r="B108" s="306"/>
      <c r="C108" s="766" t="s">
        <v>599</v>
      </c>
      <c r="D108" s="306"/>
      <c r="E108" s="765" t="s">
        <v>183</v>
      </c>
      <c r="F108" s="36"/>
      <c r="G108" s="36"/>
      <c r="H108" s="36"/>
      <c r="I108" s="36"/>
      <c r="J108" s="36"/>
    </row>
    <row r="109" spans="1:10">
      <c r="A109" s="310" t="s">
        <v>170</v>
      </c>
      <c r="B109" s="306"/>
      <c r="C109" s="311" t="s">
        <v>178</v>
      </c>
      <c r="D109" s="306"/>
      <c r="E109" s="311" t="s">
        <v>191</v>
      </c>
      <c r="F109" s="36"/>
      <c r="G109" s="36"/>
      <c r="H109" s="36"/>
      <c r="I109" s="36"/>
      <c r="J109" s="36"/>
    </row>
    <row r="110" spans="1:10">
      <c r="A110" s="314" t="s">
        <v>249</v>
      </c>
      <c r="B110" s="306"/>
      <c r="C110" s="306"/>
      <c r="D110" s="306"/>
      <c r="E110" s="306"/>
      <c r="F110" s="36"/>
      <c r="G110" s="36"/>
      <c r="H110" s="36"/>
      <c r="I110" s="36"/>
      <c r="J110" s="36"/>
    </row>
    <row r="111" spans="1:10" ht="13.5" customHeight="1">
      <c r="A111" s="306" t="s">
        <v>315</v>
      </c>
      <c r="B111" s="306"/>
      <c r="C111" s="482">
        <f>[11]Combined!$G$9</f>
        <v>10707726.576666666</v>
      </c>
      <c r="D111" s="306"/>
      <c r="E111" s="768">
        <f>ROUND(+C111/C$118,4)-0.0001</f>
        <v>0.94240000000000002</v>
      </c>
      <c r="F111" s="36"/>
      <c r="G111" s="36"/>
      <c r="H111" s="36"/>
      <c r="I111" s="36"/>
      <c r="J111" s="36"/>
    </row>
    <row r="112" spans="1:10" ht="13.5" customHeight="1">
      <c r="A112" s="306" t="s">
        <v>323</v>
      </c>
      <c r="B112" s="306"/>
      <c r="C112" s="332">
        <f>[11]Combined!$G$10</f>
        <v>528150.12</v>
      </c>
      <c r="D112" s="306"/>
      <c r="E112" s="768">
        <f t="shared" ref="E112:E116" si="0">ROUND(+C112/C$118,4)</f>
        <v>4.65E-2</v>
      </c>
      <c r="F112" s="36"/>
      <c r="G112" s="36"/>
      <c r="H112" s="36"/>
      <c r="I112" s="36"/>
      <c r="J112" s="36"/>
    </row>
    <row r="113" spans="1:11" ht="13.5" customHeight="1">
      <c r="A113" s="306" t="s">
        <v>324</v>
      </c>
      <c r="B113" s="306"/>
      <c r="C113" s="332">
        <f>[11]Combined!$G$11</f>
        <v>5442.6566666666668</v>
      </c>
      <c r="D113" s="306"/>
      <c r="E113" s="768">
        <f t="shared" si="0"/>
        <v>5.0000000000000001E-4</v>
      </c>
      <c r="F113" s="36"/>
      <c r="G113" s="140"/>
      <c r="H113" s="225"/>
      <c r="I113" s="225"/>
      <c r="J113" s="225"/>
      <c r="K113" s="4"/>
    </row>
    <row r="114" spans="1:11" ht="13.5" customHeight="1">
      <c r="A114" s="306" t="s">
        <v>325</v>
      </c>
      <c r="B114" s="306"/>
      <c r="C114" s="332">
        <f>[11]Combined!$G$12</f>
        <v>24572.926666666666</v>
      </c>
      <c r="D114" s="306"/>
      <c r="E114" s="768">
        <f t="shared" si="0"/>
        <v>2.2000000000000001E-3</v>
      </c>
      <c r="F114" s="36"/>
      <c r="G114" s="140"/>
      <c r="H114" s="227"/>
      <c r="I114" s="227"/>
      <c r="J114" s="227"/>
      <c r="K114" s="4"/>
    </row>
    <row r="115" spans="1:11" ht="13.5" customHeight="1">
      <c r="A115" s="306" t="s">
        <v>454</v>
      </c>
      <c r="B115" s="306"/>
      <c r="C115" s="332">
        <f>[11]Combined!$G$13</f>
        <v>82479.333333333328</v>
      </c>
      <c r="D115" s="306"/>
      <c r="E115" s="768">
        <f t="shared" si="0"/>
        <v>7.3000000000000001E-3</v>
      </c>
      <c r="F115" s="36"/>
      <c r="G115" s="140"/>
      <c r="H115" s="227"/>
      <c r="I115" s="227"/>
      <c r="J115" s="227"/>
      <c r="K115" s="4"/>
    </row>
    <row r="116" spans="1:11" s="36" customFormat="1" ht="13.5" customHeight="1">
      <c r="A116" s="317" t="s">
        <v>584</v>
      </c>
      <c r="B116" s="317"/>
      <c r="C116" s="343">
        <f>[11]Combined!$G$14</f>
        <v>12795.666666666666</v>
      </c>
      <c r="D116" s="317"/>
      <c r="E116" s="439">
        <f t="shared" si="0"/>
        <v>1.1000000000000001E-3</v>
      </c>
      <c r="G116" s="140"/>
      <c r="H116" s="227"/>
      <c r="I116" s="227"/>
      <c r="J116" s="227"/>
      <c r="K116" s="140"/>
    </row>
    <row r="117" spans="1:11" ht="7.5" customHeight="1">
      <c r="A117" s="306"/>
      <c r="B117" s="306"/>
      <c r="C117" s="332"/>
      <c r="D117" s="306"/>
      <c r="E117" s="366"/>
      <c r="F117" s="36"/>
      <c r="G117" s="140"/>
      <c r="H117" s="227"/>
      <c r="I117" s="227"/>
      <c r="J117" s="227"/>
      <c r="K117" s="4"/>
    </row>
    <row r="118" spans="1:11" ht="15.75" thickBot="1">
      <c r="A118" s="306" t="s">
        <v>173</v>
      </c>
      <c r="B118" s="306"/>
      <c r="C118" s="500">
        <f>SUM(C111:C117)</f>
        <v>11361167.279999997</v>
      </c>
      <c r="D118" s="306"/>
      <c r="E118" s="368">
        <f>SUM(E111:E116)</f>
        <v>0.99999999999999989</v>
      </c>
      <c r="F118" s="36"/>
      <c r="G118" s="140"/>
      <c r="H118" s="227"/>
      <c r="I118" s="227"/>
      <c r="J118" s="227"/>
      <c r="K118" s="4"/>
    </row>
    <row r="119" spans="1:11" ht="15.75" thickTop="1">
      <c r="A119" s="306"/>
      <c r="B119" s="306"/>
      <c r="C119" s="786"/>
      <c r="D119" s="306"/>
      <c r="E119" s="306"/>
      <c r="F119" s="36"/>
      <c r="G119" s="140"/>
      <c r="H119" s="227"/>
      <c r="I119" s="227"/>
      <c r="J119" s="227"/>
      <c r="K119" s="4"/>
    </row>
    <row r="120" spans="1:11" ht="6.6" customHeight="1">
      <c r="A120" s="305"/>
      <c r="B120" s="305"/>
      <c r="C120" s="305"/>
      <c r="D120" s="305"/>
      <c r="E120" s="305"/>
      <c r="F120" s="36"/>
      <c r="G120" s="140"/>
      <c r="H120" s="229"/>
      <c r="I120" s="229"/>
      <c r="J120" s="229"/>
      <c r="K120" s="4"/>
    </row>
    <row r="121" spans="1:11" ht="17.25" customHeight="1">
      <c r="A121" s="306" t="s">
        <v>794</v>
      </c>
      <c r="B121" s="306"/>
      <c r="C121" s="306"/>
      <c r="D121" s="306"/>
      <c r="E121" s="306"/>
      <c r="F121" s="36"/>
      <c r="G121" s="140"/>
      <c r="H121" s="227"/>
      <c r="I121" s="227"/>
      <c r="J121" s="227"/>
      <c r="K121" s="4"/>
    </row>
    <row r="122" spans="1:11" ht="3" customHeight="1">
      <c r="A122" s="317"/>
      <c r="B122" s="317"/>
      <c r="C122" s="317"/>
      <c r="D122" s="317"/>
      <c r="E122" s="317"/>
      <c r="F122" s="36"/>
      <c r="G122" s="140"/>
      <c r="H122" s="227"/>
      <c r="I122" s="227"/>
      <c r="J122" s="227"/>
      <c r="K122" s="4"/>
    </row>
    <row r="123" spans="1:11">
      <c r="A123" s="306" t="s">
        <v>556</v>
      </c>
      <c r="B123" s="317"/>
      <c r="C123" s="317"/>
      <c r="D123" s="317"/>
      <c r="E123" s="317"/>
      <c r="F123" s="36"/>
      <c r="G123" s="36"/>
      <c r="H123" s="140"/>
      <c r="I123" s="140"/>
      <c r="J123" s="140"/>
    </row>
    <row r="124" spans="1:11" ht="6" customHeight="1">
      <c r="A124" s="317"/>
      <c r="B124" s="317"/>
      <c r="C124" s="317"/>
      <c r="D124" s="317"/>
      <c r="E124" s="317"/>
      <c r="F124" s="36"/>
      <c r="G124" s="36"/>
      <c r="H124" s="229"/>
      <c r="I124" s="229"/>
      <c r="J124" s="229"/>
    </row>
    <row r="125" spans="1:11">
      <c r="A125" s="305" t="s">
        <v>168</v>
      </c>
      <c r="B125" s="306"/>
      <c r="C125" s="306"/>
      <c r="D125" s="306"/>
      <c r="E125" s="765" t="s">
        <v>177</v>
      </c>
      <c r="F125" s="168"/>
      <c r="G125" s="168"/>
      <c r="H125" s="36"/>
      <c r="I125" s="231"/>
      <c r="J125" s="36"/>
    </row>
    <row r="126" spans="1:11" ht="14.45" customHeight="1">
      <c r="A126" s="305" t="s">
        <v>169</v>
      </c>
      <c r="B126" s="306"/>
      <c r="C126" s="788" t="s">
        <v>540</v>
      </c>
      <c r="D126" s="306"/>
      <c r="E126" s="765" t="s">
        <v>183</v>
      </c>
      <c r="F126" s="236"/>
      <c r="G126" s="236"/>
      <c r="H126" s="236"/>
      <c r="I126" s="236"/>
      <c r="J126" s="36"/>
    </row>
    <row r="127" spans="1:11">
      <c r="A127" s="310" t="s">
        <v>170</v>
      </c>
      <c r="B127" s="306"/>
      <c r="C127" s="311" t="s">
        <v>178</v>
      </c>
      <c r="D127" s="306"/>
      <c r="E127" s="311" t="s">
        <v>191</v>
      </c>
      <c r="F127" s="168"/>
      <c r="G127" s="140"/>
      <c r="H127" s="130"/>
      <c r="I127" s="140"/>
      <c r="J127" s="36"/>
    </row>
    <row r="128" spans="1:11">
      <c r="A128" s="314" t="s">
        <v>249</v>
      </c>
      <c r="B128" s="306"/>
      <c r="C128" s="306"/>
      <c r="D128" s="306"/>
      <c r="E128" s="306"/>
      <c r="F128" s="168"/>
      <c r="G128" s="140"/>
      <c r="H128" s="130"/>
      <c r="I128" s="140"/>
      <c r="J128" s="36"/>
    </row>
    <row r="129" spans="1:10" ht="13.5" customHeight="1">
      <c r="A129" s="306" t="s">
        <v>315</v>
      </c>
      <c r="B129" s="306"/>
      <c r="C129" s="482">
        <f>'[12]FTY Updated Filing'!$C$10</f>
        <v>3208594.7449178407</v>
      </c>
      <c r="D129" s="306"/>
      <c r="E129" s="768">
        <f>ROUND(+C129/C$136,6)</f>
        <v>0.63944900000000005</v>
      </c>
      <c r="F129" s="168"/>
      <c r="G129" s="140"/>
      <c r="H129" s="130"/>
      <c r="I129" s="140"/>
      <c r="J129" s="36"/>
    </row>
    <row r="130" spans="1:10" ht="13.5" customHeight="1">
      <c r="A130" s="306" t="s">
        <v>323</v>
      </c>
      <c r="B130" s="306"/>
      <c r="C130" s="332">
        <f>'[12]FTY Updated Filing'!$C$11+'[12]FTY Updated Filing'!$C$12</f>
        <v>1265902.4623291467</v>
      </c>
      <c r="D130" s="306"/>
      <c r="E130" s="768">
        <f t="shared" ref="E130:E134" si="1">ROUND(+C130/C$136,6)</f>
        <v>0.25228499999999998</v>
      </c>
      <c r="F130" s="168"/>
      <c r="G130" s="140"/>
      <c r="H130" s="130"/>
      <c r="I130" s="131"/>
      <c r="J130" s="36"/>
    </row>
    <row r="131" spans="1:10" ht="13.5" customHeight="1">
      <c r="A131" s="306" t="s">
        <v>324</v>
      </c>
      <c r="B131" s="306"/>
      <c r="C131" s="332">
        <f>'[12]FTY Updated Filing'!$C$13</f>
        <v>192421.31973509555</v>
      </c>
      <c r="D131" s="306"/>
      <c r="E131" s="768">
        <f t="shared" si="1"/>
        <v>3.8348E-2</v>
      </c>
      <c r="F131" s="168"/>
      <c r="G131" s="168"/>
      <c r="H131" s="36"/>
      <c r="I131" s="36"/>
      <c r="J131" s="36"/>
    </row>
    <row r="132" spans="1:10" ht="13.5" customHeight="1">
      <c r="A132" s="306" t="s">
        <v>325</v>
      </c>
      <c r="B132" s="306"/>
      <c r="C132" s="332">
        <f>'[12]FTY Updated Filing'!$C$14</f>
        <v>153845.98254517451</v>
      </c>
      <c r="D132" s="306"/>
      <c r="E132" s="768">
        <f t="shared" si="1"/>
        <v>3.066E-2</v>
      </c>
      <c r="F132" s="168"/>
      <c r="G132" s="168"/>
      <c r="H132" s="36"/>
      <c r="I132" s="36"/>
      <c r="J132" s="36"/>
    </row>
    <row r="133" spans="1:10" ht="13.5" customHeight="1">
      <c r="A133" s="306" t="s">
        <v>454</v>
      </c>
      <c r="B133" s="306"/>
      <c r="C133" s="332">
        <f>'[12]FTY Updated Filing'!$C$15</f>
        <v>68019.901699308393</v>
      </c>
      <c r="D133" s="306"/>
      <c r="E133" s="768">
        <f t="shared" si="1"/>
        <v>1.3556E-2</v>
      </c>
      <c r="F133" s="168"/>
      <c r="G133" s="168"/>
      <c r="H133" s="36"/>
      <c r="I133" s="36"/>
      <c r="J133" s="36"/>
    </row>
    <row r="134" spans="1:10" ht="13.5" customHeight="1">
      <c r="A134" s="317" t="s">
        <v>584</v>
      </c>
      <c r="B134" s="317"/>
      <c r="C134" s="343">
        <f>'[12]FTY Updated Filing'!$C$16</f>
        <v>128964.57710676921</v>
      </c>
      <c r="D134" s="317"/>
      <c r="E134" s="439">
        <f t="shared" si="1"/>
        <v>2.5701999999999999E-2</v>
      </c>
      <c r="F134" s="36"/>
      <c r="G134" s="36"/>
      <c r="H134" s="36"/>
      <c r="I134" s="36"/>
      <c r="J134" s="36"/>
    </row>
    <row r="135" spans="1:10" ht="7.5" customHeight="1">
      <c r="A135" s="306"/>
      <c r="B135" s="306"/>
      <c r="C135" s="332"/>
      <c r="D135" s="306"/>
      <c r="E135" s="366"/>
      <c r="F135" s="18"/>
      <c r="G135" s="18"/>
    </row>
    <row r="136" spans="1:10" ht="15.75" thickBot="1">
      <c r="A136" s="306" t="s">
        <v>173</v>
      </c>
      <c r="B136" s="306"/>
      <c r="C136" s="500">
        <f>SUM(C129:C135)</f>
        <v>5017748.9883333351</v>
      </c>
      <c r="D136" s="306"/>
      <c r="E136" s="368">
        <f>SUM(E129:E134)</f>
        <v>1</v>
      </c>
      <c r="F136" s="18"/>
      <c r="G136" s="18"/>
    </row>
    <row r="137" spans="1:10" ht="15.75" thickTop="1">
      <c r="A137" s="306"/>
      <c r="B137" s="306"/>
      <c r="C137" s="786"/>
      <c r="D137" s="306"/>
      <c r="E137" s="306"/>
      <c r="F137" s="18"/>
      <c r="G137" s="18"/>
    </row>
    <row r="138" spans="1:10">
      <c r="A138" s="306" t="s">
        <v>845</v>
      </c>
      <c r="B138" s="306"/>
      <c r="C138" s="306"/>
      <c r="D138" s="306"/>
      <c r="E138" s="306"/>
      <c r="F138" s="18"/>
      <c r="G138" s="18"/>
    </row>
    <row r="139" spans="1:10" ht="4.5" customHeight="1">
      <c r="A139" s="317"/>
      <c r="B139" s="317"/>
      <c r="C139" s="317"/>
      <c r="D139" s="317"/>
      <c r="E139" s="317"/>
      <c r="F139" s="18"/>
      <c r="G139" s="18"/>
    </row>
    <row r="140" spans="1:10">
      <c r="A140" s="306" t="s">
        <v>846</v>
      </c>
      <c r="B140" s="317"/>
      <c r="C140" s="317"/>
      <c r="D140" s="317"/>
      <c r="E140" s="317"/>
      <c r="F140" s="18"/>
      <c r="G140" s="18"/>
    </row>
    <row r="141" spans="1:10" ht="7.5" customHeight="1">
      <c r="A141" s="317"/>
      <c r="B141" s="317"/>
      <c r="C141" s="317"/>
      <c r="D141" s="317"/>
      <c r="E141" s="317"/>
    </row>
    <row r="142" spans="1:10">
      <c r="A142" s="305" t="s">
        <v>168</v>
      </c>
      <c r="B142" s="306"/>
      <c r="C142" s="1075">
        <v>2018</v>
      </c>
      <c r="D142" s="306"/>
      <c r="E142" s="1075" t="s">
        <v>177</v>
      </c>
    </row>
    <row r="143" spans="1:10">
      <c r="A143" s="305" t="s">
        <v>169</v>
      </c>
      <c r="B143" s="306"/>
      <c r="C143" s="788" t="s">
        <v>38</v>
      </c>
      <c r="D143" s="306"/>
      <c r="E143" s="1075" t="s">
        <v>183</v>
      </c>
    </row>
    <row r="144" spans="1:10">
      <c r="A144" s="310" t="s">
        <v>170</v>
      </c>
      <c r="B144" s="306"/>
      <c r="C144" s="311" t="s">
        <v>178</v>
      </c>
      <c r="D144" s="306"/>
      <c r="E144" s="311" t="s">
        <v>191</v>
      </c>
    </row>
    <row r="145" spans="1:11">
      <c r="A145" s="314" t="s">
        <v>249</v>
      </c>
      <c r="B145" s="306"/>
      <c r="C145" s="306"/>
      <c r="D145" s="306"/>
      <c r="E145" s="306"/>
    </row>
    <row r="146" spans="1:11" ht="13.5" customHeight="1">
      <c r="A146" s="306" t="s">
        <v>315</v>
      </c>
      <c r="B146" s="306"/>
      <c r="C146" s="482">
        <v>4510000</v>
      </c>
      <c r="D146" s="306"/>
      <c r="E146" s="768">
        <f>ROUND(+C146/C$153,6)</f>
        <v>0.238372</v>
      </c>
    </row>
    <row r="147" spans="1:11" ht="13.5" customHeight="1">
      <c r="A147" s="306" t="s">
        <v>323</v>
      </c>
      <c r="B147" s="306"/>
      <c r="C147" s="332">
        <v>12829000</v>
      </c>
      <c r="D147" s="306"/>
      <c r="E147" s="768">
        <f t="shared" ref="E147:E151" si="2">ROUND(+C147/C$153,6)</f>
        <v>0.67806599999999995</v>
      </c>
    </row>
    <row r="148" spans="1:11" ht="13.5" customHeight="1">
      <c r="A148" s="306" t="s">
        <v>324</v>
      </c>
      <c r="B148" s="306"/>
      <c r="C148" s="332">
        <v>895000</v>
      </c>
      <c r="D148" s="306"/>
      <c r="E148" s="768">
        <f t="shared" si="2"/>
        <v>4.7303999999999999E-2</v>
      </c>
    </row>
    <row r="149" spans="1:11" ht="13.5" customHeight="1">
      <c r="A149" s="306" t="s">
        <v>325</v>
      </c>
      <c r="B149" s="306"/>
      <c r="C149" s="332">
        <v>549000</v>
      </c>
      <c r="D149" s="306"/>
      <c r="E149" s="768">
        <f t="shared" si="2"/>
        <v>2.9017000000000001E-2</v>
      </c>
    </row>
    <row r="150" spans="1:11" ht="13.5" customHeight="1">
      <c r="A150" s="306" t="s">
        <v>454</v>
      </c>
      <c r="B150" s="306"/>
      <c r="C150" s="332">
        <v>8000</v>
      </c>
      <c r="D150" s="306"/>
      <c r="E150" s="768">
        <f t="shared" si="2"/>
        <v>4.2299999999999998E-4</v>
      </c>
    </row>
    <row r="151" spans="1:11" ht="13.5" customHeight="1">
      <c r="A151" s="317" t="s">
        <v>584</v>
      </c>
      <c r="B151" s="317"/>
      <c r="C151" s="343">
        <v>129000</v>
      </c>
      <c r="D151" s="317"/>
      <c r="E151" s="439">
        <f t="shared" si="2"/>
        <v>6.8180000000000003E-3</v>
      </c>
    </row>
    <row r="152" spans="1:11" ht="8.25" customHeight="1">
      <c r="A152" s="306"/>
      <c r="B152" s="306"/>
      <c r="C152" s="332"/>
      <c r="D152" s="306"/>
      <c r="E152" s="366"/>
    </row>
    <row r="153" spans="1:11" ht="15.75" thickBot="1">
      <c r="A153" s="306" t="s">
        <v>173</v>
      </c>
      <c r="B153" s="306"/>
      <c r="C153" s="500">
        <f>SUM(C146:C152)</f>
        <v>18920000</v>
      </c>
      <c r="D153" s="306"/>
      <c r="E153" s="368">
        <f>SUM(E146:E151)</f>
        <v>0.99999999999999989</v>
      </c>
    </row>
    <row r="154" spans="1:11" ht="15.75" thickTop="1">
      <c r="A154" s="306"/>
      <c r="B154" s="306"/>
      <c r="C154" s="306"/>
      <c r="D154" s="306"/>
      <c r="E154" s="306"/>
    </row>
    <row r="155" spans="1:11">
      <c r="A155" s="306"/>
      <c r="B155" s="306"/>
      <c r="C155" s="316"/>
      <c r="D155" s="306"/>
      <c r="E155" s="306"/>
    </row>
    <row r="156" spans="1:11">
      <c r="A156" s="306"/>
      <c r="B156" s="306"/>
      <c r="C156" s="306"/>
      <c r="D156" s="306"/>
      <c r="E156" s="306"/>
    </row>
    <row r="157" spans="1:11">
      <c r="A157" s="305"/>
      <c r="B157" s="305"/>
      <c r="C157" s="305"/>
      <c r="D157" s="305"/>
      <c r="E157" s="305"/>
      <c r="F157" s="36"/>
      <c r="G157" s="140"/>
      <c r="H157" s="229"/>
      <c r="I157" s="229"/>
      <c r="J157" s="229"/>
      <c r="K157" s="4"/>
    </row>
    <row r="158" spans="1:11" ht="17.25" customHeight="1">
      <c r="A158" s="305"/>
      <c r="B158" s="305"/>
      <c r="C158" s="305"/>
      <c r="D158" s="305"/>
      <c r="E158" s="305"/>
      <c r="F158" s="36"/>
      <c r="G158" s="140"/>
      <c r="H158" s="227"/>
      <c r="I158" s="227"/>
      <c r="J158" s="227"/>
      <c r="K158" s="4"/>
    </row>
    <row r="159" spans="1:11">
      <c r="A159" s="305"/>
      <c r="B159" s="305"/>
      <c r="C159" s="305"/>
      <c r="D159" s="305"/>
      <c r="E159" s="305"/>
      <c r="F159" s="36"/>
      <c r="G159" s="140"/>
      <c r="H159" s="227"/>
      <c r="I159" s="227"/>
      <c r="J159" s="227"/>
      <c r="K159" s="4"/>
    </row>
    <row r="160" spans="1:11">
      <c r="A160" s="306"/>
      <c r="B160" s="306"/>
      <c r="C160" s="306"/>
      <c r="D160" s="306"/>
      <c r="E160" s="306"/>
      <c r="F160" s="36"/>
      <c r="G160" s="36"/>
      <c r="H160" s="140"/>
      <c r="I160" s="140"/>
      <c r="J160" s="140"/>
    </row>
    <row r="161" spans="1:5">
      <c r="A161" s="306"/>
      <c r="B161" s="306"/>
      <c r="C161" s="306"/>
      <c r="D161" s="306"/>
      <c r="E161" s="306"/>
    </row>
    <row r="162" spans="1:5">
      <c r="A162" s="317"/>
      <c r="B162" s="317"/>
      <c r="C162" s="317"/>
      <c r="D162" s="306"/>
      <c r="E162" s="306"/>
    </row>
    <row r="163" spans="1:5">
      <c r="A163" s="306"/>
      <c r="B163" s="317"/>
      <c r="C163" s="317"/>
      <c r="D163" s="306"/>
      <c r="E163" s="306"/>
    </row>
    <row r="164" spans="1:5">
      <c r="A164" s="317"/>
      <c r="B164" s="317"/>
      <c r="C164" s="317"/>
      <c r="D164" s="306"/>
      <c r="E164" s="306"/>
    </row>
    <row r="165" spans="1:5">
      <c r="A165" s="306"/>
      <c r="B165" s="306"/>
      <c r="C165" s="306"/>
      <c r="D165" s="306"/>
      <c r="E165" s="306"/>
    </row>
    <row r="166" spans="1:5">
      <c r="A166" s="305"/>
      <c r="B166" s="306"/>
      <c r="C166" s="765"/>
      <c r="D166" s="306"/>
      <c r="E166" s="306"/>
    </row>
    <row r="167" spans="1:5">
      <c r="A167" s="305"/>
      <c r="B167" s="306"/>
      <c r="C167" s="765"/>
      <c r="D167" s="306"/>
      <c r="E167" s="306"/>
    </row>
    <row r="168" spans="1:5">
      <c r="A168" s="310"/>
      <c r="B168" s="306"/>
      <c r="C168" s="789"/>
      <c r="D168" s="306"/>
      <c r="E168" s="306"/>
    </row>
    <row r="169" spans="1:5">
      <c r="A169" s="314"/>
      <c r="B169" s="306"/>
      <c r="C169" s="306"/>
      <c r="D169" s="306"/>
      <c r="E169" s="306"/>
    </row>
    <row r="170" spans="1:5">
      <c r="A170" s="306"/>
      <c r="B170" s="306"/>
      <c r="C170" s="786"/>
      <c r="D170" s="306"/>
      <c r="E170" s="306"/>
    </row>
    <row r="171" spans="1:5">
      <c r="A171" s="306"/>
      <c r="B171" s="306"/>
      <c r="C171" s="786"/>
      <c r="D171" s="306"/>
      <c r="E171" s="306"/>
    </row>
    <row r="172" spans="1:5">
      <c r="A172" s="306"/>
      <c r="B172" s="306"/>
      <c r="C172" s="786"/>
      <c r="D172" s="306"/>
      <c r="E172" s="306"/>
    </row>
    <row r="173" spans="1:5">
      <c r="A173" s="306"/>
      <c r="B173" s="306"/>
      <c r="C173" s="786"/>
      <c r="D173" s="306"/>
      <c r="E173" s="306"/>
    </row>
    <row r="174" spans="1:5">
      <c r="A174" s="4"/>
      <c r="B174" s="4"/>
      <c r="C174" s="131"/>
    </row>
    <row r="175" spans="1:5">
      <c r="A175" s="4"/>
      <c r="B175" s="4"/>
      <c r="C175" s="293"/>
    </row>
    <row r="176" spans="1:5">
      <c r="A176" s="4"/>
      <c r="B176" s="4"/>
      <c r="C176" s="131"/>
    </row>
    <row r="177" spans="1:3">
      <c r="A177" s="4"/>
      <c r="B177" s="4"/>
      <c r="C177" s="12"/>
    </row>
  </sheetData>
  <mergeCells count="2">
    <mergeCell ref="A1:E1"/>
    <mergeCell ref="A58:E58"/>
  </mergeCells>
  <phoneticPr fontId="9" type="noConversion"/>
  <printOptions horizontalCentered="1"/>
  <pageMargins left="0.4" right="0.4" top="0.9" bottom="0" header="0" footer="0"/>
  <pageSetup scale="96" orientation="portrait" r:id="rId1"/>
  <headerFooter alignWithMargins="0"/>
  <rowBreaks count="3" manualBreakCount="3">
    <brk id="57" max="4" man="1"/>
    <brk id="98" max="4" man="1"/>
    <brk id="15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84"/>
  <sheetViews>
    <sheetView workbookViewId="0">
      <selection sqref="A1:Q1"/>
    </sheetView>
  </sheetViews>
  <sheetFormatPr defaultColWidth="9.6640625" defaultRowHeight="15"/>
  <cols>
    <col min="1" max="1" width="6" style="1" customWidth="1"/>
    <col min="2" max="2" width="1.44140625" style="1" customWidth="1"/>
    <col min="3" max="3" width="30.21875" style="1" customWidth="1"/>
    <col min="4" max="4" width="3" style="1" customWidth="1"/>
    <col min="5" max="5" width="13.88671875" style="1" customWidth="1"/>
    <col min="6" max="6" width="1.6640625" style="1" customWidth="1"/>
    <col min="7" max="7" width="13.33203125" style="1" bestFit="1" customWidth="1"/>
    <col min="8" max="8" width="1.5546875" style="1" customWidth="1"/>
    <col min="9" max="9" width="12.21875" style="1" bestFit="1" customWidth="1"/>
    <col min="10" max="10" width="1.21875" style="1" customWidth="1"/>
    <col min="11" max="11" width="11.21875" style="1" bestFit="1" customWidth="1"/>
    <col min="12" max="12" width="1.6640625" style="1" customWidth="1"/>
    <col min="13" max="13" width="11.21875" style="1" bestFit="1" customWidth="1"/>
    <col min="14" max="14" width="1.5546875" style="1" customWidth="1"/>
    <col min="15" max="15" width="12.21875" style="1" bestFit="1" customWidth="1"/>
    <col min="16" max="16" width="1.33203125" style="1" customWidth="1"/>
    <col min="17" max="17" width="11.109375" style="1" customWidth="1"/>
    <col min="18" max="16384" width="9.6640625" style="1"/>
  </cols>
  <sheetData>
    <row r="1" spans="1:20">
      <c r="A1" s="1087" t="s">
        <v>826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</row>
    <row r="2" spans="1:20">
      <c r="A2" s="9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8"/>
    </row>
    <row r="3" spans="1:20">
      <c r="A3" s="1087" t="s">
        <v>212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</row>
    <row r="4" spans="1:20" ht="7.9" customHeight="1">
      <c r="A4" s="1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68"/>
    </row>
    <row r="5" spans="1:20">
      <c r="A5" s="34"/>
      <c r="B5" s="11"/>
      <c r="C5" s="34"/>
      <c r="D5" s="34"/>
      <c r="E5" s="128" t="s">
        <v>211</v>
      </c>
      <c r="F5" s="128"/>
      <c r="G5" s="60"/>
      <c r="H5" s="34"/>
      <c r="I5" s="128"/>
      <c r="J5" s="34"/>
      <c r="K5" s="60"/>
      <c r="L5" s="60"/>
      <c r="M5" s="60"/>
      <c r="N5" s="34"/>
      <c r="O5" s="69"/>
      <c r="T5" s="1" t="s">
        <v>835</v>
      </c>
    </row>
    <row r="6" spans="1:20">
      <c r="A6" s="213"/>
      <c r="B6" s="213"/>
      <c r="C6" s="142"/>
      <c r="D6" s="34"/>
      <c r="E6" s="127" t="s">
        <v>168</v>
      </c>
      <c r="F6" s="128"/>
      <c r="G6" s="60" t="s">
        <v>314</v>
      </c>
      <c r="H6" s="34"/>
      <c r="I6" s="127" t="s">
        <v>310</v>
      </c>
      <c r="J6" s="34"/>
      <c r="K6" s="60" t="s">
        <v>311</v>
      </c>
      <c r="L6" s="60"/>
      <c r="M6" s="60" t="s">
        <v>312</v>
      </c>
      <c r="N6" s="34"/>
      <c r="O6" s="69" t="s">
        <v>452</v>
      </c>
      <c r="Q6" s="69" t="s">
        <v>414</v>
      </c>
    </row>
    <row r="7" spans="1:20">
      <c r="A7" s="1098"/>
      <c r="B7" s="1098"/>
      <c r="C7" s="142"/>
      <c r="D7" s="34"/>
      <c r="E7" s="82">
        <f>+-1</f>
        <v>-1</v>
      </c>
      <c r="F7" s="34"/>
      <c r="G7" s="82">
        <f>+E7-1</f>
        <v>-2</v>
      </c>
      <c r="H7" s="34"/>
      <c r="I7" s="82">
        <f>+G7-1</f>
        <v>-3</v>
      </c>
      <c r="J7" s="34"/>
      <c r="K7" s="82">
        <f>+I7-1</f>
        <v>-4</v>
      </c>
      <c r="L7" s="34"/>
      <c r="M7" s="82">
        <f>+K7-1</f>
        <v>-5</v>
      </c>
      <c r="N7" s="34"/>
      <c r="O7" s="82">
        <f>+M7-1</f>
        <v>-6</v>
      </c>
      <c r="Q7" s="82">
        <f>+O7-1</f>
        <v>-7</v>
      </c>
    </row>
    <row r="8" spans="1:20" ht="10.15" customHeight="1">
      <c r="A8" s="130"/>
      <c r="B8" s="29"/>
      <c r="C8" s="142"/>
      <c r="D8" s="34"/>
      <c r="E8" s="34"/>
      <c r="F8" s="34"/>
      <c r="G8" s="72"/>
      <c r="H8" s="34"/>
      <c r="I8" s="72"/>
      <c r="J8" s="34"/>
      <c r="K8" s="72"/>
      <c r="L8" s="72"/>
      <c r="M8" s="72"/>
      <c r="N8" s="34"/>
      <c r="O8" s="72"/>
    </row>
    <row r="9" spans="1:20" ht="15.75">
      <c r="A9" s="212" t="s">
        <v>146</v>
      </c>
      <c r="B9" s="29"/>
      <c r="C9" s="29"/>
      <c r="D9"/>
      <c r="E9"/>
      <c r="F9"/>
      <c r="G9"/>
      <c r="H9"/>
      <c r="I9"/>
      <c r="J9"/>
      <c r="K9"/>
      <c r="L9"/>
      <c r="M9"/>
      <c r="N9"/>
      <c r="O9"/>
    </row>
    <row r="10" spans="1:20">
      <c r="A10" s="34" t="s">
        <v>249</v>
      </c>
      <c r="B10"/>
      <c r="C10" s="34"/>
      <c r="D10" s="34"/>
      <c r="E10" s="199">
        <f>+SUM(G10:Q10)</f>
        <v>287482659.78198409</v>
      </c>
      <c r="F10" s="34"/>
      <c r="G10" s="84">
        <f>Sched.A!Z58</f>
        <v>232232064.73952484</v>
      </c>
      <c r="H10" s="84"/>
      <c r="I10" s="84">
        <f>Sched.A!AB59</f>
        <v>44231801.042459249</v>
      </c>
      <c r="J10" s="84"/>
      <c r="K10" s="84">
        <f>Sched.A!AD60</f>
        <v>5484441</v>
      </c>
      <c r="L10" s="84"/>
      <c r="M10" s="84">
        <f>+Sched.A!AF61</f>
        <v>3030763</v>
      </c>
      <c r="N10" s="84"/>
      <c r="O10" s="84">
        <f>Sched.A!AH62</f>
        <v>700611</v>
      </c>
      <c r="P10" s="84"/>
      <c r="Q10" s="84">
        <f>Sched.A!AJ63</f>
        <v>1802979</v>
      </c>
    </row>
    <row r="11" spans="1:20">
      <c r="A11" s="34"/>
      <c r="B11"/>
      <c r="C11" s="34"/>
      <c r="D11" s="34"/>
      <c r="E11" s="34"/>
      <c r="F11" s="34"/>
      <c r="G11" s="73"/>
      <c r="H11" s="34"/>
      <c r="I11" s="73"/>
      <c r="J11" s="34"/>
      <c r="K11" s="73"/>
      <c r="L11" s="73"/>
      <c r="M11" s="73"/>
      <c r="N11" s="34"/>
      <c r="O11" s="73"/>
    </row>
    <row r="12" spans="1:20">
      <c r="A12" s="34" t="s">
        <v>15</v>
      </c>
      <c r="B12"/>
      <c r="C12" s="34"/>
      <c r="D12" s="34"/>
      <c r="E12" s="199">
        <f>+SUM(G12:Q12)</f>
        <v>8042820</v>
      </c>
      <c r="F12" s="34"/>
      <c r="G12" s="25">
        <f>+'Ft 7to9'!E16*12</f>
        <v>7180044</v>
      </c>
      <c r="H12" s="25"/>
      <c r="I12" s="25">
        <f>+'Ft 7to9'!E17*12</f>
        <v>833424</v>
      </c>
      <c r="J12" s="25"/>
      <c r="K12" s="25">
        <f>+'Ft 7to9'!E18*12</f>
        <v>18120</v>
      </c>
      <c r="L12" s="25"/>
      <c r="M12" s="25">
        <f>+'Ft 7to9'!E19*12</f>
        <v>6096</v>
      </c>
      <c r="N12" s="25"/>
      <c r="O12" s="25">
        <f>+'Ft 7to9'!E20*12</f>
        <v>648</v>
      </c>
      <c r="P12" s="25"/>
      <c r="Q12" s="25">
        <f>+'Ft 7to9'!E21*12</f>
        <v>4488</v>
      </c>
    </row>
    <row r="13" spans="1:20">
      <c r="A13" s="34"/>
      <c r="B13"/>
      <c r="C13" s="34"/>
      <c r="D13" s="34"/>
      <c r="E13" s="34"/>
      <c r="F13" s="34"/>
      <c r="G13" s="25"/>
      <c r="H13" s="25"/>
      <c r="I13" s="25"/>
      <c r="J13" s="25"/>
      <c r="K13" s="25"/>
      <c r="L13" s="25"/>
      <c r="M13" s="25"/>
      <c r="N13" s="25"/>
      <c r="O13" s="25"/>
    </row>
    <row r="14" spans="1:20" ht="15.75">
      <c r="A14" s="81" t="s">
        <v>147</v>
      </c>
      <c r="B14" s="27"/>
      <c r="C14" s="81"/>
      <c r="D14" s="81"/>
      <c r="E14" s="91"/>
      <c r="F14" s="81"/>
      <c r="G14" s="91">
        <f>G10/G12</f>
        <v>32.344100501267796</v>
      </c>
      <c r="H14" s="91"/>
      <c r="I14" s="91">
        <f>I10/I12</f>
        <v>53.072386975248193</v>
      </c>
      <c r="J14" s="91"/>
      <c r="K14" s="91">
        <f>K10/K12</f>
        <v>302.67334437086095</v>
      </c>
      <c r="L14" s="91"/>
      <c r="M14" s="91">
        <f>M10/M12</f>
        <v>497.17240813648294</v>
      </c>
      <c r="N14" s="91"/>
      <c r="O14" s="91">
        <f>O10/O12</f>
        <v>1081.1898148148148</v>
      </c>
      <c r="P14" s="91"/>
      <c r="Q14" s="91">
        <f t="shared" ref="Q14" si="0">Q10/Q12</f>
        <v>401.73328877005349</v>
      </c>
    </row>
    <row r="15" spans="1:20">
      <c r="A15" s="34"/>
      <c r="B15"/>
      <c r="C15" s="34" t="s">
        <v>247</v>
      </c>
      <c r="D15" s="34"/>
      <c r="E15" s="34"/>
      <c r="F15" s="34"/>
      <c r="G15" s="25"/>
      <c r="H15" s="25"/>
      <c r="I15" s="25"/>
      <c r="J15" s="25"/>
      <c r="K15" s="25"/>
      <c r="L15" s="25"/>
      <c r="M15" s="25"/>
      <c r="N15" s="25"/>
      <c r="O15" s="25"/>
    </row>
    <row r="16" spans="1:20" ht="15.75">
      <c r="A16" s="89" t="s">
        <v>128</v>
      </c>
      <c r="B16"/>
      <c r="C16" s="34"/>
      <c r="D16" s="34"/>
      <c r="E16" s="34"/>
      <c r="F16" s="34"/>
      <c r="G16" s="25"/>
      <c r="H16" s="25"/>
      <c r="I16" s="25"/>
      <c r="J16" s="25"/>
      <c r="K16" s="25"/>
      <c r="L16" s="25"/>
      <c r="M16" s="25"/>
      <c r="N16" s="25"/>
      <c r="O16" s="25"/>
    </row>
    <row r="17" spans="1:17">
      <c r="A17" s="70" t="s">
        <v>137</v>
      </c>
      <c r="B17"/>
      <c r="C17" s="34"/>
      <c r="D17" s="34"/>
      <c r="E17" s="34"/>
      <c r="F17" s="34"/>
      <c r="G17" s="25"/>
      <c r="H17" s="25"/>
      <c r="I17" s="25"/>
      <c r="J17" s="25"/>
      <c r="K17" s="25"/>
      <c r="L17" s="25"/>
      <c r="M17" s="25"/>
      <c r="N17" s="25"/>
      <c r="O17" s="25"/>
    </row>
    <row r="18" spans="1:17">
      <c r="A18" s="490">
        <v>874</v>
      </c>
      <c r="B18" s="87" t="s">
        <v>320</v>
      </c>
      <c r="C18" s="34"/>
      <c r="D18" s="34"/>
      <c r="E18" s="34"/>
      <c r="F18" s="34"/>
      <c r="G18" s="25"/>
      <c r="H18" s="25"/>
      <c r="I18" s="25"/>
      <c r="J18" s="25"/>
      <c r="K18" s="25"/>
      <c r="L18" s="25"/>
      <c r="M18" s="25"/>
      <c r="N18" s="25"/>
      <c r="O18" s="25"/>
    </row>
    <row r="19" spans="1:17">
      <c r="A19" s="490"/>
      <c r="C19" s="87" t="s">
        <v>155</v>
      </c>
      <c r="D19" s="87"/>
      <c r="E19" s="199">
        <f>+SUM(G19:Q19)</f>
        <v>0</v>
      </c>
      <c r="F19" s="87"/>
      <c r="G19" s="25">
        <f>+Alloc!W67+Alloc!W68</f>
        <v>0</v>
      </c>
      <c r="H19" s="87"/>
      <c r="I19" s="25">
        <f>+Alloc!Y67+Alloc!Y68</f>
        <v>0</v>
      </c>
      <c r="J19" s="87"/>
      <c r="K19" s="25">
        <f>+Alloc!AA67+Alloc!AA68</f>
        <v>0</v>
      </c>
      <c r="L19" s="87"/>
      <c r="M19" s="25">
        <f>+Alloc!AC67+Alloc!AC68</f>
        <v>0</v>
      </c>
      <c r="N19" s="87"/>
      <c r="O19" s="25">
        <f>+Alloc!AE67+Alloc!AE68</f>
        <v>0</v>
      </c>
      <c r="P19" s="25">
        <f>+Alloc!AF67+Alloc!AF68</f>
        <v>0</v>
      </c>
      <c r="Q19" s="25">
        <f>+Alloc!AG67+Alloc!AG68</f>
        <v>0</v>
      </c>
    </row>
    <row r="20" spans="1:17">
      <c r="A20" s="490"/>
      <c r="C20" s="87" t="s">
        <v>158</v>
      </c>
      <c r="D20" s="87"/>
      <c r="E20" s="199">
        <f t="shared" ref="E20:E42" si="1">+SUM(G20:Q20)</f>
        <v>11951578</v>
      </c>
      <c r="F20" s="87"/>
      <c r="G20" s="25">
        <f>+Alloc!W69</f>
        <v>10431338</v>
      </c>
      <c r="H20" s="87"/>
      <c r="I20" s="25">
        <f>+Alloc!Y69</f>
        <v>1415067</v>
      </c>
      <c r="J20" s="87"/>
      <c r="K20" s="25">
        <f>+Alloc!AA69</f>
        <v>56172</v>
      </c>
      <c r="L20" s="87"/>
      <c r="M20" s="25">
        <f>+Alloc!AC69</f>
        <v>27489</v>
      </c>
      <c r="N20" s="87"/>
      <c r="O20" s="25">
        <f>+Alloc!AE69</f>
        <v>3585</v>
      </c>
      <c r="P20" s="25">
        <f>+Alloc!AF69</f>
        <v>0</v>
      </c>
      <c r="Q20" s="25">
        <f>+Alloc!AG69</f>
        <v>17927</v>
      </c>
    </row>
    <row r="21" spans="1:17">
      <c r="A21" s="491">
        <v>876</v>
      </c>
      <c r="B21" s="34"/>
      <c r="C21" s="147" t="s">
        <v>277</v>
      </c>
      <c r="D21" s="147"/>
      <c r="E21" s="199">
        <f t="shared" si="1"/>
        <v>266213</v>
      </c>
      <c r="F21" s="147"/>
      <c r="G21" s="25">
        <f>+Alloc!W71</f>
        <v>0</v>
      </c>
      <c r="H21" s="87"/>
      <c r="I21" s="25">
        <f>+Alloc!Y71</f>
        <v>0</v>
      </c>
      <c r="J21" s="87"/>
      <c r="K21" s="25">
        <f>+Alloc!AA71</f>
        <v>131270</v>
      </c>
      <c r="L21" s="87"/>
      <c r="M21" s="25">
        <f>+Alloc!AC71</f>
        <v>76057</v>
      </c>
      <c r="N21" s="87"/>
      <c r="O21" s="25">
        <f>+Alloc!AE71</f>
        <v>14402</v>
      </c>
      <c r="P21" s="25">
        <f>+Alloc!AF71</f>
        <v>0</v>
      </c>
      <c r="Q21" s="25">
        <f>+Alloc!AG71</f>
        <v>44484</v>
      </c>
    </row>
    <row r="22" spans="1:17">
      <c r="A22" s="491">
        <v>878</v>
      </c>
      <c r="B22" s="34"/>
      <c r="C22" s="107" t="s">
        <v>60</v>
      </c>
      <c r="D22" s="107"/>
      <c r="E22" s="199">
        <f t="shared" si="1"/>
        <v>3687754</v>
      </c>
      <c r="F22" s="147"/>
      <c r="G22" s="25">
        <f>+Alloc!W73</f>
        <v>1575777</v>
      </c>
      <c r="H22" s="87"/>
      <c r="I22" s="25">
        <f>+Alloc!Y73</f>
        <v>1546644</v>
      </c>
      <c r="J22" s="87"/>
      <c r="K22" s="25">
        <f>+Alloc!AA73</f>
        <v>278794</v>
      </c>
      <c r="L22" s="87"/>
      <c r="M22" s="25">
        <f>+Alloc!AC73</f>
        <v>161524</v>
      </c>
      <c r="N22" s="87"/>
      <c r="O22" s="25">
        <f>+Alloc!AE73</f>
        <v>30608</v>
      </c>
      <c r="P22" s="25">
        <f>+Alloc!AF73</f>
        <v>0</v>
      </c>
      <c r="Q22" s="25">
        <f>+Alloc!AG73</f>
        <v>94407</v>
      </c>
    </row>
    <row r="23" spans="1:17">
      <c r="A23" s="491">
        <v>879</v>
      </c>
      <c r="B23" s="34"/>
      <c r="C23" s="107" t="s">
        <v>61</v>
      </c>
      <c r="D23" s="107"/>
      <c r="E23" s="199">
        <f t="shared" si="1"/>
        <v>3091758</v>
      </c>
      <c r="F23" s="147"/>
      <c r="G23" s="25">
        <f>+Alloc!W74</f>
        <v>1321108</v>
      </c>
      <c r="H23" s="87"/>
      <c r="I23" s="25">
        <f>+Alloc!Y74</f>
        <v>1296683</v>
      </c>
      <c r="J23" s="87"/>
      <c r="K23" s="25">
        <f>+Alloc!AA74</f>
        <v>233737</v>
      </c>
      <c r="L23" s="87"/>
      <c r="M23" s="25">
        <f>+Alloc!AC74</f>
        <v>135419</v>
      </c>
      <c r="N23" s="87"/>
      <c r="O23" s="25">
        <f>+Alloc!AE74</f>
        <v>25662</v>
      </c>
      <c r="P23" s="25">
        <f>+Alloc!AF74</f>
        <v>0</v>
      </c>
      <c r="Q23" s="25">
        <f>+Alloc!AG74</f>
        <v>79149</v>
      </c>
    </row>
    <row r="24" spans="1:17">
      <c r="A24" s="400">
        <v>890</v>
      </c>
      <c r="B24" s="34"/>
      <c r="C24" s="147" t="s">
        <v>304</v>
      </c>
      <c r="D24" s="107"/>
      <c r="E24" s="199">
        <f t="shared" si="1"/>
        <v>314488</v>
      </c>
      <c r="F24" s="147"/>
      <c r="G24" s="25">
        <f>+Alloc!W86</f>
        <v>0</v>
      </c>
      <c r="H24" s="147"/>
      <c r="I24" s="25">
        <f>+Alloc!Y86</f>
        <v>0</v>
      </c>
      <c r="J24" s="147"/>
      <c r="K24" s="25">
        <f>+Alloc!AA86</f>
        <v>155074</v>
      </c>
      <c r="L24" s="147"/>
      <c r="M24" s="25">
        <f>+Alloc!AC86</f>
        <v>89849</v>
      </c>
      <c r="N24" s="147"/>
      <c r="O24" s="25">
        <f>+Alloc!AE86</f>
        <v>17014</v>
      </c>
      <c r="P24" s="25">
        <f>+Alloc!AF86</f>
        <v>0</v>
      </c>
      <c r="Q24" s="25">
        <f>+Alloc!AG86</f>
        <v>52551</v>
      </c>
    </row>
    <row r="25" spans="1:17">
      <c r="A25" s="400">
        <v>892</v>
      </c>
      <c r="B25" s="34"/>
      <c r="C25" s="148" t="s">
        <v>118</v>
      </c>
      <c r="D25" s="148"/>
      <c r="E25" s="199">
        <f t="shared" si="1"/>
        <v>1889875</v>
      </c>
      <c r="F25" s="148"/>
      <c r="G25" s="25">
        <f>+Alloc!W88</f>
        <v>1649483</v>
      </c>
      <c r="H25" s="148"/>
      <c r="I25" s="25">
        <f>+Alloc!Y88</f>
        <v>223761</v>
      </c>
      <c r="J25" s="148"/>
      <c r="K25" s="25">
        <f>+Alloc!AA88</f>
        <v>8882</v>
      </c>
      <c r="L25" s="148"/>
      <c r="M25" s="25">
        <f>+Alloc!AC88</f>
        <v>4347</v>
      </c>
      <c r="N25" s="148"/>
      <c r="O25" s="25">
        <f>+Alloc!AE88</f>
        <v>567</v>
      </c>
      <c r="P25" s="25">
        <f>+Alloc!AF88</f>
        <v>0</v>
      </c>
      <c r="Q25" s="25">
        <f>+Alloc!AG88</f>
        <v>2835</v>
      </c>
    </row>
    <row r="26" spans="1:17">
      <c r="A26" s="400">
        <v>893</v>
      </c>
      <c r="B26" s="34"/>
      <c r="C26" s="148" t="s">
        <v>119</v>
      </c>
      <c r="D26" s="148"/>
      <c r="E26" s="199">
        <f t="shared" si="1"/>
        <v>1144889</v>
      </c>
      <c r="F26" s="148"/>
      <c r="G26" s="25">
        <f>+Alloc!W89</f>
        <v>489211</v>
      </c>
      <c r="H26" s="148"/>
      <c r="I26" s="25">
        <f>+Alloc!Y89</f>
        <v>480166</v>
      </c>
      <c r="J26" s="148"/>
      <c r="K26" s="25">
        <f>+Alloc!AA89</f>
        <v>86554</v>
      </c>
      <c r="L26" s="148"/>
      <c r="M26" s="25">
        <f>+Alloc!AC89</f>
        <v>50146</v>
      </c>
      <c r="N26" s="148"/>
      <c r="O26" s="25">
        <f>+Alloc!AE89</f>
        <v>9503</v>
      </c>
      <c r="P26" s="25">
        <f>+Alloc!AF89</f>
        <v>0</v>
      </c>
      <c r="Q26" s="25">
        <f>+Alloc!AG89</f>
        <v>29309</v>
      </c>
    </row>
    <row r="27" spans="1:17">
      <c r="A27" s="400">
        <v>901</v>
      </c>
      <c r="B27" s="34"/>
      <c r="C27" s="147" t="s">
        <v>164</v>
      </c>
      <c r="D27" s="147"/>
      <c r="E27" s="199">
        <f t="shared" si="1"/>
        <v>430000</v>
      </c>
      <c r="F27" s="147"/>
      <c r="G27" s="25">
        <f>+Alloc!W99</f>
        <v>383818</v>
      </c>
      <c r="H27" s="147"/>
      <c r="I27" s="25">
        <f>+Alloc!Y99</f>
        <v>44548</v>
      </c>
      <c r="J27" s="147"/>
      <c r="K27" s="25">
        <f>+Alloc!AA99</f>
        <v>989</v>
      </c>
      <c r="L27" s="147"/>
      <c r="M27" s="25">
        <f>+Alloc!AC99</f>
        <v>344</v>
      </c>
      <c r="N27" s="147"/>
      <c r="O27" s="25">
        <f>+Alloc!AE99</f>
        <v>43</v>
      </c>
      <c r="P27" s="25">
        <f>+Alloc!AF99</f>
        <v>0</v>
      </c>
      <c r="Q27" s="25">
        <f>+Alloc!AG99</f>
        <v>258</v>
      </c>
    </row>
    <row r="28" spans="1:17">
      <c r="A28" s="400">
        <v>902</v>
      </c>
      <c r="B28" s="34"/>
      <c r="C28" s="147" t="s">
        <v>120</v>
      </c>
      <c r="D28" s="147"/>
      <c r="E28" s="199">
        <f t="shared" si="1"/>
        <v>2740299</v>
      </c>
      <c r="F28" s="147"/>
      <c r="G28" s="25">
        <f>+Alloc!W100</f>
        <v>2445991</v>
      </c>
      <c r="H28" s="147"/>
      <c r="I28" s="25">
        <f>+Alloc!Y100</f>
        <v>283895</v>
      </c>
      <c r="J28" s="147"/>
      <c r="K28" s="25">
        <f>+Alloc!AA100</f>
        <v>6303</v>
      </c>
      <c r="L28" s="147"/>
      <c r="M28" s="25">
        <f>+Alloc!AC100</f>
        <v>2192</v>
      </c>
      <c r="N28" s="147"/>
      <c r="O28" s="25">
        <f>+Alloc!AE100</f>
        <v>274</v>
      </c>
      <c r="P28" s="25">
        <f>+Alloc!AF100</f>
        <v>0</v>
      </c>
      <c r="Q28" s="25">
        <f>+Alloc!AG100</f>
        <v>1644</v>
      </c>
    </row>
    <row r="29" spans="1:17">
      <c r="A29" s="400">
        <v>903</v>
      </c>
      <c r="B29" s="34"/>
      <c r="C29" s="147" t="s">
        <v>121</v>
      </c>
      <c r="D29" s="147"/>
      <c r="E29" s="199">
        <f t="shared" si="1"/>
        <v>20355330</v>
      </c>
      <c r="F29" s="147"/>
      <c r="G29" s="25">
        <f>+Alloc!W101</f>
        <v>18169168</v>
      </c>
      <c r="H29" s="147"/>
      <c r="I29" s="25">
        <f>+Alloc!Y101</f>
        <v>2108812</v>
      </c>
      <c r="J29" s="147"/>
      <c r="K29" s="25">
        <f>+Alloc!AA101</f>
        <v>46817</v>
      </c>
      <c r="L29" s="147"/>
      <c r="M29" s="25">
        <f>+Alloc!AC101</f>
        <v>16284</v>
      </c>
      <c r="N29" s="147"/>
      <c r="O29" s="25">
        <f>+Alloc!AE101</f>
        <v>2036</v>
      </c>
      <c r="P29" s="25">
        <f>+Alloc!AF101</f>
        <v>0</v>
      </c>
      <c r="Q29" s="25">
        <f>+Alloc!AG101</f>
        <v>12213</v>
      </c>
    </row>
    <row r="30" spans="1:17">
      <c r="A30" s="400">
        <v>903.1</v>
      </c>
      <c r="B30" s="34"/>
      <c r="C30" s="87" t="s">
        <v>604</v>
      </c>
      <c r="D30" s="147"/>
      <c r="E30" s="199">
        <f t="shared" ref="E30" si="2">+SUM(G30:Q30)</f>
        <v>0</v>
      </c>
      <c r="F30" s="147"/>
      <c r="G30" s="25">
        <f>+Alloc!W102</f>
        <v>0</v>
      </c>
      <c r="H30" s="147"/>
      <c r="I30" s="25">
        <f>+Alloc!Y102</f>
        <v>0</v>
      </c>
      <c r="J30" s="147"/>
      <c r="K30" s="25">
        <f>+Alloc!AA102</f>
        <v>0</v>
      </c>
      <c r="L30" s="147"/>
      <c r="M30" s="25">
        <f>+Alloc!AC102</f>
        <v>0</v>
      </c>
      <c r="N30" s="147"/>
      <c r="O30" s="25">
        <f>+Alloc!AE102</f>
        <v>0</v>
      </c>
      <c r="P30" s="25">
        <f>+Alloc!AF102</f>
        <v>0</v>
      </c>
      <c r="Q30" s="25">
        <f>+Alloc!AG102</f>
        <v>0</v>
      </c>
    </row>
    <row r="31" spans="1:17">
      <c r="A31" s="400">
        <v>904</v>
      </c>
      <c r="B31" s="34"/>
      <c r="C31" s="147" t="s">
        <v>306</v>
      </c>
      <c r="D31" s="147"/>
      <c r="E31" s="199">
        <f t="shared" si="1"/>
        <v>8969992.7819840778</v>
      </c>
      <c r="F31" s="147"/>
      <c r="G31" s="25">
        <f>+Alloc!W103</f>
        <v>8415609.7395248301</v>
      </c>
      <c r="H31" s="147"/>
      <c r="I31" s="25">
        <f>+Alloc!Y103</f>
        <v>402821.0424592481</v>
      </c>
      <c r="J31" s="147"/>
      <c r="K31" s="25">
        <f>+Alloc!AA103</f>
        <v>6827</v>
      </c>
      <c r="L31" s="147"/>
      <c r="M31" s="25">
        <f>+Alloc!AC103</f>
        <v>30039</v>
      </c>
      <c r="N31" s="147"/>
      <c r="O31" s="25">
        <f>+Alloc!AE103</f>
        <v>99676</v>
      </c>
      <c r="P31" s="25">
        <f>+Alloc!AF103</f>
        <v>0</v>
      </c>
      <c r="Q31" s="25">
        <f>+Alloc!AG103</f>
        <v>15020</v>
      </c>
    </row>
    <row r="32" spans="1:17">
      <c r="A32" s="400">
        <v>905</v>
      </c>
      <c r="B32" s="34"/>
      <c r="C32" s="147" t="s">
        <v>307</v>
      </c>
      <c r="D32" s="147"/>
      <c r="E32" s="199">
        <f t="shared" si="1"/>
        <v>2053058</v>
      </c>
      <c r="F32" s="147"/>
      <c r="G32" s="25">
        <f>+Alloc!W104</f>
        <v>1832560</v>
      </c>
      <c r="H32" s="147"/>
      <c r="I32" s="25">
        <f>+Alloc!Y104</f>
        <v>212697</v>
      </c>
      <c r="J32" s="147"/>
      <c r="K32" s="25">
        <f>+Alloc!AA104</f>
        <v>4722</v>
      </c>
      <c r="L32" s="147"/>
      <c r="M32" s="25">
        <f>+Alloc!AC104</f>
        <v>1642</v>
      </c>
      <c r="N32" s="147"/>
      <c r="O32" s="25">
        <f>+Alloc!AE104</f>
        <v>205</v>
      </c>
      <c r="P32" s="25">
        <f>+Alloc!AF104</f>
        <v>0</v>
      </c>
      <c r="Q32" s="25">
        <f>+Alloc!AG104</f>
        <v>1232</v>
      </c>
    </row>
    <row r="33" spans="1:17" s="219" customFormat="1">
      <c r="A33" s="400">
        <v>907</v>
      </c>
      <c r="B33" s="217"/>
      <c r="C33" s="216" t="s">
        <v>164</v>
      </c>
      <c r="D33" s="216"/>
      <c r="E33" s="199">
        <f t="shared" si="1"/>
        <v>223678</v>
      </c>
      <c r="F33" s="216"/>
      <c r="G33" s="215">
        <f>+Alloc!W110</f>
        <v>199656</v>
      </c>
      <c r="H33" s="216"/>
      <c r="I33" s="215">
        <f>+Alloc!Y110</f>
        <v>23173</v>
      </c>
      <c r="J33" s="216"/>
      <c r="K33" s="215">
        <f>+Alloc!AA110</f>
        <v>514</v>
      </c>
      <c r="L33" s="216"/>
      <c r="M33" s="215">
        <f>+Alloc!AC110</f>
        <v>179</v>
      </c>
      <c r="N33" s="216"/>
      <c r="O33" s="215">
        <f>+Alloc!AE110</f>
        <v>22</v>
      </c>
      <c r="P33" s="215">
        <f>+Alloc!AF110</f>
        <v>0</v>
      </c>
      <c r="Q33" s="215">
        <f>+Alloc!AG110</f>
        <v>134</v>
      </c>
    </row>
    <row r="34" spans="1:17">
      <c r="A34" s="400">
        <v>908</v>
      </c>
      <c r="B34" s="34"/>
      <c r="C34" s="147" t="s">
        <v>83</v>
      </c>
      <c r="D34" s="147"/>
      <c r="E34" s="199">
        <f t="shared" si="1"/>
        <v>1795205</v>
      </c>
      <c r="F34" s="147"/>
      <c r="G34" s="215">
        <f>+Alloc!W111</f>
        <v>1795205</v>
      </c>
      <c r="H34" s="216"/>
      <c r="I34" s="215">
        <f>+Alloc!Y111</f>
        <v>0</v>
      </c>
      <c r="J34" s="216"/>
      <c r="K34" s="215">
        <f>+Alloc!AA111</f>
        <v>0</v>
      </c>
      <c r="L34" s="216"/>
      <c r="M34" s="215">
        <f>+Alloc!AC111</f>
        <v>0</v>
      </c>
      <c r="N34" s="216"/>
      <c r="O34" s="215">
        <f>+Alloc!AE111</f>
        <v>0</v>
      </c>
      <c r="P34" s="215">
        <f>+Alloc!AF111</f>
        <v>0</v>
      </c>
      <c r="Q34" s="215">
        <f>+Alloc!AG111</f>
        <v>0</v>
      </c>
    </row>
    <row r="35" spans="1:17">
      <c r="A35" s="400">
        <v>910</v>
      </c>
      <c r="B35" s="34"/>
      <c r="C35" s="87" t="s">
        <v>440</v>
      </c>
      <c r="D35" s="147"/>
      <c r="E35" s="199">
        <f t="shared" si="1"/>
        <v>0</v>
      </c>
      <c r="F35" s="147"/>
      <c r="G35" s="215">
        <f>+Alloc!W114</f>
        <v>0</v>
      </c>
      <c r="H35" s="216"/>
      <c r="I35" s="215">
        <f>+Alloc!Y114</f>
        <v>0</v>
      </c>
      <c r="J35" s="216"/>
      <c r="K35" s="215">
        <f>+Alloc!AA114</f>
        <v>0</v>
      </c>
      <c r="L35" s="216"/>
      <c r="M35" s="215">
        <f>+Alloc!AC114</f>
        <v>0</v>
      </c>
      <c r="N35" s="216"/>
      <c r="O35" s="215">
        <f>+Alloc!AE114</f>
        <v>0</v>
      </c>
      <c r="P35" s="215">
        <f>+Alloc!AF114</f>
        <v>0</v>
      </c>
      <c r="Q35" s="215">
        <f>+Alloc!AG114</f>
        <v>0</v>
      </c>
    </row>
    <row r="36" spans="1:17" s="219" customFormat="1">
      <c r="A36" s="400">
        <v>911</v>
      </c>
      <c r="B36" s="217"/>
      <c r="C36" s="216" t="s">
        <v>164</v>
      </c>
      <c r="D36" s="216"/>
      <c r="E36" s="199">
        <f t="shared" si="1"/>
        <v>115433</v>
      </c>
      <c r="F36" s="216"/>
      <c r="G36" s="215">
        <f>+Alloc!W120</f>
        <v>103428</v>
      </c>
      <c r="H36" s="216"/>
      <c r="I36" s="215">
        <f>+Alloc!Y120</f>
        <v>12005</v>
      </c>
      <c r="J36" s="216"/>
      <c r="K36" s="215">
        <f>+Alloc!AA120</f>
        <v>0</v>
      </c>
      <c r="L36" s="216"/>
      <c r="M36" s="215">
        <f>+Alloc!AC120</f>
        <v>0</v>
      </c>
      <c r="N36" s="216"/>
      <c r="O36" s="215">
        <f>+Alloc!AE120</f>
        <v>0</v>
      </c>
      <c r="P36" s="215">
        <f>+Alloc!AF120</f>
        <v>0</v>
      </c>
      <c r="Q36" s="215">
        <f>+Alloc!AG120</f>
        <v>0</v>
      </c>
    </row>
    <row r="37" spans="1:17" s="219" customFormat="1">
      <c r="A37" s="400">
        <v>912</v>
      </c>
      <c r="B37" s="217"/>
      <c r="C37" s="252" t="s">
        <v>86</v>
      </c>
      <c r="D37" s="216"/>
      <c r="E37" s="199">
        <f t="shared" si="1"/>
        <v>1296787</v>
      </c>
      <c r="F37" s="216"/>
      <c r="G37" s="215">
        <f>+Alloc!W121</f>
        <v>1161921</v>
      </c>
      <c r="H37" s="216"/>
      <c r="I37" s="215">
        <f>+Alloc!Y121</f>
        <v>134866</v>
      </c>
      <c r="J37" s="216"/>
      <c r="K37" s="215">
        <f>+Alloc!AA121</f>
        <v>0</v>
      </c>
      <c r="L37" s="216"/>
      <c r="M37" s="215">
        <f>+Alloc!AC121</f>
        <v>0</v>
      </c>
      <c r="N37" s="216"/>
      <c r="O37" s="215">
        <f>+Alloc!AE121</f>
        <v>0</v>
      </c>
      <c r="P37" s="215">
        <f>+Alloc!AF121</f>
        <v>0</v>
      </c>
      <c r="Q37" s="215">
        <f>+Alloc!AG121</f>
        <v>0</v>
      </c>
    </row>
    <row r="38" spans="1:17" s="219" customFormat="1">
      <c r="A38" s="496">
        <v>912.1</v>
      </c>
      <c r="B38" s="217"/>
      <c r="C38" s="252" t="s">
        <v>606</v>
      </c>
      <c r="D38" s="216"/>
      <c r="E38" s="199">
        <f t="shared" ref="E38" si="3">+SUM(G38:Q38)</f>
        <v>244334</v>
      </c>
      <c r="F38" s="216"/>
      <c r="G38" s="215">
        <f>+Alloc!W122</f>
        <v>0</v>
      </c>
      <c r="H38" s="216"/>
      <c r="I38" s="215">
        <f>+Alloc!Y122</f>
        <v>0</v>
      </c>
      <c r="J38" s="216"/>
      <c r="K38" s="215">
        <f>+Alloc!AA122</f>
        <v>150827</v>
      </c>
      <c r="L38" s="216"/>
      <c r="M38" s="215">
        <f>+Alloc!AC122</f>
        <v>50748</v>
      </c>
      <c r="N38" s="216"/>
      <c r="O38" s="215">
        <f>+Alloc!AE122</f>
        <v>5400</v>
      </c>
      <c r="P38" s="215">
        <f>+Alloc!AF122</f>
        <v>0</v>
      </c>
      <c r="Q38" s="215">
        <f>+Alloc!AG122</f>
        <v>37359</v>
      </c>
    </row>
    <row r="39" spans="1:17" s="219" customFormat="1">
      <c r="A39" s="400">
        <v>913</v>
      </c>
      <c r="B39" s="217"/>
      <c r="C39" s="216" t="s">
        <v>308</v>
      </c>
      <c r="D39" s="216"/>
      <c r="E39" s="199">
        <f t="shared" si="1"/>
        <v>1069000</v>
      </c>
      <c r="F39" s="216"/>
      <c r="G39" s="215">
        <f>+Alloc!W123</f>
        <v>957824</v>
      </c>
      <c r="H39" s="216"/>
      <c r="I39" s="215">
        <f>+Alloc!Y123</f>
        <v>111176</v>
      </c>
      <c r="J39" s="216"/>
      <c r="K39" s="215">
        <f>+Alloc!AA123</f>
        <v>0</v>
      </c>
      <c r="L39" s="216"/>
      <c r="M39" s="215">
        <f>+Alloc!AC123</f>
        <v>0</v>
      </c>
      <c r="N39" s="216"/>
      <c r="O39" s="215">
        <f>+Alloc!AE123</f>
        <v>0</v>
      </c>
      <c r="P39" s="215">
        <f>+Alloc!AF123</f>
        <v>0</v>
      </c>
      <c r="Q39" s="215">
        <f>+Alloc!AG123</f>
        <v>0</v>
      </c>
    </row>
    <row r="40" spans="1:17" s="219" customFormat="1">
      <c r="A40" s="400">
        <v>916</v>
      </c>
      <c r="B40" s="217"/>
      <c r="C40" s="252" t="s">
        <v>384</v>
      </c>
      <c r="D40" s="216"/>
      <c r="E40" s="199">
        <f t="shared" si="1"/>
        <v>190000</v>
      </c>
      <c r="F40" s="216"/>
      <c r="G40" s="215">
        <f>+Alloc!W124</f>
        <v>170240</v>
      </c>
      <c r="H40" s="216"/>
      <c r="I40" s="215">
        <f>+Alloc!Y124</f>
        <v>19760</v>
      </c>
      <c r="J40" s="216"/>
      <c r="K40" s="215">
        <f>+Alloc!AA124</f>
        <v>0</v>
      </c>
      <c r="L40" s="216"/>
      <c r="M40" s="215">
        <f>+Alloc!AC124</f>
        <v>0</v>
      </c>
      <c r="N40" s="216"/>
      <c r="O40" s="215">
        <f>+Alloc!AE124</f>
        <v>0</v>
      </c>
      <c r="P40" s="215">
        <f>+Alloc!AF124</f>
        <v>0</v>
      </c>
      <c r="Q40" s="215">
        <f>+Alloc!AG124</f>
        <v>0</v>
      </c>
    </row>
    <row r="41" spans="1:17">
      <c r="A41" s="400">
        <v>926</v>
      </c>
      <c r="B41" s="34"/>
      <c r="C41" s="87" t="s">
        <v>607</v>
      </c>
      <c r="D41" s="147"/>
      <c r="E41" s="199">
        <f t="shared" si="1"/>
        <v>16147448</v>
      </c>
      <c r="F41" s="147" t="s">
        <v>346</v>
      </c>
      <c r="G41" s="25">
        <f>+Alloc!W136</f>
        <v>12738017</v>
      </c>
      <c r="H41" s="147"/>
      <c r="I41" s="25">
        <f>+Alloc!Y136</f>
        <v>2685206</v>
      </c>
      <c r="J41" s="147"/>
      <c r="K41" s="25">
        <f>+Alloc!AA136</f>
        <v>359327</v>
      </c>
      <c r="L41" s="147"/>
      <c r="M41" s="25">
        <f>+Alloc!AC136</f>
        <v>203340</v>
      </c>
      <c r="N41" s="147"/>
      <c r="O41" s="25">
        <f>+Alloc!AE136</f>
        <v>41782</v>
      </c>
      <c r="P41" s="25">
        <f>+Alloc!AF136</f>
        <v>0</v>
      </c>
      <c r="Q41" s="25">
        <f>+Alloc!AG136</f>
        <v>119776</v>
      </c>
    </row>
    <row r="42" spans="1:17">
      <c r="A42" s="400">
        <v>408</v>
      </c>
      <c r="B42" s="34"/>
      <c r="C42" s="34" t="s">
        <v>345</v>
      </c>
      <c r="D42" s="34"/>
      <c r="E42" s="205">
        <f t="shared" si="1"/>
        <v>3667821</v>
      </c>
      <c r="F42" s="34" t="s">
        <v>346</v>
      </c>
      <c r="G42" s="205">
        <f>+Alloc!W238</f>
        <v>2893383</v>
      </c>
      <c r="H42" s="34"/>
      <c r="I42" s="205">
        <f>+Alloc!Y238</f>
        <v>609932</v>
      </c>
      <c r="J42" s="34"/>
      <c r="K42" s="205">
        <f>+Alloc!AA238</f>
        <v>81620</v>
      </c>
      <c r="L42" s="34"/>
      <c r="M42" s="205">
        <f>+Alloc!AC238</f>
        <v>46188</v>
      </c>
      <c r="N42" s="34"/>
      <c r="O42" s="205">
        <f>+Alloc!AE238</f>
        <v>9491</v>
      </c>
      <c r="P42" s="205">
        <f>+Alloc!AF238</f>
        <v>0</v>
      </c>
      <c r="Q42" s="205">
        <f>+Alloc!AG238</f>
        <v>27207</v>
      </c>
    </row>
    <row r="43" spans="1:17" ht="6.6" customHeight="1">
      <c r="A43" s="491"/>
      <c r="B43" s="34"/>
      <c r="C43" s="34"/>
      <c r="D43" s="34"/>
      <c r="E43" s="34"/>
      <c r="F43" s="3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>
      <c r="A44" s="498" t="s">
        <v>143</v>
      </c>
      <c r="B44"/>
      <c r="C44"/>
      <c r="D44"/>
      <c r="E44" s="28">
        <f>SUM(E18:E43)</f>
        <v>81644940.781984076</v>
      </c>
      <c r="F44"/>
      <c r="G44" s="28">
        <f>SUM(G18:G43)</f>
        <v>66733737.739524826</v>
      </c>
      <c r="H44" s="28">
        <f t="shared" ref="H44:N44" si="4">SUM(H18:H43)</f>
        <v>0</v>
      </c>
      <c r="I44" s="28">
        <f>SUM(I18:I43)</f>
        <v>11611212.042459248</v>
      </c>
      <c r="J44" s="28">
        <f t="shared" si="4"/>
        <v>0</v>
      </c>
      <c r="K44" s="28">
        <f>SUM(K18:K43)</f>
        <v>1608429</v>
      </c>
      <c r="L44" s="28">
        <f t="shared" si="4"/>
        <v>0</v>
      </c>
      <c r="M44" s="28">
        <f>SUM(M18:M43)</f>
        <v>895787</v>
      </c>
      <c r="N44" s="28">
        <f t="shared" si="4"/>
        <v>0</v>
      </c>
      <c r="O44" s="28">
        <f>SUM(O18:O43)</f>
        <v>260270</v>
      </c>
      <c r="P44" s="28">
        <f t="shared" ref="P44:Q44" si="5">SUM(P18:P43)</f>
        <v>0</v>
      </c>
      <c r="Q44" s="28">
        <f t="shared" si="5"/>
        <v>535505</v>
      </c>
    </row>
    <row r="45" spans="1:17">
      <c r="A45" s="400"/>
      <c r="B45"/>
      <c r="C45"/>
      <c r="D45"/>
      <c r="E45"/>
      <c r="F45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>
      <c r="A46" s="503" t="s">
        <v>154</v>
      </c>
      <c r="B46"/>
      <c r="C46"/>
      <c r="D46"/>
      <c r="E46"/>
      <c r="F46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>
      <c r="A47" s="400">
        <v>380</v>
      </c>
      <c r="B47"/>
      <c r="C47" s="147" t="s">
        <v>285</v>
      </c>
      <c r="D47"/>
      <c r="E47" s="218">
        <f>+SUM(G47:Q47)</f>
        <v>34514619</v>
      </c>
      <c r="F47"/>
      <c r="G47" s="28">
        <f>+Alloc!W192</f>
        <v>30124359</v>
      </c>
      <c r="H47"/>
      <c r="I47" s="28">
        <f>+Alloc!Y192</f>
        <v>4086531</v>
      </c>
      <c r="J47"/>
      <c r="K47" s="28">
        <f>+Alloc!AA192</f>
        <v>162219</v>
      </c>
      <c r="L47"/>
      <c r="M47" s="28">
        <f>+Alloc!AC192</f>
        <v>79384</v>
      </c>
      <c r="N47"/>
      <c r="O47" s="28">
        <f>+Alloc!AE192</f>
        <v>10354</v>
      </c>
      <c r="P47" s="28">
        <f>+Alloc!AF192</f>
        <v>0</v>
      </c>
      <c r="Q47" s="28">
        <f>+Alloc!AG192</f>
        <v>51772</v>
      </c>
    </row>
    <row r="48" spans="1:17">
      <c r="A48" s="400">
        <v>381</v>
      </c>
      <c r="B48"/>
      <c r="C48" s="147" t="s">
        <v>286</v>
      </c>
      <c r="D48"/>
      <c r="E48" s="218">
        <f t="shared" ref="E48:E54" si="6">+SUM(G48:Q48)</f>
        <v>4988400</v>
      </c>
      <c r="F48"/>
      <c r="G48" s="28">
        <f>+Alloc!W193</f>
        <v>2131543</v>
      </c>
      <c r="H48"/>
      <c r="I48" s="28">
        <f>+Alloc!Y193</f>
        <v>2092135</v>
      </c>
      <c r="J48"/>
      <c r="K48" s="28">
        <f>+Alloc!AA193</f>
        <v>377123</v>
      </c>
      <c r="L48"/>
      <c r="M48" s="28">
        <f>+Alloc!AC193</f>
        <v>218492</v>
      </c>
      <c r="N48"/>
      <c r="O48" s="28">
        <f>+Alloc!AE193</f>
        <v>41404</v>
      </c>
      <c r="P48" s="28">
        <f>+Alloc!AF193</f>
        <v>0</v>
      </c>
      <c r="Q48" s="28">
        <f>+Alloc!AG193</f>
        <v>127703</v>
      </c>
    </row>
    <row r="49" spans="1:17">
      <c r="A49" s="400">
        <v>382</v>
      </c>
      <c r="B49"/>
      <c r="C49" s="147" t="s">
        <v>287</v>
      </c>
      <c r="D49"/>
      <c r="E49" s="218">
        <f t="shared" si="6"/>
        <v>2773029</v>
      </c>
      <c r="F49"/>
      <c r="G49" s="28">
        <f>+Alloc!W194</f>
        <v>1184915</v>
      </c>
      <c r="H49"/>
      <c r="I49" s="28">
        <f>+Alloc!Y194</f>
        <v>1163008</v>
      </c>
      <c r="J49"/>
      <c r="K49" s="28">
        <f>+Alloc!AA194</f>
        <v>209641</v>
      </c>
      <c r="L49"/>
      <c r="M49" s="28">
        <f>+Alloc!AC194</f>
        <v>121459</v>
      </c>
      <c r="N49"/>
      <c r="O49" s="28">
        <f>+Alloc!AE194</f>
        <v>23016</v>
      </c>
      <c r="P49" s="28">
        <f>+Alloc!AF194</f>
        <v>0</v>
      </c>
      <c r="Q49" s="28">
        <f>+Alloc!AG194</f>
        <v>70990</v>
      </c>
    </row>
    <row r="50" spans="1:17">
      <c r="A50" s="400">
        <v>383</v>
      </c>
      <c r="B50"/>
      <c r="C50" s="147" t="s">
        <v>159</v>
      </c>
      <c r="D50"/>
      <c r="E50" s="218">
        <f t="shared" si="6"/>
        <v>1173664</v>
      </c>
      <c r="F50"/>
      <c r="G50" s="28">
        <f>+Alloc!W195</f>
        <v>1033294</v>
      </c>
      <c r="H50"/>
      <c r="I50" s="28">
        <f>+Alloc!Y195</f>
        <v>140370</v>
      </c>
      <c r="J50"/>
      <c r="K50" s="28">
        <f>+Alloc!AA195</f>
        <v>0</v>
      </c>
      <c r="L50"/>
      <c r="M50" s="28">
        <f>+Alloc!AC195</f>
        <v>0</v>
      </c>
      <c r="N50"/>
      <c r="O50" s="28">
        <f>+Alloc!AE195</f>
        <v>0</v>
      </c>
      <c r="P50" s="28">
        <f>+Alloc!AF195</f>
        <v>0</v>
      </c>
      <c r="Q50" s="28">
        <f>+Alloc!AG195</f>
        <v>0</v>
      </c>
    </row>
    <row r="51" spans="1:17">
      <c r="A51" s="400">
        <v>384</v>
      </c>
      <c r="B51"/>
      <c r="C51" s="147" t="s">
        <v>160</v>
      </c>
      <c r="D51"/>
      <c r="E51" s="218">
        <f t="shared" si="6"/>
        <v>457028</v>
      </c>
      <c r="F51"/>
      <c r="G51" s="28">
        <f>+Alloc!W196</f>
        <v>402367</v>
      </c>
      <c r="H51"/>
      <c r="I51" s="28">
        <f>+Alloc!Y196</f>
        <v>54661</v>
      </c>
      <c r="J51"/>
      <c r="K51" s="28">
        <f>+Alloc!AA196</f>
        <v>0</v>
      </c>
      <c r="L51"/>
      <c r="M51" s="28">
        <f>+Alloc!AC196</f>
        <v>0</v>
      </c>
      <c r="N51"/>
      <c r="O51" s="28">
        <f>+Alloc!AE196</f>
        <v>0</v>
      </c>
      <c r="P51" s="28">
        <f>+Alloc!AF196</f>
        <v>0</v>
      </c>
      <c r="Q51" s="28">
        <f>+Alloc!AG196</f>
        <v>0</v>
      </c>
    </row>
    <row r="52" spans="1:17">
      <c r="A52" s="400">
        <v>385</v>
      </c>
      <c r="B52"/>
      <c r="C52" s="87" t="s">
        <v>441</v>
      </c>
      <c r="D52"/>
      <c r="E52" s="218">
        <f t="shared" si="6"/>
        <v>724403</v>
      </c>
      <c r="F52"/>
      <c r="G52" s="28">
        <f>+Alloc!W197</f>
        <v>309537</v>
      </c>
      <c r="H52"/>
      <c r="I52" s="28">
        <f>+Alloc!Y197</f>
        <v>303814</v>
      </c>
      <c r="J52"/>
      <c r="K52" s="28">
        <f>+Alloc!AA197</f>
        <v>54765</v>
      </c>
      <c r="L52"/>
      <c r="M52" s="28">
        <f>+Alloc!AC197</f>
        <v>31729</v>
      </c>
      <c r="N52"/>
      <c r="O52" s="28">
        <f>+Alloc!AE197</f>
        <v>6013</v>
      </c>
      <c r="P52" s="28">
        <f>+Alloc!AF197</f>
        <v>0</v>
      </c>
      <c r="Q52" s="28">
        <f>+Alloc!AG197</f>
        <v>18545</v>
      </c>
    </row>
    <row r="53" spans="1:17">
      <c r="A53" s="400">
        <v>390</v>
      </c>
      <c r="B53"/>
      <c r="C53" s="87" t="s">
        <v>572</v>
      </c>
      <c r="D53"/>
      <c r="E53" s="218">
        <f t="shared" si="6"/>
        <v>2263150</v>
      </c>
      <c r="F53" t="s">
        <v>346</v>
      </c>
      <c r="G53" s="28">
        <f>+Alloc!W205</f>
        <v>1821044</v>
      </c>
      <c r="H53"/>
      <c r="I53" s="28">
        <f>+Alloc!Y205</f>
        <v>336866</v>
      </c>
      <c r="J53"/>
      <c r="K53" s="28">
        <f>+Alloc!AA205</f>
        <v>51145</v>
      </c>
      <c r="L53"/>
      <c r="M53" s="28">
        <f>+Alloc!AC205</f>
        <v>28523</v>
      </c>
      <c r="N53"/>
      <c r="O53" s="28">
        <f>+Alloc!AE205</f>
        <v>8360</v>
      </c>
      <c r="P53" s="28">
        <f>+Alloc!AF205</f>
        <v>0</v>
      </c>
      <c r="Q53" s="28">
        <f>+Alloc!AG205</f>
        <v>17212</v>
      </c>
    </row>
    <row r="54" spans="1:17">
      <c r="A54" s="400">
        <v>391</v>
      </c>
      <c r="B54"/>
      <c r="C54" s="147" t="s">
        <v>289</v>
      </c>
      <c r="D54"/>
      <c r="E54" s="218">
        <f t="shared" si="6"/>
        <v>12301973</v>
      </c>
      <c r="F54" t="s">
        <v>346</v>
      </c>
      <c r="G54" s="28">
        <f>+Alloc!W206+Alloc!W218+Alloc!W225</f>
        <v>10319095</v>
      </c>
      <c r="H54" s="28"/>
      <c r="I54" s="28">
        <f>+Alloc!Y206+Alloc!Y218+Alloc!Y225</f>
        <v>1614887</v>
      </c>
      <c r="J54" s="28"/>
      <c r="K54" s="28">
        <f>+Alloc!AA206+Alloc!AA218+Alloc!AA225</f>
        <v>181004</v>
      </c>
      <c r="L54" s="28"/>
      <c r="M54" s="28">
        <f>+Alloc!AC206+Alloc!AC218+Alloc!AC225</f>
        <v>98637</v>
      </c>
      <c r="N54" s="28"/>
      <c r="O54" s="28">
        <f>+Alloc!AE206+Alloc!AE218+Alloc!AE225</f>
        <v>28269</v>
      </c>
      <c r="P54" s="28"/>
      <c r="Q54" s="28">
        <f>+Alloc!AG206+Alloc!AG218+Alloc!AG225</f>
        <v>60081</v>
      </c>
    </row>
    <row r="55" spans="1:17" ht="2.4500000000000002" customHeight="1">
      <c r="A55" s="497"/>
      <c r="B55"/>
      <c r="C55"/>
      <c r="D55"/>
      <c r="E55" s="206"/>
      <c r="F55"/>
      <c r="G55" s="31"/>
      <c r="H55" s="28"/>
      <c r="I55" s="31"/>
      <c r="J55" s="28"/>
      <c r="K55" s="31"/>
      <c r="L55" s="28"/>
      <c r="M55" s="31"/>
      <c r="N55" s="28"/>
      <c r="O55" s="31"/>
      <c r="P55" s="31"/>
      <c r="Q55" s="31"/>
    </row>
    <row r="56" spans="1:17" ht="9.6" customHeight="1">
      <c r="A56" s="400"/>
      <c r="B56"/>
      <c r="C56"/>
      <c r="D56"/>
      <c r="E56" s="29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>
      <c r="A57" s="498" t="s">
        <v>144</v>
      </c>
      <c r="B57"/>
      <c r="C57"/>
      <c r="D57" s="29"/>
      <c r="E57" s="30">
        <f>SUM(E47:E56)</f>
        <v>59196266</v>
      </c>
      <c r="F57" s="29"/>
      <c r="G57" s="30">
        <f>SUM(G47:G56)</f>
        <v>47326154</v>
      </c>
      <c r="H57" s="30">
        <f>SUM(H47:H56)</f>
        <v>0</v>
      </c>
      <c r="I57" s="30">
        <f>SUM(I47:I56)</f>
        <v>9792272</v>
      </c>
      <c r="J57" s="30"/>
      <c r="K57" s="30">
        <f>SUM(K47:K56)</f>
        <v>1035897</v>
      </c>
      <c r="L57" s="30"/>
      <c r="M57" s="30">
        <f>SUM(M47:M56)</f>
        <v>578224</v>
      </c>
      <c r="N57" s="30">
        <f>SUM(N47:N56)</f>
        <v>0</v>
      </c>
      <c r="O57" s="30">
        <f>SUM(O47:O56)</f>
        <v>117416</v>
      </c>
      <c r="P57" s="30">
        <f t="shared" ref="P57:Q57" si="7">SUM(P47:P56)</f>
        <v>0</v>
      </c>
      <c r="Q57" s="30">
        <f t="shared" si="7"/>
        <v>346303</v>
      </c>
    </row>
    <row r="58" spans="1:17" ht="9" customHeight="1">
      <c r="A58" s="400"/>
      <c r="B58"/>
      <c r="C58"/>
      <c r="D58"/>
      <c r="E58" s="29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>
      <c r="A59" s="504" t="s">
        <v>138</v>
      </c>
      <c r="B59"/>
      <c r="C59"/>
      <c r="D59"/>
      <c r="E59"/>
      <c r="F5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>
      <c r="A60" s="400">
        <v>380</v>
      </c>
      <c r="B60"/>
      <c r="C60" s="147" t="s">
        <v>285</v>
      </c>
      <c r="D60"/>
      <c r="E60" s="218">
        <f>+SUM(G60:Q60)</f>
        <v>835111733</v>
      </c>
      <c r="F60"/>
      <c r="G60" s="28">
        <f>+Alloc!W308</f>
        <v>728885520</v>
      </c>
      <c r="H60"/>
      <c r="I60" s="28">
        <f>+Alloc!Y308</f>
        <v>98877229</v>
      </c>
      <c r="J60"/>
      <c r="K60" s="28">
        <f>+Alloc!AA308</f>
        <v>3925025</v>
      </c>
      <c r="L60"/>
      <c r="M60" s="28">
        <f>+Alloc!AC308</f>
        <v>1920757</v>
      </c>
      <c r="N60"/>
      <c r="O60" s="28">
        <f>+Alloc!AE308</f>
        <v>250534</v>
      </c>
      <c r="P60" s="28">
        <f>+Alloc!AF308</f>
        <v>0</v>
      </c>
      <c r="Q60" s="28">
        <f>+Alloc!AG308</f>
        <v>1252668</v>
      </c>
    </row>
    <row r="61" spans="1:17">
      <c r="A61" s="400">
        <v>381</v>
      </c>
      <c r="B61"/>
      <c r="C61" s="147" t="s">
        <v>286</v>
      </c>
      <c r="D61"/>
      <c r="E61" s="218">
        <f t="shared" ref="E61:E69" si="8">+SUM(G61:Q61)</f>
        <v>88003677</v>
      </c>
      <c r="F61"/>
      <c r="G61" s="28">
        <f>+Alloc!W309</f>
        <v>37603971</v>
      </c>
      <c r="H61"/>
      <c r="I61" s="28">
        <f>+Alloc!Y309</f>
        <v>36908742</v>
      </c>
      <c r="J61"/>
      <c r="K61" s="28">
        <f>+Alloc!AA309</f>
        <v>6653078</v>
      </c>
      <c r="L61"/>
      <c r="M61" s="28">
        <f>+Alloc!AC309</f>
        <v>3854561</v>
      </c>
      <c r="N61"/>
      <c r="O61" s="28">
        <f>+Alloc!AE309</f>
        <v>730431</v>
      </c>
      <c r="P61" s="28">
        <f>+Alloc!AF309</f>
        <v>0</v>
      </c>
      <c r="Q61" s="28">
        <f>+Alloc!AG309</f>
        <v>2252894</v>
      </c>
    </row>
    <row r="62" spans="1:17">
      <c r="A62" s="400">
        <v>382</v>
      </c>
      <c r="B62"/>
      <c r="C62" s="147" t="s">
        <v>287</v>
      </c>
      <c r="D62"/>
      <c r="E62" s="218">
        <f t="shared" si="8"/>
        <v>69190371</v>
      </c>
      <c r="F62"/>
      <c r="G62" s="28">
        <f>+Alloc!W310</f>
        <v>29565046</v>
      </c>
      <c r="H62"/>
      <c r="I62" s="28">
        <f>+Alloc!Y310</f>
        <v>29018442</v>
      </c>
      <c r="J62"/>
      <c r="K62" s="28">
        <f>+Alloc!AA310</f>
        <v>5230792</v>
      </c>
      <c r="L62"/>
      <c r="M62" s="28">
        <f>+Alloc!AC310</f>
        <v>3030538</v>
      </c>
      <c r="N62"/>
      <c r="O62" s="28">
        <f>+Alloc!AE310</f>
        <v>574280</v>
      </c>
      <c r="P62" s="28">
        <f>+Alloc!AF310</f>
        <v>0</v>
      </c>
      <c r="Q62" s="28">
        <f>+Alloc!AG310</f>
        <v>1771273</v>
      </c>
    </row>
    <row r="63" spans="1:17">
      <c r="A63" s="400">
        <v>383</v>
      </c>
      <c r="B63"/>
      <c r="C63" s="147" t="s">
        <v>159</v>
      </c>
      <c r="D63"/>
      <c r="E63" s="218">
        <f t="shared" si="8"/>
        <v>4647886</v>
      </c>
      <c r="F63"/>
      <c r="G63" s="28">
        <f>+Alloc!W311</f>
        <v>4091999</v>
      </c>
      <c r="H63"/>
      <c r="I63" s="28">
        <f>+Alloc!Y311</f>
        <v>555887</v>
      </c>
      <c r="J63"/>
      <c r="K63" s="28">
        <f>+Alloc!AA311</f>
        <v>0</v>
      </c>
      <c r="L63"/>
      <c r="M63" s="28">
        <f>+Alloc!AC311</f>
        <v>0</v>
      </c>
      <c r="N63"/>
      <c r="O63" s="28">
        <f>+Alloc!AE311</f>
        <v>0</v>
      </c>
      <c r="P63" s="28">
        <f>+Alloc!AF311</f>
        <v>0</v>
      </c>
      <c r="Q63" s="28">
        <f>+Alloc!AG311</f>
        <v>0</v>
      </c>
    </row>
    <row r="64" spans="1:17">
      <c r="A64" s="400">
        <v>384</v>
      </c>
      <c r="B64"/>
      <c r="C64" s="147" t="s">
        <v>160</v>
      </c>
      <c r="D64"/>
      <c r="E64" s="218">
        <f t="shared" si="8"/>
        <v>11591107</v>
      </c>
      <c r="F64"/>
      <c r="G64" s="28">
        <f>+Alloc!W312</f>
        <v>10204811</v>
      </c>
      <c r="H64"/>
      <c r="I64" s="28">
        <f>+Alloc!Y312</f>
        <v>1386296</v>
      </c>
      <c r="J64"/>
      <c r="K64" s="28">
        <f>+Alloc!AA312</f>
        <v>0</v>
      </c>
      <c r="L64"/>
      <c r="M64" s="28">
        <f>+Alloc!AC312</f>
        <v>0</v>
      </c>
      <c r="N64"/>
      <c r="O64" s="28">
        <f>+Alloc!AE312</f>
        <v>0</v>
      </c>
      <c r="P64" s="28">
        <f>+Alloc!AF312</f>
        <v>0</v>
      </c>
      <c r="Q64" s="28">
        <f>+Alloc!AG312</f>
        <v>0</v>
      </c>
    </row>
    <row r="65" spans="1:17">
      <c r="A65" s="400">
        <v>385</v>
      </c>
      <c r="B65"/>
      <c r="C65" s="87" t="s">
        <v>441</v>
      </c>
      <c r="D65"/>
      <c r="E65" s="218">
        <f t="shared" si="8"/>
        <v>18862507</v>
      </c>
      <c r="F65"/>
      <c r="G65" s="28">
        <f>+Alloc!W313</f>
        <v>8059949</v>
      </c>
      <c r="H65"/>
      <c r="I65" s="28">
        <f>+Alloc!Y313</f>
        <v>7910935</v>
      </c>
      <c r="J65"/>
      <c r="K65" s="28">
        <f>+Alloc!AA313</f>
        <v>1426006</v>
      </c>
      <c r="L65"/>
      <c r="M65" s="28">
        <f>+Alloc!AC313</f>
        <v>826178</v>
      </c>
      <c r="N65"/>
      <c r="O65" s="28">
        <f>+Alloc!AE313</f>
        <v>156559</v>
      </c>
      <c r="P65" s="28">
        <f>+Alloc!AF313</f>
        <v>0</v>
      </c>
      <c r="Q65" s="28">
        <f>+Alloc!AG313</f>
        <v>482880</v>
      </c>
    </row>
    <row r="66" spans="1:17">
      <c r="A66" s="400">
        <v>390</v>
      </c>
      <c r="B66"/>
      <c r="C66" s="147" t="s">
        <v>284</v>
      </c>
      <c r="D66"/>
      <c r="E66" s="218">
        <f t="shared" si="8"/>
        <v>36213871</v>
      </c>
      <c r="F66" s="29" t="s">
        <v>346</v>
      </c>
      <c r="G66" s="30">
        <f>+Alloc!W322</f>
        <v>29139496</v>
      </c>
      <c r="H66" s="29"/>
      <c r="I66" s="30">
        <f>+Alloc!Y322</f>
        <v>5390374</v>
      </c>
      <c r="J66" s="29"/>
      <c r="K66" s="30">
        <f>+Alloc!AA322</f>
        <v>818393</v>
      </c>
      <c r="L66" s="29"/>
      <c r="M66" s="30">
        <f>+Alloc!AC322</f>
        <v>456411</v>
      </c>
      <c r="N66" s="29"/>
      <c r="O66" s="30">
        <f>+Alloc!AE322</f>
        <v>133776</v>
      </c>
      <c r="P66" s="30">
        <f>+Alloc!AF322</f>
        <v>0</v>
      </c>
      <c r="Q66" s="30">
        <f>+Alloc!AG322</f>
        <v>275421</v>
      </c>
    </row>
    <row r="67" spans="1:17">
      <c r="A67" s="400">
        <v>391</v>
      </c>
      <c r="B67"/>
      <c r="C67" s="87" t="s">
        <v>571</v>
      </c>
      <c r="D67" s="29"/>
      <c r="E67" s="218">
        <f t="shared" si="8"/>
        <v>116378729</v>
      </c>
      <c r="F67" s="29" t="s">
        <v>346</v>
      </c>
      <c r="G67" s="30">
        <f>+Alloc!W323+Alloc!W339+Alloc!W347</f>
        <v>98162504</v>
      </c>
      <c r="H67" s="30"/>
      <c r="I67" s="30">
        <f>+Alloc!Y323+Alloc!Y339+Alloc!Y347</f>
        <v>14998189</v>
      </c>
      <c r="J67" s="30"/>
      <c r="K67" s="30">
        <f>+Alloc!AA323+Alloc!AA339+Alloc!AA347</f>
        <v>1587193</v>
      </c>
      <c r="L67" s="30"/>
      <c r="M67" s="30">
        <f>+Alloc!AC323+Alloc!AC339+Alloc!AC347</f>
        <v>860367</v>
      </c>
      <c r="N67" s="30"/>
      <c r="O67" s="30">
        <f>+Alloc!AE323+Alloc!AE339+Alloc!AE347</f>
        <v>245267</v>
      </c>
      <c r="P67" s="30"/>
      <c r="Q67" s="30">
        <f>+Alloc!AG323+Alloc!AG339+Alloc!AG347</f>
        <v>525209</v>
      </c>
    </row>
    <row r="68" spans="1:17">
      <c r="A68" s="88"/>
      <c r="B68"/>
      <c r="C68" s="147" t="s">
        <v>348</v>
      </c>
      <c r="D68"/>
      <c r="E68" s="218">
        <f t="shared" si="8"/>
        <v>-229525809</v>
      </c>
      <c r="F68" s="29" t="s">
        <v>346</v>
      </c>
      <c r="G68" s="30">
        <f>+Alloc!W366</f>
        <v>-186440553</v>
      </c>
      <c r="H68" s="29"/>
      <c r="I68" s="30">
        <f>+Alloc!Y366</f>
        <v>-35581644</v>
      </c>
      <c r="J68" s="29"/>
      <c r="K68" s="30">
        <f>+Alloc!AA366</f>
        <v>-3751806</v>
      </c>
      <c r="L68" s="29"/>
      <c r="M68" s="30">
        <f>+Alloc!AC366</f>
        <v>-2057442</v>
      </c>
      <c r="N68" s="29"/>
      <c r="O68" s="30">
        <f>+Alloc!AE366</f>
        <v>-423591</v>
      </c>
      <c r="P68" s="30">
        <f>+Alloc!AF366</f>
        <v>0</v>
      </c>
      <c r="Q68" s="30">
        <f>+Alloc!AG366</f>
        <v>-1270773</v>
      </c>
    </row>
    <row r="69" spans="1:17">
      <c r="A69" s="88"/>
      <c r="B69" s="87"/>
      <c r="C69" s="87" t="s">
        <v>38</v>
      </c>
      <c r="D69" s="87"/>
      <c r="E69" s="220">
        <f t="shared" si="8"/>
        <v>-22290000</v>
      </c>
      <c r="F69" s="259"/>
      <c r="G69" s="237">
        <f>+Alloc!W367</f>
        <v>-5313314</v>
      </c>
      <c r="H69" s="259"/>
      <c r="I69" s="237">
        <f>+Alloc!Y367</f>
        <v>-15114081</v>
      </c>
      <c r="J69" s="259"/>
      <c r="K69" s="237">
        <f>+Alloc!AA367</f>
        <v>-1054416</v>
      </c>
      <c r="L69" s="259"/>
      <c r="M69" s="237">
        <f>+Alloc!AC367</f>
        <v>-646787</v>
      </c>
      <c r="N69" s="259"/>
      <c r="O69" s="237">
        <f>+Alloc!AE367</f>
        <v>-9425</v>
      </c>
      <c r="P69" s="259">
        <f>+Alloc!AF367</f>
        <v>0</v>
      </c>
      <c r="Q69" s="237">
        <f>+Alloc!AG367</f>
        <v>-151977</v>
      </c>
    </row>
    <row r="70" spans="1:17" ht="9" customHeight="1">
      <c r="A70" s="88"/>
      <c r="B70" s="11"/>
      <c r="C70" s="11"/>
      <c r="D70" s="11"/>
      <c r="E70" s="11"/>
      <c r="F70" s="11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>
      <c r="A71" s="88" t="s">
        <v>145</v>
      </c>
      <c r="B71" s="11"/>
      <c r="C71" s="11"/>
      <c r="D71" s="11"/>
      <c r="E71" s="31">
        <f>SUM(E60:E70)</f>
        <v>928184072</v>
      </c>
      <c r="F71" s="11"/>
      <c r="G71" s="31">
        <f>SUM(G60:G70)</f>
        <v>753959429</v>
      </c>
      <c r="H71" s="11"/>
      <c r="I71" s="31">
        <f>SUM(I60:I70)</f>
        <v>144350369</v>
      </c>
      <c r="J71" s="11"/>
      <c r="K71" s="31">
        <f>SUM(K60:K70)</f>
        <v>14834265</v>
      </c>
      <c r="L71" s="11"/>
      <c r="M71" s="31">
        <f>SUM(M60:M70)</f>
        <v>8244583</v>
      </c>
      <c r="N71" s="11"/>
      <c r="O71" s="31">
        <f>SUM(O60:O70)</f>
        <v>1657831</v>
      </c>
      <c r="P71" s="11"/>
      <c r="Q71" s="31">
        <f t="shared" ref="Q71" si="9">SUM(Q60:Q70)</f>
        <v>5137595</v>
      </c>
    </row>
    <row r="72" spans="1:17" ht="7.9" customHeight="1">
      <c r="A72" s="88"/>
      <c r="B72" s="11"/>
      <c r="C72" s="11"/>
      <c r="D72" s="11"/>
      <c r="E72" s="11"/>
      <c r="F72" s="11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>
      <c r="A73" s="88" t="s">
        <v>139</v>
      </c>
      <c r="B73" s="11"/>
      <c r="C73" s="11"/>
      <c r="D73" s="11"/>
      <c r="E73" s="11"/>
      <c r="F73" s="11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>
      <c r="B74" s="90" t="s">
        <v>140</v>
      </c>
      <c r="C74" s="214">
        <f>+(Alloc!I248+Alloc!I246)/Alloc!I371</f>
        <v>9.8461090726217101E-2</v>
      </c>
      <c r="D74" s="11"/>
      <c r="E74" s="181">
        <f>+E71*$C$74</f>
        <v>91390016.123821631</v>
      </c>
      <c r="F74" s="11"/>
      <c r="G74" s="181">
        <f>+G71*$C$74</f>
        <v>74235667.742655843</v>
      </c>
      <c r="H74" s="11"/>
      <c r="I74" s="181">
        <f>+I71*$C$74</f>
        <v>14212894.778471917</v>
      </c>
      <c r="J74" s="11"/>
      <c r="K74" s="181">
        <f>+K71*$C$74</f>
        <v>1460597.9120217469</v>
      </c>
      <c r="L74" s="11"/>
      <c r="M74" s="181">
        <f>+M71*$C$74</f>
        <v>811770.63476282719</v>
      </c>
      <c r="N74" s="11"/>
      <c r="O74" s="181">
        <f>+O71*$C$74</f>
        <v>163231.84849973524</v>
      </c>
      <c r="P74" s="11"/>
      <c r="Q74" s="181">
        <f t="shared" ref="Q74" si="10">+Q71*$C$74</f>
        <v>505853.20740955934</v>
      </c>
    </row>
    <row r="75" spans="1:17" ht="7.9" customHeight="1">
      <c r="A75" s="88"/>
      <c r="B75" s="11"/>
      <c r="C75" s="11"/>
      <c r="D75" s="11"/>
      <c r="E75" s="11"/>
      <c r="F75" s="11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7" ht="7.15" customHeight="1">
      <c r="A76" s="88"/>
      <c r="B76" s="11"/>
      <c r="C76" s="11"/>
      <c r="D76" s="11"/>
      <c r="E76" s="11"/>
      <c r="F76" s="11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7" ht="15.75" thickBot="1">
      <c r="A77" s="88" t="s">
        <v>141</v>
      </c>
      <c r="B77" s="11"/>
      <c r="C77" s="11"/>
      <c r="D77" s="11"/>
      <c r="E77" s="383">
        <f>+SUM(G77:Q77)</f>
        <v>232231222.90580571</v>
      </c>
      <c r="F77" s="11"/>
      <c r="G77" s="383">
        <f>+G74+G57+G44</f>
        <v>188295559.48218066</v>
      </c>
      <c r="H77" s="11"/>
      <c r="I77" s="383">
        <f>+I74+I57+I44</f>
        <v>35616378.820931166</v>
      </c>
      <c r="J77" s="11"/>
      <c r="K77" s="383">
        <f>+K74+K57+K44</f>
        <v>4104923.9120217469</v>
      </c>
      <c r="L77" s="11"/>
      <c r="M77" s="383">
        <f>+M74+M57+M44</f>
        <v>2285781.6347628273</v>
      </c>
      <c r="N77" s="11"/>
      <c r="O77" s="383">
        <f>+O74+O57+O44</f>
        <v>540917.84849973524</v>
      </c>
      <c r="P77" s="25"/>
      <c r="Q77" s="383">
        <f>+Q74+Q57+Q44</f>
        <v>1387661.2074095593</v>
      </c>
    </row>
    <row r="78" spans="1:17" ht="15.75" thickTop="1">
      <c r="A78" s="88"/>
      <c r="B78" s="11"/>
      <c r="C78" s="11"/>
      <c r="D78" s="11"/>
      <c r="E78" s="26"/>
      <c r="F78" s="11"/>
      <c r="G78" s="26"/>
      <c r="H78" s="11"/>
      <c r="I78" s="26"/>
      <c r="J78" s="11"/>
      <c r="K78" s="26"/>
      <c r="L78" s="11"/>
      <c r="M78" s="26"/>
      <c r="N78" s="11"/>
      <c r="O78" s="26"/>
    </row>
    <row r="79" spans="1:17" ht="10.9" customHeight="1">
      <c r="A79" s="88"/>
      <c r="B79" s="11"/>
      <c r="C79" s="11"/>
      <c r="D79" s="11"/>
      <c r="E79" s="26"/>
      <c r="F79" s="11"/>
      <c r="G79" s="26"/>
      <c r="H79" s="11"/>
      <c r="I79" s="26"/>
      <c r="J79" s="11"/>
      <c r="K79" s="26"/>
      <c r="L79" s="11"/>
      <c r="M79" s="26"/>
      <c r="N79" s="11"/>
      <c r="O79" s="26"/>
    </row>
    <row r="80" spans="1:17">
      <c r="A80" s="34" t="s">
        <v>15</v>
      </c>
      <c r="B80" s="11"/>
      <c r="C80" s="11"/>
      <c r="D80" s="11"/>
      <c r="E80" s="218">
        <f>+SUM(G80:Q80)</f>
        <v>8042820</v>
      </c>
      <c r="F80" s="11"/>
      <c r="G80" s="25">
        <f>+G12</f>
        <v>7180044</v>
      </c>
      <c r="H80" s="11"/>
      <c r="I80" s="25">
        <f>+I12</f>
        <v>833424</v>
      </c>
      <c r="J80" s="11"/>
      <c r="K80" s="25">
        <f>+K12</f>
        <v>18120</v>
      </c>
      <c r="L80" s="11"/>
      <c r="M80" s="25">
        <f>+M12</f>
        <v>6096</v>
      </c>
      <c r="N80" s="11"/>
      <c r="O80" s="25">
        <f>+O12</f>
        <v>648</v>
      </c>
      <c r="P80" s="25"/>
      <c r="Q80" s="25">
        <f>+Q12</f>
        <v>4488</v>
      </c>
    </row>
    <row r="81" spans="1:17">
      <c r="A81" s="34"/>
      <c r="B81" s="11"/>
      <c r="C81" s="11"/>
      <c r="D81" s="11"/>
      <c r="E81" s="25"/>
      <c r="F81" s="11"/>
      <c r="G81" s="25"/>
      <c r="H81" s="11"/>
      <c r="I81" s="25"/>
      <c r="J81" s="11"/>
      <c r="K81" s="25"/>
      <c r="L81" s="11"/>
      <c r="M81" s="25"/>
      <c r="N81" s="11"/>
      <c r="O81" s="25"/>
      <c r="P81" s="25"/>
      <c r="Q81" s="25"/>
    </row>
    <row r="82" spans="1:17" ht="15.75">
      <c r="A82" s="81" t="s">
        <v>142</v>
      </c>
      <c r="B82" s="86"/>
      <c r="C82" s="86"/>
      <c r="D82" s="86"/>
      <c r="E82" s="91"/>
      <c r="F82" s="86"/>
      <c r="G82" s="91">
        <f>G77/G80</f>
        <v>26.22484757505395</v>
      </c>
      <c r="H82" s="91"/>
      <c r="I82" s="91">
        <f t="shared" ref="I82:Q82" si="11">I77/I80</f>
        <v>42.735005016571598</v>
      </c>
      <c r="J82" s="91"/>
      <c r="K82" s="91">
        <f t="shared" si="11"/>
        <v>226.54105474733703</v>
      </c>
      <c r="L82" s="91"/>
      <c r="M82" s="91">
        <f t="shared" si="11"/>
        <v>374.96417893091001</v>
      </c>
      <c r="N82" s="91"/>
      <c r="O82" s="91">
        <f t="shared" si="11"/>
        <v>834.74976620329517</v>
      </c>
      <c r="P82" s="91"/>
      <c r="Q82" s="91">
        <f t="shared" si="11"/>
        <v>309.19367366523159</v>
      </c>
    </row>
    <row r="83" spans="1:17">
      <c r="A83" s="221"/>
      <c r="B83" s="221"/>
      <c r="C83" s="221"/>
    </row>
    <row r="84" spans="1:17">
      <c r="A84" s="1" t="s">
        <v>347</v>
      </c>
    </row>
  </sheetData>
  <mergeCells count="3">
    <mergeCell ref="A7:B7"/>
    <mergeCell ref="A1:Q1"/>
    <mergeCell ref="A3:Q3"/>
  </mergeCells>
  <phoneticPr fontId="9" type="noConversion"/>
  <printOptions horizontalCentered="1"/>
  <pageMargins left="0.4" right="0.4" top="0.75" bottom="0.2" header="0" footer="0"/>
  <pageSetup scale="78" orientation="landscape" r:id="rId1"/>
  <headerFooter alignWithMargins="0"/>
  <rowBreaks count="1" manualBreakCount="1">
    <brk id="45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R26"/>
  <sheetViews>
    <sheetView workbookViewId="0">
      <selection activeCell="B2" sqref="B2:H2"/>
    </sheetView>
  </sheetViews>
  <sheetFormatPr defaultRowHeight="15"/>
  <cols>
    <col min="2" max="2" width="17.5546875" customWidth="1"/>
    <col min="4" max="4" width="3" customWidth="1"/>
    <col min="6" max="6" width="11.77734375" customWidth="1"/>
    <col min="7" max="7" width="7.33203125" customWidth="1"/>
    <col min="8" max="8" width="11.21875" bestFit="1" customWidth="1"/>
  </cols>
  <sheetData>
    <row r="1" spans="2:18">
      <c r="B1" s="276"/>
      <c r="C1" s="276"/>
      <c r="D1" s="276"/>
      <c r="E1" s="276"/>
      <c r="F1" s="276"/>
      <c r="G1" s="276"/>
      <c r="H1" s="276"/>
      <c r="I1" s="276"/>
    </row>
    <row r="2" spans="2:18">
      <c r="B2" s="1087" t="s">
        <v>826</v>
      </c>
      <c r="C2" s="1087"/>
      <c r="D2" s="1087"/>
      <c r="E2" s="1087"/>
      <c r="F2" s="1087"/>
      <c r="G2" s="1087"/>
      <c r="H2" s="1087"/>
      <c r="I2" s="276"/>
    </row>
    <row r="3" spans="2:18">
      <c r="B3" s="87"/>
      <c r="C3" s="87"/>
      <c r="D3" s="87"/>
      <c r="E3" s="87"/>
      <c r="F3" s="87"/>
      <c r="G3" s="87"/>
      <c r="H3" s="87"/>
      <c r="I3" s="276"/>
    </row>
    <row r="4" spans="2:18">
      <c r="B4" s="1100" t="s">
        <v>579</v>
      </c>
      <c r="C4" s="1100"/>
      <c r="D4" s="1100"/>
      <c r="E4" s="1100"/>
      <c r="F4" s="1100"/>
      <c r="G4" s="1100"/>
      <c r="H4" s="1100"/>
      <c r="I4" s="740"/>
      <c r="J4" s="34"/>
      <c r="K4" s="34"/>
      <c r="L4" s="34"/>
      <c r="M4" s="34"/>
      <c r="N4" s="34"/>
      <c r="O4" s="34"/>
      <c r="P4" s="34"/>
      <c r="Q4" s="34"/>
      <c r="R4" s="34"/>
    </row>
    <row r="5" spans="2:18">
      <c r="B5" s="527"/>
      <c r="C5" s="527"/>
      <c r="D5" s="527"/>
      <c r="E5" s="527"/>
      <c r="F5" s="527"/>
      <c r="G5" s="527"/>
      <c r="H5" s="527"/>
      <c r="I5" s="740"/>
      <c r="J5" s="34"/>
      <c r="K5" s="34"/>
      <c r="L5" s="34"/>
      <c r="M5" s="34"/>
      <c r="N5" s="34"/>
      <c r="O5" s="34"/>
      <c r="P5" s="34"/>
      <c r="Q5" s="34"/>
      <c r="R5" s="34"/>
    </row>
    <row r="6" spans="2:18">
      <c r="B6" s="87"/>
      <c r="C6" s="87"/>
      <c r="D6" s="87"/>
      <c r="E6" s="87"/>
      <c r="F6" s="87"/>
      <c r="G6" s="87"/>
      <c r="H6" s="87"/>
      <c r="I6" s="276"/>
      <c r="M6" t="s">
        <v>836</v>
      </c>
    </row>
    <row r="7" spans="2:18">
      <c r="B7" s="1099" t="s">
        <v>573</v>
      </c>
      <c r="C7" s="1099"/>
      <c r="D7" s="87"/>
      <c r="E7" s="87"/>
      <c r="F7" s="800" t="s">
        <v>312</v>
      </c>
      <c r="G7" s="87"/>
      <c r="H7" s="800" t="s">
        <v>452</v>
      </c>
      <c r="I7" s="276"/>
    </row>
    <row r="8" spans="2:18">
      <c r="B8" s="87"/>
      <c r="C8" s="87"/>
      <c r="D8" s="87"/>
      <c r="E8" s="87"/>
      <c r="F8" s="87"/>
      <c r="G8" s="87"/>
      <c r="H8" s="87"/>
      <c r="I8" s="276"/>
    </row>
    <row r="9" spans="2:18">
      <c r="B9" s="87" t="s">
        <v>209</v>
      </c>
      <c r="C9" s="87"/>
      <c r="D9" s="87"/>
      <c r="E9" s="87"/>
      <c r="F9" s="801">
        <f>+Alloc!Q232</f>
        <v>4296849</v>
      </c>
      <c r="G9" s="802"/>
      <c r="H9" s="801">
        <f>+Alloc!S232</f>
        <v>3181254</v>
      </c>
      <c r="I9" s="276"/>
    </row>
    <row r="10" spans="2:18">
      <c r="B10" s="87"/>
      <c r="C10" s="87"/>
      <c r="D10" s="87"/>
      <c r="E10" s="87"/>
      <c r="F10" s="802"/>
      <c r="G10" s="802"/>
      <c r="H10" s="802"/>
      <c r="I10" s="276"/>
    </row>
    <row r="11" spans="2:18">
      <c r="B11" s="87" t="s">
        <v>507</v>
      </c>
      <c r="C11" s="87"/>
      <c r="D11" s="87"/>
      <c r="E11" s="87"/>
      <c r="F11" s="802">
        <f>+Alloc!Q242</f>
        <v>407295</v>
      </c>
      <c r="G11" s="802"/>
      <c r="H11" s="802">
        <f>+Alloc!S242</f>
        <v>460962</v>
      </c>
      <c r="I11" s="276"/>
    </row>
    <row r="12" spans="2:18">
      <c r="B12" s="87"/>
      <c r="C12" s="87"/>
      <c r="D12" s="87"/>
      <c r="E12" s="87"/>
      <c r="F12" s="802"/>
      <c r="G12" s="802"/>
      <c r="H12" s="802"/>
      <c r="I12" s="276"/>
    </row>
    <row r="13" spans="2:18">
      <c r="B13" s="87" t="s">
        <v>574</v>
      </c>
      <c r="C13" s="87"/>
      <c r="D13" s="87"/>
      <c r="E13" s="87"/>
      <c r="F13" s="802">
        <f>+Alloc!Q246</f>
        <v>2609802</v>
      </c>
      <c r="G13" s="802"/>
      <c r="H13" s="802">
        <f>+Alloc!S246</f>
        <v>1771291</v>
      </c>
      <c r="I13" s="276"/>
    </row>
    <row r="14" spans="2:18">
      <c r="B14" s="87"/>
      <c r="C14" s="87"/>
      <c r="D14" s="87"/>
      <c r="E14" s="87"/>
      <c r="F14" s="802"/>
      <c r="G14" s="802"/>
      <c r="H14" s="802"/>
      <c r="I14" s="276"/>
    </row>
    <row r="15" spans="2:18">
      <c r="B15" s="87" t="s">
        <v>575</v>
      </c>
      <c r="C15" s="87"/>
      <c r="D15" s="87"/>
      <c r="E15" s="87"/>
      <c r="F15" s="803">
        <f>+Alloc!Q248</f>
        <v>10942325</v>
      </c>
      <c r="G15" s="802"/>
      <c r="H15" s="803">
        <f>+Alloc!S248</f>
        <v>7426635</v>
      </c>
      <c r="I15" s="276"/>
    </row>
    <row r="16" spans="2:18">
      <c r="B16" s="87"/>
      <c r="C16" s="87"/>
      <c r="D16" s="87"/>
      <c r="E16" s="87"/>
      <c r="F16" s="804"/>
      <c r="G16" s="804"/>
      <c r="H16" s="804"/>
      <c r="I16" s="276"/>
    </row>
    <row r="17" spans="2:9">
      <c r="B17" s="87" t="s">
        <v>576</v>
      </c>
      <c r="C17" s="87"/>
      <c r="D17" s="87"/>
      <c r="E17" s="87"/>
      <c r="F17" s="805">
        <f>SUM(F9:F15)</f>
        <v>18256271</v>
      </c>
      <c r="G17" s="801"/>
      <c r="H17" s="805">
        <f t="shared" ref="H17" si="0">SUM(H9:H15)</f>
        <v>12840142</v>
      </c>
      <c r="I17" s="276"/>
    </row>
    <row r="18" spans="2:9">
      <c r="B18" s="87"/>
      <c r="C18" s="87"/>
      <c r="D18" s="87"/>
      <c r="E18" s="87"/>
      <c r="F18" s="804"/>
      <c r="G18" s="804"/>
      <c r="H18" s="804"/>
      <c r="I18" s="276"/>
    </row>
    <row r="19" spans="2:9">
      <c r="B19" s="87" t="s">
        <v>577</v>
      </c>
      <c r="C19" s="87"/>
      <c r="D19" s="87"/>
      <c r="E19" s="87"/>
      <c r="F19" s="801">
        <f>+F17/12</f>
        <v>1521355.9166666667</v>
      </c>
      <c r="G19" s="336"/>
      <c r="H19" s="801">
        <f t="shared" ref="H19" si="1">+H17/12</f>
        <v>1070011.8333333333</v>
      </c>
      <c r="I19" s="276"/>
    </row>
    <row r="20" spans="2:9">
      <c r="B20" s="87"/>
      <c r="C20" s="87"/>
      <c r="D20" s="87"/>
      <c r="E20" s="87"/>
      <c r="F20" s="804"/>
      <c r="G20" s="804"/>
      <c r="H20" s="804"/>
      <c r="I20" s="276"/>
    </row>
    <row r="21" spans="2:9">
      <c r="B21" s="87" t="s">
        <v>580</v>
      </c>
      <c r="C21" s="87"/>
      <c r="D21" s="87"/>
      <c r="E21" s="87"/>
      <c r="F21" s="1079">
        <f>+'[7]Rate LFD'!$E$29/12</f>
        <v>105160</v>
      </c>
      <c r="G21" s="1080"/>
      <c r="H21" s="1079">
        <f>+'[7]Summary - Total Rev (Excl PGC)'!$N$12</f>
        <v>643062</v>
      </c>
      <c r="I21" s="276"/>
    </row>
    <row r="22" spans="2:9">
      <c r="B22" s="87"/>
      <c r="C22" s="87"/>
      <c r="D22" s="87"/>
      <c r="E22" s="87"/>
      <c r="F22" s="804"/>
      <c r="G22" s="804"/>
      <c r="H22" s="804"/>
      <c r="I22" s="276"/>
    </row>
    <row r="23" spans="2:9">
      <c r="B23" s="87" t="s">
        <v>578</v>
      </c>
      <c r="C23" s="87"/>
      <c r="D23" s="87"/>
      <c r="E23" s="87"/>
      <c r="F23" s="806">
        <f>+F19/F21</f>
        <v>14.467058926080893</v>
      </c>
      <c r="G23" s="806"/>
      <c r="H23" s="806">
        <f t="shared" ref="H23" si="2">+H19/H21</f>
        <v>1.6639326119928299</v>
      </c>
      <c r="I23" s="276"/>
    </row>
    <row r="24" spans="2:9">
      <c r="B24" s="87"/>
      <c r="C24" s="87"/>
      <c r="D24" s="87"/>
      <c r="E24" s="87"/>
      <c r="F24" s="87"/>
      <c r="G24" s="87"/>
      <c r="H24" s="87"/>
      <c r="I24" s="276"/>
    </row>
    <row r="25" spans="2:9">
      <c r="B25" s="87"/>
      <c r="C25" s="87"/>
      <c r="D25" s="87"/>
      <c r="E25" s="87"/>
      <c r="F25" s="87"/>
      <c r="G25" s="87"/>
      <c r="H25" s="87"/>
      <c r="I25" s="276"/>
    </row>
    <row r="26" spans="2:9">
      <c r="B26" s="87"/>
      <c r="C26" s="87"/>
      <c r="D26" s="87"/>
      <c r="E26" s="87"/>
      <c r="F26" s="87"/>
      <c r="G26" s="87"/>
      <c r="H26" s="87"/>
    </row>
  </sheetData>
  <mergeCells count="3">
    <mergeCell ref="B7:C7"/>
    <mergeCell ref="B2:H2"/>
    <mergeCell ref="B4:H4"/>
  </mergeCells>
  <pageMargins left="1" right="0.95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0DD6A-040A-4E3C-8E20-54D065FA220C}">
  <sheetPr>
    <tabColor indexed="34"/>
  </sheetPr>
  <dimension ref="A1:AC234"/>
  <sheetViews>
    <sheetView zoomScale="70" zoomScaleNormal="70" workbookViewId="0"/>
  </sheetViews>
  <sheetFormatPr defaultColWidth="8.88671875" defaultRowHeight="15" outlineLevelCol="1"/>
  <cols>
    <col min="1" max="1" width="11.77734375" style="529" customWidth="1"/>
    <col min="2" max="2" width="6.109375" style="529" customWidth="1"/>
    <col min="3" max="3" width="45.88671875" style="529" customWidth="1"/>
    <col min="4" max="4" width="1.21875" style="529" customWidth="1"/>
    <col min="5" max="5" width="9.88671875" style="577" customWidth="1"/>
    <col min="6" max="6" width="1.33203125" style="577" customWidth="1"/>
    <col min="7" max="7" width="4.77734375" style="577" customWidth="1"/>
    <col min="8" max="8" width="1.33203125" style="577" customWidth="1"/>
    <col min="9" max="9" width="4.88671875" style="577" customWidth="1"/>
    <col min="10" max="10" width="1.33203125" style="577" customWidth="1"/>
    <col min="11" max="11" width="14.77734375" style="402" customWidth="1"/>
    <col min="12" max="12" width="1.33203125" style="529" customWidth="1"/>
    <col min="13" max="13" width="13.44140625" style="578" customWidth="1"/>
    <col min="14" max="14" width="1.33203125" style="578" customWidth="1"/>
    <col min="15" max="15" width="14.21875" style="578" customWidth="1"/>
    <col min="16" max="16" width="1.33203125" style="578" customWidth="1"/>
    <col min="17" max="17" width="7.21875" style="579" customWidth="1"/>
    <col min="18" max="18" width="1.33203125" style="578" customWidth="1"/>
    <col min="19" max="19" width="12.109375" style="578" customWidth="1"/>
    <col min="20" max="20" width="1.33203125" style="529" customWidth="1" outlineLevel="1"/>
    <col min="21" max="21" width="9.109375" style="581" customWidth="1" outlineLevel="1"/>
    <col min="22" max="22" width="12.109375" style="578" customWidth="1"/>
    <col min="23" max="23" width="12.109375" style="578" bestFit="1" customWidth="1" collapsed="1"/>
    <col min="24" max="24" width="19.21875" style="529" bestFit="1" customWidth="1"/>
    <col min="25" max="25" width="12.5546875" style="529" bestFit="1" customWidth="1"/>
    <col min="26" max="26" width="12.44140625" style="529" bestFit="1" customWidth="1"/>
    <col min="27" max="27" width="8.88671875" style="529"/>
    <col min="28" max="28" width="11.33203125" style="529" customWidth="1"/>
    <col min="29" max="16384" width="8.88671875" style="529"/>
  </cols>
  <sheetData>
    <row r="1" spans="1:29" ht="15.75" customHeight="1">
      <c r="A1" s="528" t="s">
        <v>837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31"/>
      <c r="Y1" s="531"/>
      <c r="Z1" s="531"/>
    </row>
    <row r="2" spans="1:29" ht="9" customHeight="1">
      <c r="A2" s="528"/>
      <c r="B2" s="532"/>
      <c r="C2" s="532"/>
      <c r="D2" s="532"/>
      <c r="E2" s="533"/>
      <c r="F2" s="534"/>
      <c r="G2" s="533"/>
      <c r="H2" s="533"/>
      <c r="I2" s="533"/>
      <c r="J2" s="534"/>
      <c r="K2" s="528"/>
      <c r="L2" s="532"/>
      <c r="M2" s="535"/>
      <c r="N2" s="535"/>
      <c r="O2" s="535"/>
      <c r="P2" s="535"/>
      <c r="Q2" s="536"/>
      <c r="R2" s="535"/>
      <c r="S2" s="537"/>
      <c r="T2" s="532"/>
      <c r="U2" s="538"/>
      <c r="V2" s="537"/>
      <c r="W2" s="537"/>
      <c r="X2" s="531"/>
      <c r="Y2" s="531"/>
      <c r="Z2" s="531"/>
    </row>
    <row r="3" spans="1:29" ht="15.75">
      <c r="A3" s="539" t="s">
        <v>615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1"/>
      <c r="Y3" s="531"/>
      <c r="Z3" s="531"/>
    </row>
    <row r="4" spans="1:29" ht="15.75">
      <c r="A4" s="540" t="s">
        <v>616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31"/>
      <c r="Y4" s="531"/>
      <c r="Z4" s="531"/>
    </row>
    <row r="5" spans="1:29" ht="12.75" customHeight="1">
      <c r="A5" s="541"/>
      <c r="B5" s="541"/>
      <c r="C5" s="541"/>
      <c r="D5" s="541"/>
      <c r="E5" s="542"/>
      <c r="F5" s="543"/>
      <c r="G5" s="542"/>
      <c r="H5" s="542"/>
      <c r="I5" s="542"/>
      <c r="J5" s="543"/>
      <c r="K5" s="530"/>
      <c r="L5" s="541"/>
      <c r="M5" s="544"/>
      <c r="N5" s="544"/>
      <c r="O5" s="544"/>
      <c r="P5" s="544"/>
      <c r="Q5" s="545"/>
      <c r="R5" s="544"/>
      <c r="S5" s="546"/>
      <c r="T5" s="541"/>
      <c r="U5" s="547"/>
      <c r="V5" s="546"/>
      <c r="W5" s="546"/>
      <c r="X5" s="531"/>
      <c r="Y5" s="531"/>
      <c r="Z5" s="531"/>
    </row>
    <row r="6" spans="1:29" s="558" customFormat="1" ht="13.15" customHeight="1">
      <c r="A6" s="548"/>
      <c r="B6" s="548"/>
      <c r="C6" s="548"/>
      <c r="D6" s="548"/>
      <c r="E6" s="549" t="s">
        <v>617</v>
      </c>
      <c r="F6" s="550"/>
      <c r="G6" s="502"/>
      <c r="H6" s="502"/>
      <c r="I6" s="502"/>
      <c r="J6" s="550"/>
      <c r="K6" s="531"/>
      <c r="L6" s="548"/>
      <c r="M6" s="551"/>
      <c r="N6" s="551"/>
      <c r="O6" s="552" t="s">
        <v>618</v>
      </c>
      <c r="P6" s="551"/>
      <c r="Q6" s="553" t="s">
        <v>619</v>
      </c>
      <c r="R6" s="554"/>
      <c r="S6" s="555"/>
      <c r="T6" s="556"/>
      <c r="U6" s="557" t="s">
        <v>620</v>
      </c>
      <c r="V6" s="555"/>
      <c r="W6" s="555"/>
      <c r="X6" s="531"/>
      <c r="Y6" s="531"/>
      <c r="Z6" s="531"/>
    </row>
    <row r="7" spans="1:29" s="558" customFormat="1" ht="12.75">
      <c r="A7" s="548"/>
      <c r="B7" s="548"/>
      <c r="C7" s="548"/>
      <c r="D7" s="548"/>
      <c r="E7" s="549" t="s">
        <v>621</v>
      </c>
      <c r="F7" s="550"/>
      <c r="G7" s="559" t="s">
        <v>622</v>
      </c>
      <c r="H7" s="559"/>
      <c r="I7" s="559"/>
      <c r="J7" s="550"/>
      <c r="K7" s="531"/>
      <c r="L7" s="548"/>
      <c r="M7" s="552" t="s">
        <v>623</v>
      </c>
      <c r="N7" s="552"/>
      <c r="O7" s="552" t="s">
        <v>623</v>
      </c>
      <c r="P7" s="552"/>
      <c r="Q7" s="560" t="s">
        <v>624</v>
      </c>
      <c r="R7" s="561"/>
      <c r="S7" s="562"/>
      <c r="T7" s="556"/>
      <c r="U7" s="557" t="s">
        <v>625</v>
      </c>
      <c r="V7" s="562"/>
      <c r="W7" s="562"/>
      <c r="X7" s="531"/>
      <c r="Y7" s="531"/>
      <c r="Z7" s="531"/>
    </row>
    <row r="8" spans="1:29" s="558" customFormat="1" ht="14.25" customHeight="1">
      <c r="A8" s="563"/>
      <c r="B8" s="564" t="s">
        <v>626</v>
      </c>
      <c r="C8" s="564"/>
      <c r="E8" s="565" t="s">
        <v>627</v>
      </c>
      <c r="F8" s="566"/>
      <c r="G8" s="559" t="s">
        <v>628</v>
      </c>
      <c r="H8" s="567"/>
      <c r="I8" s="567"/>
      <c r="J8" s="566"/>
      <c r="K8" s="635" t="s">
        <v>629</v>
      </c>
      <c r="L8" s="548"/>
      <c r="M8" s="552" t="s">
        <v>630</v>
      </c>
      <c r="N8" s="552"/>
      <c r="O8" s="552" t="s">
        <v>631</v>
      </c>
      <c r="P8" s="552"/>
      <c r="Q8" s="568" t="s">
        <v>632</v>
      </c>
      <c r="R8" s="552"/>
      <c r="S8" s="569" t="s">
        <v>633</v>
      </c>
      <c r="T8" s="556"/>
      <c r="U8" s="570" t="s">
        <v>634</v>
      </c>
      <c r="V8" s="569" t="s">
        <v>755</v>
      </c>
      <c r="W8" s="569" t="s">
        <v>756</v>
      </c>
      <c r="X8" s="531"/>
      <c r="Y8" s="531"/>
      <c r="Z8" s="531"/>
    </row>
    <row r="9" spans="1:29" s="558" customFormat="1" ht="13.15" customHeight="1">
      <c r="A9" s="563"/>
      <c r="B9" s="571" t="s">
        <v>170</v>
      </c>
      <c r="C9" s="571"/>
      <c r="E9" s="572">
        <v>-2</v>
      </c>
      <c r="F9" s="531"/>
      <c r="G9" s="573">
        <v>-3</v>
      </c>
      <c r="H9" s="574"/>
      <c r="I9" s="574"/>
      <c r="J9" s="566"/>
      <c r="K9" s="636">
        <v>-4</v>
      </c>
      <c r="L9" s="548"/>
      <c r="M9" s="572">
        <v>-5</v>
      </c>
      <c r="N9" s="572"/>
      <c r="O9" s="572">
        <v>-6</v>
      </c>
      <c r="P9" s="572"/>
      <c r="Q9" s="572">
        <v>-7</v>
      </c>
      <c r="R9" s="572"/>
      <c r="S9" s="572">
        <v>-8</v>
      </c>
      <c r="T9" s="572"/>
      <c r="U9" s="572">
        <v>-9</v>
      </c>
      <c r="V9" s="572"/>
      <c r="W9" s="572"/>
      <c r="X9" s="531"/>
      <c r="Y9" s="531"/>
      <c r="Z9" s="531"/>
    </row>
    <row r="10" spans="1:29" ht="12.75" customHeight="1">
      <c r="A10" s="575"/>
      <c r="B10" s="575"/>
      <c r="E10" s="576"/>
      <c r="T10" s="580"/>
    </row>
    <row r="11" spans="1:29" ht="13.15" customHeight="1">
      <c r="A11" s="582" t="s">
        <v>635</v>
      </c>
      <c r="B11" s="575"/>
      <c r="E11" s="576"/>
      <c r="K11" s="502"/>
      <c r="L11" s="577"/>
      <c r="M11" s="584"/>
      <c r="T11" s="580"/>
    </row>
    <row r="12" spans="1:29" ht="18">
      <c r="A12" s="582"/>
      <c r="B12" s="575"/>
      <c r="E12" s="576"/>
      <c r="K12" s="502"/>
      <c r="M12" s="21"/>
      <c r="Q12" s="585"/>
      <c r="T12" s="580"/>
      <c r="X12" s="529" t="s">
        <v>766</v>
      </c>
    </row>
    <row r="13" spans="1:29">
      <c r="A13" s="582"/>
      <c r="B13" s="548" t="s">
        <v>636</v>
      </c>
      <c r="E13" s="576"/>
      <c r="K13" s="502"/>
      <c r="M13" s="21"/>
      <c r="Q13" s="585"/>
      <c r="T13" s="580"/>
      <c r="X13" s="737" t="s">
        <v>765</v>
      </c>
      <c r="Y13" s="737" t="s">
        <v>765</v>
      </c>
    </row>
    <row r="14" spans="1:29">
      <c r="A14" s="582"/>
      <c r="B14" s="586">
        <v>305</v>
      </c>
      <c r="C14" s="587" t="s">
        <v>637</v>
      </c>
      <c r="E14" s="576"/>
      <c r="G14" s="915" t="s">
        <v>816</v>
      </c>
      <c r="H14" s="916"/>
      <c r="I14" s="917"/>
      <c r="K14" s="920">
        <f>'[3]Table 1 Total'!$K14</f>
        <v>0</v>
      </c>
      <c r="L14" s="921"/>
      <c r="M14" s="920">
        <f>'[3]Table 1 Total'!M14</f>
        <v>-14821</v>
      </c>
      <c r="N14" s="921"/>
      <c r="O14" s="920">
        <f>'[3]Table 1 Total'!O14</f>
        <v>14821</v>
      </c>
      <c r="P14" s="846"/>
      <c r="Q14" s="923">
        <f>'[3]Table 1 Total'!Q14</f>
        <v>0</v>
      </c>
      <c r="R14" s="921"/>
      <c r="S14" s="920">
        <f>'[3]Table 1 Total'!S14</f>
        <v>0</v>
      </c>
      <c r="T14" s="847"/>
      <c r="U14" s="925">
        <f>IF(S14=0,0,ROUND(O14/S14,1))</f>
        <v>0</v>
      </c>
      <c r="V14" s="920">
        <f>'[3]Table 4 Total'!Z14</f>
        <v>0</v>
      </c>
      <c r="W14" s="920">
        <f>+S14+V14</f>
        <v>0</v>
      </c>
      <c r="X14" s="996">
        <v>0</v>
      </c>
      <c r="Y14" s="996">
        <f t="shared" ref="Y14:Y23" si="0">X14*1000</f>
        <v>0</v>
      </c>
      <c r="Z14" s="850"/>
      <c r="AA14" s="850"/>
      <c r="AB14" s="850"/>
      <c r="AC14" s="850"/>
    </row>
    <row r="15" spans="1:29">
      <c r="A15" s="582"/>
      <c r="B15" s="588">
        <v>325.2</v>
      </c>
      <c r="C15" s="589" t="s">
        <v>638</v>
      </c>
      <c r="E15" s="590" t="s">
        <v>639</v>
      </c>
      <c r="F15" s="591"/>
      <c r="G15" s="918">
        <v>55</v>
      </c>
      <c r="H15" s="919" t="s">
        <v>640</v>
      </c>
      <c r="I15" t="s">
        <v>641</v>
      </c>
      <c r="K15" s="920">
        <f>'[3]Table 1 Total'!$K15</f>
        <v>163100</v>
      </c>
      <c r="L15" s="921"/>
      <c r="M15" s="920">
        <f>'[3]Table 1 Total'!M15</f>
        <v>162070</v>
      </c>
      <c r="N15" s="921"/>
      <c r="O15" s="920">
        <f>'[3]Table 1 Total'!O15</f>
        <v>1030</v>
      </c>
      <c r="P15" s="846"/>
      <c r="Q15" s="923">
        <f>'[3]Table 1 Total'!Q15</f>
        <v>0.02</v>
      </c>
      <c r="R15" s="921"/>
      <c r="S15" s="920">
        <f>'[3]Table 1 Total'!S15</f>
        <v>35</v>
      </c>
      <c r="T15" s="847"/>
      <c r="U15" s="925">
        <f>IF(S15=0,0,ROUND(O15/S15,1))</f>
        <v>29.4</v>
      </c>
      <c r="V15" s="920">
        <f>'[3]Table 4 Total'!Z15</f>
        <v>14823</v>
      </c>
      <c r="W15" s="920">
        <f t="shared" ref="W15:W24" si="1">+S15+V15</f>
        <v>14858</v>
      </c>
      <c r="X15" s="996">
        <f>'[2]D-21'!$K$26</f>
        <v>0</v>
      </c>
      <c r="Y15" s="996">
        <f t="shared" si="0"/>
        <v>0</v>
      </c>
      <c r="Z15" s="850"/>
      <c r="AA15" s="850"/>
      <c r="AB15" s="850"/>
      <c r="AC15" s="850"/>
    </row>
    <row r="16" spans="1:29">
      <c r="A16" s="582"/>
      <c r="B16" s="588">
        <v>325.39999999999998</v>
      </c>
      <c r="C16" s="589" t="s">
        <v>642</v>
      </c>
      <c r="E16" s="590" t="s">
        <v>639</v>
      </c>
      <c r="F16" s="591"/>
      <c r="G16" s="918">
        <v>60</v>
      </c>
      <c r="H16" s="919" t="s">
        <v>640</v>
      </c>
      <c r="I16" t="s">
        <v>643</v>
      </c>
      <c r="K16" s="920">
        <f>'[3]Table 1 Total'!$K16</f>
        <v>30277</v>
      </c>
      <c r="L16" s="921"/>
      <c r="M16" s="920">
        <f>'[3]Table 1 Total'!M16</f>
        <v>29681</v>
      </c>
      <c r="N16" s="921"/>
      <c r="O16" s="920">
        <f>'[3]Table 1 Total'!O16</f>
        <v>596</v>
      </c>
      <c r="P16" s="846"/>
      <c r="Q16" s="923">
        <f>'[3]Table 1 Total'!Q16</f>
        <v>0.06</v>
      </c>
      <c r="R16" s="921"/>
      <c r="S16" s="920">
        <f>'[3]Table 1 Total'!S16</f>
        <v>19</v>
      </c>
      <c r="T16" s="847"/>
      <c r="U16" s="925">
        <f t="shared" ref="U16:U24" si="2">IF(S16=0,0,ROUND(O16/S16,1))</f>
        <v>31.4</v>
      </c>
      <c r="V16" s="920">
        <f>'[3]Table 4 Total'!Z16</f>
        <v>0</v>
      </c>
      <c r="W16" s="920">
        <f t="shared" si="1"/>
        <v>19</v>
      </c>
      <c r="X16" s="996">
        <f>'[2]D-21'!$K$27</f>
        <v>0</v>
      </c>
      <c r="Y16" s="996">
        <f t="shared" si="0"/>
        <v>0</v>
      </c>
      <c r="Z16" s="850"/>
      <c r="AA16" s="850"/>
      <c r="AB16" s="850"/>
      <c r="AC16" s="850"/>
    </row>
    <row r="17" spans="1:29">
      <c r="A17" s="582"/>
      <c r="B17" s="588">
        <v>328</v>
      </c>
      <c r="C17" s="589" t="s">
        <v>644</v>
      </c>
      <c r="E17" s="590" t="s">
        <v>639</v>
      </c>
      <c r="F17" s="591"/>
      <c r="G17" s="915" t="s">
        <v>645</v>
      </c>
      <c r="H17" s="916"/>
      <c r="I17" s="917"/>
      <c r="K17" s="920">
        <f>'[3]Table 1 Total'!$K17</f>
        <v>1263</v>
      </c>
      <c r="L17" s="921"/>
      <c r="M17" s="920">
        <f>'[3]Table 1 Total'!M17</f>
        <v>1263</v>
      </c>
      <c r="N17" s="921"/>
      <c r="O17" s="920">
        <f>'[3]Table 1 Total'!O17</f>
        <v>0</v>
      </c>
      <c r="P17" s="846"/>
      <c r="Q17" s="923">
        <f>'[3]Table 1 Total'!Q17</f>
        <v>0</v>
      </c>
      <c r="R17" s="921"/>
      <c r="S17" s="920">
        <f>'[3]Table 1 Total'!S17</f>
        <v>0</v>
      </c>
      <c r="T17" s="847"/>
      <c r="U17" s="925">
        <f t="shared" si="2"/>
        <v>0</v>
      </c>
      <c r="V17" s="920">
        <f>'[3]Table 4 Total'!Z17</f>
        <v>0</v>
      </c>
      <c r="W17" s="920">
        <f t="shared" si="1"/>
        <v>0</v>
      </c>
      <c r="X17" s="996">
        <f>'[2]D-21'!K29</f>
        <v>0</v>
      </c>
      <c r="Y17" s="996">
        <f t="shared" si="0"/>
        <v>0</v>
      </c>
      <c r="Z17" s="850"/>
      <c r="AA17" s="850"/>
      <c r="AB17" s="850"/>
      <c r="AC17" s="850"/>
    </row>
    <row r="18" spans="1:29">
      <c r="A18" s="582"/>
      <c r="B18" s="588">
        <v>329</v>
      </c>
      <c r="C18" s="589" t="s">
        <v>646</v>
      </c>
      <c r="E18" s="590" t="s">
        <v>639</v>
      </c>
      <c r="F18" s="591"/>
      <c r="G18" s="915" t="s">
        <v>645</v>
      </c>
      <c r="H18" s="916"/>
      <c r="I18" s="917"/>
      <c r="K18" s="920">
        <f>'[3]Table 1 Total'!$K18</f>
        <v>44785</v>
      </c>
      <c r="L18" s="921"/>
      <c r="M18" s="920">
        <f>'[3]Table 1 Total'!M18</f>
        <v>44783</v>
      </c>
      <c r="N18" s="921"/>
      <c r="O18" s="920">
        <f>'[3]Table 1 Total'!O18</f>
        <v>2</v>
      </c>
      <c r="P18" s="846"/>
      <c r="Q18" s="923">
        <f>'[3]Table 1 Total'!Q18</f>
        <v>0</v>
      </c>
      <c r="R18" s="921"/>
      <c r="S18" s="920">
        <f>'[3]Table 1 Total'!S18</f>
        <v>0</v>
      </c>
      <c r="T18" s="847"/>
      <c r="U18" s="925">
        <f t="shared" si="2"/>
        <v>0</v>
      </c>
      <c r="V18" s="920">
        <f>'[3]Table 4 Total'!Z18</f>
        <v>0</v>
      </c>
      <c r="W18" s="920">
        <f t="shared" si="1"/>
        <v>0</v>
      </c>
      <c r="X18" s="996">
        <f>'[2]D-21'!K30</f>
        <v>0</v>
      </c>
      <c r="Y18" s="996">
        <f t="shared" si="0"/>
        <v>0</v>
      </c>
      <c r="Z18" s="850"/>
      <c r="AA18" s="850"/>
      <c r="AB18" s="850"/>
      <c r="AC18" s="850"/>
    </row>
    <row r="19" spans="1:29" ht="12.75" customHeight="1">
      <c r="A19" s="582"/>
      <c r="B19" s="588">
        <v>330</v>
      </c>
      <c r="C19" s="589" t="s">
        <v>647</v>
      </c>
      <c r="E19" s="590" t="s">
        <v>639</v>
      </c>
      <c r="F19" s="591"/>
      <c r="G19" s="915" t="s">
        <v>645</v>
      </c>
      <c r="H19" s="916"/>
      <c r="I19" s="917"/>
      <c r="K19" s="920">
        <f>'[3]Table 1 Total'!$K19</f>
        <v>18209</v>
      </c>
      <c r="L19" s="921"/>
      <c r="M19" s="920">
        <f>'[3]Table 1 Total'!M19</f>
        <v>18210</v>
      </c>
      <c r="N19" s="921"/>
      <c r="O19" s="920">
        <f>'[3]Table 1 Total'!O19</f>
        <v>-1</v>
      </c>
      <c r="P19" s="846"/>
      <c r="Q19" s="923">
        <f>'[3]Table 1 Total'!Q19</f>
        <v>0</v>
      </c>
      <c r="R19" s="921"/>
      <c r="S19" s="920">
        <f>'[3]Table 1 Total'!S19</f>
        <v>0</v>
      </c>
      <c r="T19" s="847"/>
      <c r="U19" s="925">
        <f t="shared" si="2"/>
        <v>0</v>
      </c>
      <c r="V19" s="920">
        <f>'[3]Table 4 Total'!Z19</f>
        <v>0</v>
      </c>
      <c r="W19" s="920">
        <f t="shared" si="1"/>
        <v>0</v>
      </c>
      <c r="X19" s="996">
        <f>'[2]D-21'!K31</f>
        <v>0</v>
      </c>
      <c r="Y19" s="996">
        <f t="shared" si="0"/>
        <v>0</v>
      </c>
      <c r="Z19" s="850"/>
      <c r="AA19" s="850"/>
      <c r="AB19" s="850"/>
      <c r="AC19" s="850"/>
    </row>
    <row r="20" spans="1:29" ht="12.75" customHeight="1">
      <c r="A20" s="582"/>
      <c r="B20" s="588">
        <v>331</v>
      </c>
      <c r="C20" s="589" t="s">
        <v>649</v>
      </c>
      <c r="E20" s="590" t="s">
        <v>639</v>
      </c>
      <c r="F20" s="591"/>
      <c r="G20" s="915" t="s">
        <v>645</v>
      </c>
      <c r="H20" s="916"/>
      <c r="I20" s="917"/>
      <c r="K20" s="920">
        <f>'[3]Table 1 Total'!$K20</f>
        <v>24441</v>
      </c>
      <c r="L20" s="921"/>
      <c r="M20" s="920">
        <f>'[3]Table 1 Total'!M20</f>
        <v>24441</v>
      </c>
      <c r="N20" s="921"/>
      <c r="O20" s="920">
        <f>'[3]Table 1 Total'!O20</f>
        <v>0</v>
      </c>
      <c r="P20" s="846"/>
      <c r="Q20" s="923">
        <f>'[3]Table 1 Total'!Q20</f>
        <v>0</v>
      </c>
      <c r="R20" s="921"/>
      <c r="S20" s="920">
        <f>'[3]Table 1 Total'!S20</f>
        <v>0</v>
      </c>
      <c r="T20" s="847"/>
      <c r="U20" s="925">
        <f t="shared" si="2"/>
        <v>0</v>
      </c>
      <c r="V20" s="920">
        <f>'[3]Table 4 Total'!Z20</f>
        <v>0</v>
      </c>
      <c r="W20" s="920">
        <f t="shared" si="1"/>
        <v>0</v>
      </c>
      <c r="X20" s="996">
        <f>'[2]D-21'!K32</f>
        <v>0</v>
      </c>
      <c r="Y20" s="996">
        <f t="shared" si="0"/>
        <v>0</v>
      </c>
      <c r="Z20" s="850"/>
      <c r="AA20" s="850"/>
      <c r="AB20" s="850"/>
      <c r="AC20" s="850"/>
    </row>
    <row r="21" spans="1:29" ht="12.75" customHeight="1">
      <c r="A21" s="582"/>
      <c r="B21" s="588">
        <v>332</v>
      </c>
      <c r="C21" s="589" t="s">
        <v>650</v>
      </c>
      <c r="E21" s="590" t="s">
        <v>639</v>
      </c>
      <c r="F21" s="591"/>
      <c r="G21" s="918">
        <v>47</v>
      </c>
      <c r="H21" s="919" t="s">
        <v>640</v>
      </c>
      <c r="I21" t="s">
        <v>651</v>
      </c>
      <c r="K21" s="920">
        <f>'[3]Table 1 Total'!$K21</f>
        <v>750689</v>
      </c>
      <c r="L21" s="921"/>
      <c r="M21" s="920">
        <f>'[3]Table 1 Total'!M21</f>
        <v>724803</v>
      </c>
      <c r="N21" s="921"/>
      <c r="O21" s="920">
        <f>'[3]Table 1 Total'!O21</f>
        <v>25886</v>
      </c>
      <c r="P21" s="846"/>
      <c r="Q21" s="923">
        <f>'[3]Table 1 Total'!Q21</f>
        <v>0.13</v>
      </c>
      <c r="R21" s="921"/>
      <c r="S21" s="920">
        <f>'[3]Table 1 Total'!S21</f>
        <v>1004</v>
      </c>
      <c r="T21" s="847"/>
      <c r="U21" s="925">
        <f t="shared" si="2"/>
        <v>25.8</v>
      </c>
      <c r="V21" s="920">
        <f>'[3]Table 4 Total'!Z21</f>
        <v>0</v>
      </c>
      <c r="W21" s="920">
        <f t="shared" si="1"/>
        <v>1004</v>
      </c>
      <c r="X21" s="996">
        <f>'[2]D-21'!K33</f>
        <v>1</v>
      </c>
      <c r="Y21" s="996">
        <f t="shared" si="0"/>
        <v>1000</v>
      </c>
      <c r="Z21" s="850"/>
      <c r="AA21" s="850"/>
      <c r="AB21" s="850"/>
      <c r="AC21" s="850"/>
    </row>
    <row r="22" spans="1:29" ht="12.75" customHeight="1">
      <c r="A22" s="582"/>
      <c r="B22" s="588">
        <v>334</v>
      </c>
      <c r="C22" s="589" t="s">
        <v>652</v>
      </c>
      <c r="E22" s="590" t="s">
        <v>639</v>
      </c>
      <c r="F22" s="591"/>
      <c r="G22" s="918">
        <v>24</v>
      </c>
      <c r="H22" s="919" t="s">
        <v>640</v>
      </c>
      <c r="I22" t="s">
        <v>653</v>
      </c>
      <c r="K22" s="920">
        <f>'[3]Table 1 Total'!$K22</f>
        <v>89725</v>
      </c>
      <c r="L22" s="921"/>
      <c r="M22" s="920">
        <f>'[3]Table 1 Total'!M22</f>
        <v>79835</v>
      </c>
      <c r="N22" s="921"/>
      <c r="O22" s="920">
        <f>'[3]Table 1 Total'!O22</f>
        <v>9890</v>
      </c>
      <c r="P22" s="846"/>
      <c r="Q22" s="923">
        <f>'[3]Table 1 Total'!Q22</f>
        <v>0.68</v>
      </c>
      <c r="R22" s="921"/>
      <c r="S22" s="920">
        <f>'[3]Table 1 Total'!S22</f>
        <v>614</v>
      </c>
      <c r="T22" s="847"/>
      <c r="U22" s="925">
        <f t="shared" si="2"/>
        <v>16.100000000000001</v>
      </c>
      <c r="V22" s="920">
        <f>'[3]Table 4 Total'!Z22</f>
        <v>0</v>
      </c>
      <c r="W22" s="920">
        <f t="shared" si="1"/>
        <v>614</v>
      </c>
      <c r="X22" s="996">
        <f>'[2]D-21'!K34</f>
        <v>1</v>
      </c>
      <c r="Y22" s="996">
        <f t="shared" si="0"/>
        <v>1000</v>
      </c>
      <c r="Z22" s="850"/>
      <c r="AA22" s="850"/>
      <c r="AB22" s="850"/>
      <c r="AC22" s="850"/>
    </row>
    <row r="23" spans="1:29" ht="12.75" customHeight="1">
      <c r="A23" s="582"/>
      <c r="B23" s="588">
        <v>335</v>
      </c>
      <c r="C23" s="589" t="s">
        <v>654</v>
      </c>
      <c r="E23" s="590" t="s">
        <v>639</v>
      </c>
      <c r="F23" s="591"/>
      <c r="G23" s="918">
        <v>30</v>
      </c>
      <c r="H23" s="919" t="s">
        <v>640</v>
      </c>
      <c r="I23" t="s">
        <v>641</v>
      </c>
      <c r="K23" s="920">
        <f>'[3]Table 1 Total'!$K23</f>
        <v>49604</v>
      </c>
      <c r="L23" s="921"/>
      <c r="M23" s="920">
        <f>'[3]Table 1 Total'!M23</f>
        <v>49461</v>
      </c>
      <c r="N23" s="921"/>
      <c r="O23" s="920">
        <f>'[3]Table 1 Total'!O23</f>
        <v>143</v>
      </c>
      <c r="P23" s="846"/>
      <c r="Q23" s="923">
        <f>'[3]Table 1 Total'!Q23</f>
        <v>0.04</v>
      </c>
      <c r="R23" s="921"/>
      <c r="S23" s="920">
        <f>'[3]Table 1 Total'!S23</f>
        <v>19</v>
      </c>
      <c r="T23" s="847"/>
      <c r="U23" s="925">
        <f t="shared" si="2"/>
        <v>7.5</v>
      </c>
      <c r="V23" s="920">
        <f>'[3]Table 4 Total'!Z23</f>
        <v>0</v>
      </c>
      <c r="W23" s="920">
        <f t="shared" si="1"/>
        <v>19</v>
      </c>
      <c r="X23" s="996">
        <f>'[2]D-21'!K35</f>
        <v>0</v>
      </c>
      <c r="Y23" s="996">
        <f t="shared" si="0"/>
        <v>0</v>
      </c>
      <c r="Z23" s="850"/>
      <c r="AA23" s="850"/>
      <c r="AB23" s="850"/>
      <c r="AC23" s="850"/>
    </row>
    <row r="24" spans="1:29" ht="12.75" customHeight="1">
      <c r="A24" s="582"/>
      <c r="B24" s="588">
        <v>337</v>
      </c>
      <c r="C24" s="589" t="s">
        <v>655</v>
      </c>
      <c r="E24" s="590" t="s">
        <v>639</v>
      </c>
      <c r="F24" s="591"/>
      <c r="G24" s="915" t="s">
        <v>645</v>
      </c>
      <c r="H24" s="916"/>
      <c r="I24" s="917"/>
      <c r="K24" s="920">
        <f>'[3]Table 1 Total'!$K24</f>
        <v>11062</v>
      </c>
      <c r="L24" s="921"/>
      <c r="M24" s="920">
        <f>'[3]Table 1 Total'!M24</f>
        <v>11062</v>
      </c>
      <c r="N24" s="921"/>
      <c r="O24" s="920">
        <f>'[3]Table 1 Total'!O24</f>
        <v>0</v>
      </c>
      <c r="P24" s="846"/>
      <c r="Q24" s="923">
        <f>'[3]Table 1 Total'!Q24</f>
        <v>0</v>
      </c>
      <c r="R24" s="921"/>
      <c r="S24" s="920">
        <f>'[3]Table 1 Total'!S24</f>
        <v>0</v>
      </c>
      <c r="T24" s="847"/>
      <c r="U24" s="925">
        <f t="shared" si="2"/>
        <v>0</v>
      </c>
      <c r="V24" s="920">
        <f>'[3]Table 4 Total'!Z24</f>
        <v>0</v>
      </c>
      <c r="W24" s="920">
        <f t="shared" si="1"/>
        <v>0</v>
      </c>
      <c r="X24" s="996">
        <f>'[2]D-21'!K36</f>
        <v>0</v>
      </c>
      <c r="Y24" s="997">
        <f>X24*1000</f>
        <v>0</v>
      </c>
      <c r="Z24" s="850"/>
      <c r="AA24" s="850"/>
      <c r="AB24" s="850"/>
      <c r="AC24" s="850"/>
    </row>
    <row r="25" spans="1:29" ht="12.75" customHeight="1">
      <c r="A25" s="582"/>
      <c r="B25" s="531" t="s">
        <v>656</v>
      </c>
      <c r="E25" s="576"/>
      <c r="K25" s="922">
        <f>SUBTOTAL(9,K14:K24)</f>
        <v>1183155</v>
      </c>
      <c r="L25" s="402"/>
      <c r="M25" s="922">
        <f>SUBTOTAL(9,M14:M24)</f>
        <v>1130788</v>
      </c>
      <c r="N25" s="75"/>
      <c r="O25" s="922">
        <f>SUBTOTAL(9,O14:O24)</f>
        <v>52367</v>
      </c>
      <c r="P25" s="852"/>
      <c r="Q25" s="924">
        <f t="shared" ref="Q25" si="3">IF(K25=0,0,ROUND(S25/K25*100,2))</f>
        <v>0.14000000000000001</v>
      </c>
      <c r="R25" s="75"/>
      <c r="S25" s="922">
        <f>SUBTOTAL(9,S14:S24)</f>
        <v>1691</v>
      </c>
      <c r="T25" s="851"/>
      <c r="U25" s="854">
        <f t="shared" ref="U25:W25" si="4">SUBTOTAL(9,U14:U24)</f>
        <v>110.19999999999999</v>
      </c>
      <c r="V25" s="922">
        <f t="shared" si="4"/>
        <v>14823</v>
      </c>
      <c r="W25" s="922">
        <f t="shared" si="4"/>
        <v>16514</v>
      </c>
      <c r="X25" s="998">
        <f>SUBTOTAL(9,X14:X24)</f>
        <v>2</v>
      </c>
      <c r="Y25" s="996">
        <f>SUBTOTAL(9,Y14:Y24)</f>
        <v>2000</v>
      </c>
      <c r="Z25" s="850"/>
      <c r="AA25" s="850"/>
      <c r="AB25" s="850"/>
      <c r="AC25" s="850"/>
    </row>
    <row r="26" spans="1:29" ht="12.75" customHeight="1">
      <c r="A26" s="582"/>
      <c r="B26" s="575"/>
      <c r="E26" s="576"/>
      <c r="K26" s="855"/>
      <c r="L26" s="850"/>
      <c r="M26" s="855"/>
      <c r="N26" s="852"/>
      <c r="O26" s="852"/>
      <c r="P26" s="852"/>
      <c r="Q26" s="856"/>
      <c r="R26" s="852"/>
      <c r="S26" s="855"/>
      <c r="T26" s="847"/>
      <c r="U26" s="857"/>
      <c r="V26" s="855"/>
      <c r="W26" s="855"/>
      <c r="X26" s="849"/>
      <c r="Y26" s="849"/>
      <c r="Z26" s="850"/>
      <c r="AA26" s="850"/>
      <c r="AB26" s="850"/>
      <c r="AC26" s="850"/>
    </row>
    <row r="27" spans="1:29" ht="12.75" customHeight="1">
      <c r="A27" s="582"/>
      <c r="B27" s="548" t="s">
        <v>657</v>
      </c>
      <c r="E27" s="576"/>
      <c r="K27" s="855"/>
      <c r="L27" s="850"/>
      <c r="M27" s="855"/>
      <c r="N27" s="852"/>
      <c r="O27" s="852"/>
      <c r="P27" s="852"/>
      <c r="Q27" s="856"/>
      <c r="R27" s="852"/>
      <c r="S27" s="855"/>
      <c r="T27" s="847"/>
      <c r="U27" s="857"/>
      <c r="V27" s="855"/>
      <c r="W27" s="855"/>
      <c r="X27" s="849"/>
      <c r="Y27" s="849"/>
      <c r="Z27" s="850"/>
      <c r="AA27" s="850"/>
      <c r="AB27" s="850"/>
      <c r="AC27" s="850"/>
    </row>
    <row r="28" spans="1:29" ht="12.75" customHeight="1">
      <c r="A28" s="582"/>
      <c r="B28" s="38">
        <v>352.01</v>
      </c>
      <c r="C28" s="4" t="s">
        <v>658</v>
      </c>
      <c r="E28" s="590"/>
      <c r="F28" s="591"/>
      <c r="G28" s="2" t="s">
        <v>648</v>
      </c>
      <c r="H28" s="2"/>
      <c r="I28" s="2"/>
      <c r="K28" s="920">
        <f>'[3]Table 1 Total'!$K$28</f>
        <v>0</v>
      </c>
      <c r="L28" s="402"/>
      <c r="M28" s="920">
        <f>'[3]Table 1 Total'!$M$28</f>
        <v>-19964</v>
      </c>
      <c r="N28" s="926"/>
      <c r="O28" s="927">
        <f>'[3]Table 1 Total'!$O$28</f>
        <v>19964</v>
      </c>
      <c r="P28" s="852"/>
      <c r="Q28" s="928">
        <f>'[3]Table 1 Total'!$Q$28</f>
        <v>0</v>
      </c>
      <c r="R28" s="852"/>
      <c r="S28" s="920">
        <f>'[3]Table 1 Total'!$S$28</f>
        <v>0</v>
      </c>
      <c r="T28" s="847"/>
      <c r="U28" s="925">
        <f t="shared" ref="U28:U29" si="5">IF(S28=0,0,ROUND(O28/S28,1))</f>
        <v>0</v>
      </c>
      <c r="V28" s="920">
        <f>'[3]Table 4 Total'!$Z$29</f>
        <v>15970</v>
      </c>
      <c r="W28" s="920">
        <f t="shared" ref="W28" si="6">+S28+V28</f>
        <v>15970</v>
      </c>
      <c r="X28" s="849">
        <f>'[2]D-21'!$K$48</f>
        <v>0</v>
      </c>
      <c r="Y28" s="849">
        <f>X28*1000</f>
        <v>0</v>
      </c>
      <c r="Z28" s="850"/>
      <c r="AA28" s="850"/>
      <c r="AB28" s="850"/>
      <c r="AC28" s="850"/>
    </row>
    <row r="29" spans="1:29" ht="12.75" customHeight="1">
      <c r="A29" s="582"/>
      <c r="B29" s="531" t="s">
        <v>659</v>
      </c>
      <c r="E29" s="576"/>
      <c r="K29" s="922">
        <f>SUBTOTAL(9,K28)</f>
        <v>0</v>
      </c>
      <c r="L29" s="402"/>
      <c r="M29" s="922">
        <f>SUBTOTAL(9,M28)</f>
        <v>-19964</v>
      </c>
      <c r="N29" s="75"/>
      <c r="O29" s="922">
        <f>SUBTOTAL(9,O28)</f>
        <v>19964</v>
      </c>
      <c r="P29" s="852"/>
      <c r="Q29" s="929">
        <f>'[3]Table 1 Total'!$Q$29</f>
        <v>0</v>
      </c>
      <c r="R29" s="852"/>
      <c r="S29" s="922">
        <f>SUBTOTAL(9,S28)</f>
        <v>0</v>
      </c>
      <c r="T29" s="847"/>
      <c r="U29" s="930">
        <f t="shared" si="5"/>
        <v>0</v>
      </c>
      <c r="V29" s="922">
        <f>SUBTOTAL(9,V28)</f>
        <v>15970</v>
      </c>
      <c r="W29" s="922">
        <f>SUBTOTAL(9,W28)</f>
        <v>15970</v>
      </c>
      <c r="X29" s="861">
        <f>SUBTOTAL(9,X28)</f>
        <v>0</v>
      </c>
      <c r="Y29" s="861">
        <f>SUBTOTAL(9,Y28)</f>
        <v>0</v>
      </c>
      <c r="Z29" s="850"/>
      <c r="AA29" s="850"/>
      <c r="AB29" s="850"/>
      <c r="AC29" s="850"/>
    </row>
    <row r="30" spans="1:29" ht="12.75" customHeight="1">
      <c r="A30" s="582"/>
      <c r="B30" s="575"/>
      <c r="E30" s="576"/>
      <c r="K30" s="855"/>
      <c r="L30" s="850"/>
      <c r="M30" s="855"/>
      <c r="N30" s="852"/>
      <c r="O30" s="852"/>
      <c r="P30" s="852"/>
      <c r="Q30" s="856"/>
      <c r="R30" s="852"/>
      <c r="S30" s="855"/>
      <c r="T30" s="847"/>
      <c r="U30" s="857"/>
      <c r="V30" s="855"/>
      <c r="W30" s="855"/>
      <c r="X30" s="849"/>
      <c r="Y30" s="849"/>
      <c r="Z30" s="850"/>
      <c r="AA30" s="850"/>
      <c r="AB30" s="850"/>
      <c r="AC30" s="850"/>
    </row>
    <row r="31" spans="1:29" ht="12.75" customHeight="1">
      <c r="A31" s="582"/>
      <c r="B31" s="531" t="s">
        <v>660</v>
      </c>
      <c r="C31" s="4"/>
      <c r="E31" s="576"/>
      <c r="K31" s="855"/>
      <c r="L31" s="850"/>
      <c r="M31" s="855"/>
      <c r="N31" s="852"/>
      <c r="O31" s="852"/>
      <c r="P31" s="852"/>
      <c r="Q31" s="856"/>
      <c r="R31" s="852"/>
      <c r="S31" s="855"/>
      <c r="T31" s="847"/>
      <c r="U31" s="857"/>
      <c r="V31" s="855"/>
      <c r="W31" s="855"/>
      <c r="X31" s="849"/>
      <c r="Y31" s="849"/>
      <c r="Z31" s="850"/>
      <c r="AA31" s="850"/>
      <c r="AB31" s="850"/>
      <c r="AC31" s="850"/>
    </row>
    <row r="32" spans="1:29" ht="12.75" customHeight="1">
      <c r="A32" s="582"/>
      <c r="B32" s="38">
        <v>365.2</v>
      </c>
      <c r="C32" s="4" t="s">
        <v>642</v>
      </c>
      <c r="E32" s="590" t="s">
        <v>639</v>
      </c>
      <c r="F32" s="591"/>
      <c r="G32" s="592">
        <v>70</v>
      </c>
      <c r="H32" s="593" t="s">
        <v>640</v>
      </c>
      <c r="I32" s="542" t="s">
        <v>661</v>
      </c>
      <c r="K32" s="920">
        <f>'[3]Table 1 Total'!K32</f>
        <v>868160</v>
      </c>
      <c r="L32" s="846"/>
      <c r="M32" s="920">
        <f>'[3]Table 1 Total'!M32</f>
        <v>524589</v>
      </c>
      <c r="N32" s="846"/>
      <c r="O32" s="920">
        <f>'[3]Table 1 Total'!O32</f>
        <v>343571</v>
      </c>
      <c r="P32" s="846"/>
      <c r="Q32" s="931">
        <f>'[3]Table 1 Total'!Q32</f>
        <v>1.37</v>
      </c>
      <c r="R32" s="846"/>
      <c r="S32" s="920">
        <f>'[3]Table 1 Total'!S32</f>
        <v>11864</v>
      </c>
      <c r="T32" s="847"/>
      <c r="U32" s="925">
        <f t="shared" ref="U32:U38" si="7">IF(S32=0,0,ROUND(O32/S32,1))</f>
        <v>29</v>
      </c>
      <c r="V32" s="920">
        <f>'[3]Table 4 Total'!Z33</f>
        <v>0</v>
      </c>
      <c r="W32" s="920">
        <f t="shared" ref="W32:W38" si="8">+S32+V32</f>
        <v>11864</v>
      </c>
      <c r="X32" s="996">
        <f>'[2]D-21'!K77</f>
        <v>12</v>
      </c>
      <c r="Y32" s="996">
        <f>X32*1000</f>
        <v>12000</v>
      </c>
      <c r="Z32" s="850"/>
      <c r="AA32" s="850"/>
      <c r="AB32" s="850"/>
      <c r="AC32" s="850"/>
    </row>
    <row r="33" spans="1:29" ht="12.75" customHeight="1">
      <c r="A33" s="582"/>
      <c r="B33" s="38">
        <v>366</v>
      </c>
      <c r="C33" s="4" t="s">
        <v>479</v>
      </c>
      <c r="E33" s="590" t="s">
        <v>639</v>
      </c>
      <c r="F33" s="591"/>
      <c r="G33" s="592">
        <v>30</v>
      </c>
      <c r="H33" s="593" t="s">
        <v>640</v>
      </c>
      <c r="I33" s="542" t="s">
        <v>643</v>
      </c>
      <c r="K33" s="920">
        <f>'[3]Table 1 Total'!K33</f>
        <v>248104</v>
      </c>
      <c r="L33" s="846"/>
      <c r="M33" s="920">
        <f>'[3]Table 1 Total'!M33</f>
        <v>152465</v>
      </c>
      <c r="N33" s="846"/>
      <c r="O33" s="920">
        <f>'[3]Table 1 Total'!O33</f>
        <v>95639</v>
      </c>
      <c r="P33" s="846"/>
      <c r="Q33" s="931">
        <f>'[3]Table 1 Total'!Q33</f>
        <v>2.37</v>
      </c>
      <c r="R33" s="846"/>
      <c r="S33" s="920">
        <f>'[3]Table 1 Total'!S33</f>
        <v>5869</v>
      </c>
      <c r="T33" s="847"/>
      <c r="U33" s="925">
        <f t="shared" si="7"/>
        <v>16.3</v>
      </c>
      <c r="V33" s="920">
        <f>'[3]Table 4 Total'!Z34</f>
        <v>0</v>
      </c>
      <c r="W33" s="920">
        <f t="shared" si="8"/>
        <v>5869</v>
      </c>
      <c r="X33" s="996">
        <f>'[2]D-21'!K78</f>
        <v>6</v>
      </c>
      <c r="Y33" s="996">
        <f t="shared" ref="Y33:Y38" si="9">X33*1000</f>
        <v>6000</v>
      </c>
      <c r="Z33" s="850"/>
      <c r="AA33" s="850"/>
      <c r="AB33" s="850"/>
      <c r="AC33" s="850"/>
    </row>
    <row r="34" spans="1:29" ht="12.75" customHeight="1">
      <c r="A34" s="582"/>
      <c r="B34" s="594">
        <v>367</v>
      </c>
      <c r="C34" s="502" t="s">
        <v>332</v>
      </c>
      <c r="E34" s="590" t="s">
        <v>639</v>
      </c>
      <c r="F34" s="591"/>
      <c r="G34" s="592">
        <v>70</v>
      </c>
      <c r="H34" s="593" t="s">
        <v>640</v>
      </c>
      <c r="I34" s="542" t="s">
        <v>662</v>
      </c>
      <c r="K34" s="920">
        <f>'[3]Table 1 Total'!K34</f>
        <v>38518031</v>
      </c>
      <c r="L34" s="846"/>
      <c r="M34" s="920">
        <f>'[3]Table 1 Total'!M34</f>
        <v>21416849</v>
      </c>
      <c r="N34" s="846"/>
      <c r="O34" s="920">
        <f>'[3]Table 1 Total'!O34</f>
        <v>17101182</v>
      </c>
      <c r="P34" s="846"/>
      <c r="Q34" s="931">
        <f>'[3]Table 1 Total'!Q34</f>
        <v>1.17</v>
      </c>
      <c r="R34" s="846"/>
      <c r="S34" s="920">
        <f>'[3]Table 1 Total'!S34</f>
        <v>450280</v>
      </c>
      <c r="T34" s="847"/>
      <c r="U34" s="925">
        <f t="shared" si="7"/>
        <v>38</v>
      </c>
      <c r="V34" s="920">
        <f>'[3]Table 4 Total'!Z35</f>
        <v>0</v>
      </c>
      <c r="W34" s="920">
        <f t="shared" si="8"/>
        <v>450280</v>
      </c>
      <c r="X34" s="996">
        <f>'[2]D-21'!K79</f>
        <v>450</v>
      </c>
      <c r="Y34" s="996">
        <f t="shared" si="9"/>
        <v>450000</v>
      </c>
      <c r="Z34" s="850"/>
      <c r="AA34" s="850"/>
      <c r="AB34" s="850"/>
      <c r="AC34" s="850"/>
    </row>
    <row r="35" spans="1:29" ht="12.75" customHeight="1">
      <c r="A35" s="582"/>
      <c r="B35" s="38">
        <v>369</v>
      </c>
      <c r="C35" s="4" t="s">
        <v>663</v>
      </c>
      <c r="E35" s="590" t="s">
        <v>639</v>
      </c>
      <c r="F35" s="591"/>
      <c r="G35" s="592">
        <v>49</v>
      </c>
      <c r="H35" s="593" t="s">
        <v>640</v>
      </c>
      <c r="I35" s="542" t="s">
        <v>664</v>
      </c>
      <c r="K35" s="920">
        <f>'[3]Table 1 Total'!K35</f>
        <v>6170122</v>
      </c>
      <c r="L35" s="846"/>
      <c r="M35" s="920">
        <f>'[3]Table 1 Total'!M35</f>
        <v>3869009</v>
      </c>
      <c r="N35" s="846"/>
      <c r="O35" s="920">
        <f>'[3]Table 1 Total'!O35</f>
        <v>2301113</v>
      </c>
      <c r="P35" s="846"/>
      <c r="Q35" s="931">
        <f>'[3]Table 1 Total'!Q35</f>
        <v>1.53</v>
      </c>
      <c r="R35" s="846"/>
      <c r="S35" s="920">
        <f>'[3]Table 1 Total'!S35</f>
        <v>94608</v>
      </c>
      <c r="T35" s="847"/>
      <c r="U35" s="925">
        <f t="shared" si="7"/>
        <v>24.3</v>
      </c>
      <c r="V35" s="920">
        <f>'[3]Table 4 Total'!Z36</f>
        <v>256</v>
      </c>
      <c r="W35" s="920">
        <f t="shared" si="8"/>
        <v>94864</v>
      </c>
      <c r="X35" s="996">
        <f>'[2]D-21'!K80</f>
        <v>93</v>
      </c>
      <c r="Y35" s="996">
        <f t="shared" si="9"/>
        <v>93000</v>
      </c>
      <c r="Z35" s="850"/>
      <c r="AA35" s="850"/>
      <c r="AB35" s="850"/>
      <c r="AC35" s="850"/>
    </row>
    <row r="36" spans="1:29" ht="12.75" customHeight="1">
      <c r="A36" s="582"/>
      <c r="B36" s="38">
        <v>370</v>
      </c>
      <c r="C36" s="4" t="s">
        <v>490</v>
      </c>
      <c r="E36" s="590" t="s">
        <v>639</v>
      </c>
      <c r="F36" s="591"/>
      <c r="G36" s="592">
        <v>23</v>
      </c>
      <c r="H36" s="593" t="s">
        <v>640</v>
      </c>
      <c r="I36" s="542" t="s">
        <v>665</v>
      </c>
      <c r="K36" s="920">
        <f>'[3]Table 1 Total'!K36</f>
        <v>3486136</v>
      </c>
      <c r="L36" s="846"/>
      <c r="M36" s="920">
        <f>'[3]Table 1 Total'!M36</f>
        <v>2017296</v>
      </c>
      <c r="N36" s="846"/>
      <c r="O36" s="920">
        <f>'[3]Table 1 Total'!O36</f>
        <v>1468840</v>
      </c>
      <c r="P36" s="846"/>
      <c r="Q36" s="931">
        <f>'[3]Table 1 Total'!Q36</f>
        <v>3.19</v>
      </c>
      <c r="R36" s="846"/>
      <c r="S36" s="920">
        <f>'[3]Table 1 Total'!S36</f>
        <v>111341</v>
      </c>
      <c r="T36" s="847"/>
      <c r="U36" s="925">
        <f t="shared" si="7"/>
        <v>13.2</v>
      </c>
      <c r="V36" s="920">
        <f>'[3]Table 4 Total'!Z37</f>
        <v>0</v>
      </c>
      <c r="W36" s="920">
        <f t="shared" si="8"/>
        <v>111341</v>
      </c>
      <c r="X36" s="996">
        <f>'[2]D-21'!K81</f>
        <v>112</v>
      </c>
      <c r="Y36" s="996">
        <f t="shared" si="9"/>
        <v>112000</v>
      </c>
      <c r="Z36" s="850"/>
      <c r="AA36" s="850"/>
      <c r="AB36" s="850"/>
      <c r="AC36" s="850"/>
    </row>
    <row r="37" spans="1:29" ht="12.75" customHeight="1">
      <c r="A37" s="582"/>
      <c r="B37" s="38">
        <v>371</v>
      </c>
      <c r="C37" s="4" t="s">
        <v>655</v>
      </c>
      <c r="E37" s="590" t="s">
        <v>639</v>
      </c>
      <c r="F37" s="591"/>
      <c r="G37" s="592">
        <v>35</v>
      </c>
      <c r="H37" s="593" t="s">
        <v>640</v>
      </c>
      <c r="I37" s="542" t="s">
        <v>666</v>
      </c>
      <c r="K37" s="920">
        <f>'[3]Table 1 Total'!K37</f>
        <v>140637</v>
      </c>
      <c r="L37" s="846"/>
      <c r="M37" s="920">
        <f>'[3]Table 1 Total'!M37</f>
        <v>128216</v>
      </c>
      <c r="N37" s="846"/>
      <c r="O37" s="920">
        <f>'[3]Table 1 Total'!O37</f>
        <v>12421</v>
      </c>
      <c r="P37" s="846"/>
      <c r="Q37" s="931">
        <f>'[3]Table 1 Total'!Q37</f>
        <v>0.88</v>
      </c>
      <c r="R37" s="846"/>
      <c r="S37" s="920">
        <f>'[3]Table 1 Total'!S37</f>
        <v>1232</v>
      </c>
      <c r="T37" s="847"/>
      <c r="U37" s="925">
        <f t="shared" si="7"/>
        <v>10.1</v>
      </c>
      <c r="V37" s="920">
        <f>'[3]Table 4 Total'!Z38</f>
        <v>0</v>
      </c>
      <c r="W37" s="920">
        <f t="shared" si="8"/>
        <v>1232</v>
      </c>
      <c r="X37" s="996">
        <f>'[2]D-21'!K82</f>
        <v>7</v>
      </c>
      <c r="Y37" s="996">
        <f t="shared" si="9"/>
        <v>7000</v>
      </c>
      <c r="Z37" s="850"/>
      <c r="AA37" s="850"/>
      <c r="AB37" s="850"/>
      <c r="AC37" s="850"/>
    </row>
    <row r="38" spans="1:29" ht="12.75" customHeight="1">
      <c r="A38" s="582"/>
      <c r="B38" s="38">
        <v>371.1</v>
      </c>
      <c r="C38" s="4" t="s">
        <v>667</v>
      </c>
      <c r="E38" s="590" t="s">
        <v>639</v>
      </c>
      <c r="F38" s="591"/>
      <c r="G38" s="592">
        <v>20</v>
      </c>
      <c r="H38" s="593" t="s">
        <v>640</v>
      </c>
      <c r="I38" s="542" t="s">
        <v>662</v>
      </c>
      <c r="K38" s="920">
        <f>'[3]Table 1 Total'!K38</f>
        <v>210011</v>
      </c>
      <c r="L38" s="846"/>
      <c r="M38" s="920">
        <f>'[3]Table 1 Total'!M38</f>
        <v>147017</v>
      </c>
      <c r="N38" s="846"/>
      <c r="O38" s="920">
        <f>'[3]Table 1 Total'!O38</f>
        <v>62994</v>
      </c>
      <c r="P38" s="846"/>
      <c r="Q38" s="931">
        <f>'[3]Table 1 Total'!Q38</f>
        <v>2.5</v>
      </c>
      <c r="R38" s="846"/>
      <c r="S38" s="920">
        <f>'[3]Table 1 Total'!S38</f>
        <v>5258</v>
      </c>
      <c r="T38" s="847"/>
      <c r="U38" s="925">
        <f t="shared" si="7"/>
        <v>12</v>
      </c>
      <c r="V38" s="920">
        <f>'[3]Table 4 Total'!Z39</f>
        <v>0</v>
      </c>
      <c r="W38" s="920">
        <f t="shared" si="8"/>
        <v>5258</v>
      </c>
      <c r="X38" s="996">
        <f>'[2]D-21'!K83</f>
        <v>0</v>
      </c>
      <c r="Y38" s="996">
        <f t="shared" si="9"/>
        <v>0</v>
      </c>
      <c r="Z38" s="850"/>
      <c r="AA38" s="850"/>
      <c r="AB38" s="850"/>
      <c r="AC38" s="850"/>
    </row>
    <row r="39" spans="1:29" ht="12.75" customHeight="1">
      <c r="A39" s="582"/>
      <c r="B39" s="531" t="s">
        <v>668</v>
      </c>
      <c r="E39" s="576"/>
      <c r="K39" s="922">
        <f>SUBTOTAL(9,K32:K38)</f>
        <v>49641201</v>
      </c>
      <c r="L39" s="850"/>
      <c r="M39" s="922">
        <f>SUBTOTAL(9,M32:M38)</f>
        <v>28255441</v>
      </c>
      <c r="N39" s="852"/>
      <c r="O39" s="922">
        <f>SUBTOTAL(9,O32:O38)</f>
        <v>21385760</v>
      </c>
      <c r="P39" s="852"/>
      <c r="Q39" s="924">
        <f>ROUND(S39/K39*100,2)</f>
        <v>1.37</v>
      </c>
      <c r="R39" s="852"/>
      <c r="S39" s="922">
        <f>SUBTOTAL(9,S32:S38)</f>
        <v>680452</v>
      </c>
      <c r="T39" s="851"/>
      <c r="U39" s="854">
        <f t="shared" ref="U39:W39" si="10">SUBTOTAL(9,U32:U38)</f>
        <v>142.9</v>
      </c>
      <c r="V39" s="922">
        <f t="shared" si="10"/>
        <v>256</v>
      </c>
      <c r="W39" s="922">
        <f t="shared" si="10"/>
        <v>680708</v>
      </c>
      <c r="X39" s="998">
        <f>SUBTOTAL(9,X32:X38)</f>
        <v>680</v>
      </c>
      <c r="Y39" s="998">
        <f>SUBTOTAL(9,Y32:Y38)</f>
        <v>680000</v>
      </c>
      <c r="Z39" s="850"/>
      <c r="AA39" s="850"/>
      <c r="AB39" s="850"/>
      <c r="AC39" s="850"/>
    </row>
    <row r="40" spans="1:29" ht="12.75" customHeight="1">
      <c r="A40" s="575"/>
      <c r="B40" s="575"/>
      <c r="E40" s="576"/>
      <c r="K40" s="846"/>
      <c r="L40" s="850"/>
      <c r="M40" s="846"/>
      <c r="N40" s="852"/>
      <c r="O40" s="852"/>
      <c r="P40" s="852"/>
      <c r="Q40" s="856"/>
      <c r="R40" s="852"/>
      <c r="S40" s="846"/>
      <c r="T40" s="847"/>
      <c r="U40" s="857"/>
      <c r="V40" s="846"/>
      <c r="W40" s="846"/>
      <c r="X40" s="849"/>
      <c r="Y40" s="849"/>
      <c r="Z40" s="850"/>
      <c r="AA40" s="850"/>
      <c r="AB40" s="850"/>
      <c r="AC40" s="850"/>
    </row>
    <row r="41" spans="1:29" ht="12.75" customHeight="1">
      <c r="B41" s="548" t="s">
        <v>235</v>
      </c>
      <c r="C41" s="589"/>
      <c r="D41" s="589"/>
      <c r="E41" s="576"/>
      <c r="F41" s="595"/>
      <c r="G41" s="592"/>
      <c r="H41" s="592"/>
      <c r="I41" s="542"/>
      <c r="J41" s="583"/>
      <c r="K41" s="850"/>
      <c r="L41" s="850"/>
      <c r="M41" s="850"/>
      <c r="N41" s="288"/>
      <c r="O41" s="288"/>
      <c r="P41" s="288"/>
      <c r="Q41" s="862"/>
      <c r="R41" s="288"/>
      <c r="S41" s="850"/>
      <c r="T41" s="847"/>
      <c r="U41" s="863"/>
      <c r="V41" s="850"/>
      <c r="W41" s="850"/>
      <c r="X41" s="849"/>
      <c r="Y41" s="849"/>
      <c r="Z41" s="850"/>
      <c r="AA41" s="850"/>
      <c r="AB41" s="850"/>
      <c r="AC41" s="850"/>
    </row>
    <row r="42" spans="1:29">
      <c r="B42" s="588">
        <v>374.2</v>
      </c>
      <c r="C42" s="4" t="s">
        <v>642</v>
      </c>
      <c r="D42" s="589"/>
      <c r="E42" s="590" t="s">
        <v>639</v>
      </c>
      <c r="F42" s="591"/>
      <c r="G42" s="592">
        <v>75</v>
      </c>
      <c r="H42" s="593" t="s">
        <v>640</v>
      </c>
      <c r="I42" s="542" t="s">
        <v>662</v>
      </c>
      <c r="J42" s="583"/>
      <c r="K42" s="920">
        <f>'[3]Table 1 Total'!K42</f>
        <v>3345151</v>
      </c>
      <c r="L42" s="846"/>
      <c r="M42" s="920">
        <f>'[3]Table 1 Total'!M42</f>
        <v>1331872</v>
      </c>
      <c r="N42" s="846"/>
      <c r="O42" s="920">
        <f>'[3]Table 1 Total'!O42</f>
        <v>2013279</v>
      </c>
      <c r="P42" s="846"/>
      <c r="Q42" s="931">
        <f>'[3]Table 1 Total'!Q42</f>
        <v>1.29</v>
      </c>
      <c r="R42" s="846"/>
      <c r="S42" s="920">
        <f>'[3]Table 1 Total'!S42</f>
        <v>43109</v>
      </c>
      <c r="T42" s="847"/>
      <c r="U42" s="925">
        <f t="shared" ref="U42:U62" si="11">IF(S42=0,0,ROUND(O42/S42,1))</f>
        <v>46.7</v>
      </c>
      <c r="V42" s="920">
        <f>'[3]Table 4 Total'!Z43</f>
        <v>0</v>
      </c>
      <c r="W42" s="920">
        <f t="shared" ref="W42:W62" si="12">+S42+V42</f>
        <v>43109</v>
      </c>
      <c r="X42" s="996">
        <f>'[2]D-21'!K87</f>
        <v>43</v>
      </c>
      <c r="Y42" s="996">
        <f>X42*1000</f>
        <v>43000</v>
      </c>
      <c r="Z42" s="850"/>
      <c r="AA42" s="850"/>
      <c r="AB42" s="850"/>
      <c r="AC42" s="850"/>
    </row>
    <row r="43" spans="1:29">
      <c r="A43" s="589"/>
      <c r="B43" s="38">
        <v>375</v>
      </c>
      <c r="C43" s="176" t="s">
        <v>479</v>
      </c>
      <c r="D43" s="589"/>
      <c r="E43" s="590" t="s">
        <v>639</v>
      </c>
      <c r="F43" s="591"/>
      <c r="G43" s="592">
        <v>50</v>
      </c>
      <c r="H43" s="593" t="s">
        <v>640</v>
      </c>
      <c r="I43" s="542" t="s">
        <v>641</v>
      </c>
      <c r="J43" s="583"/>
      <c r="K43" s="920">
        <f>'[3]Table 1 Total'!K43</f>
        <v>5325825</v>
      </c>
      <c r="L43" s="846"/>
      <c r="M43" s="920">
        <f>'[3]Table 1 Total'!M43</f>
        <v>3175277</v>
      </c>
      <c r="N43" s="846"/>
      <c r="O43" s="920">
        <f>'[3]Table 1 Total'!O43</f>
        <v>2150548</v>
      </c>
      <c r="P43" s="846"/>
      <c r="Q43" s="931">
        <f>'[3]Table 1 Total'!Q43</f>
        <v>1.55</v>
      </c>
      <c r="R43" s="846"/>
      <c r="S43" s="920">
        <f>'[3]Table 1 Total'!S43</f>
        <v>82425</v>
      </c>
      <c r="T43" s="847"/>
      <c r="U43" s="925">
        <f t="shared" si="11"/>
        <v>26.1</v>
      </c>
      <c r="V43" s="920">
        <f>'[3]Table 4 Total'!Z44</f>
        <v>7019</v>
      </c>
      <c r="W43" s="920">
        <f t="shared" si="12"/>
        <v>89444</v>
      </c>
      <c r="X43" s="996">
        <f>'[2]D-21'!K88</f>
        <v>82</v>
      </c>
      <c r="Y43" s="996">
        <f t="shared" ref="Y43:Y62" si="13">X43*1000</f>
        <v>82000</v>
      </c>
      <c r="Z43" s="864">
        <f>+S43+S42</f>
        <v>125534</v>
      </c>
      <c r="AA43" s="850"/>
      <c r="AB43" s="850"/>
      <c r="AC43" s="850"/>
    </row>
    <row r="44" spans="1:29">
      <c r="A44" s="589"/>
      <c r="B44" s="38">
        <v>376.1</v>
      </c>
      <c r="C44" s="176" t="s">
        <v>669</v>
      </c>
      <c r="D44" s="589"/>
      <c r="E44" s="590" t="s">
        <v>639</v>
      </c>
      <c r="F44" s="591"/>
      <c r="G44" s="592">
        <v>73</v>
      </c>
      <c r="H44" s="593" t="s">
        <v>640</v>
      </c>
      <c r="I44" s="542" t="s">
        <v>666</v>
      </c>
      <c r="J44" s="583"/>
      <c r="K44" s="920">
        <f>'[3]Table 1 Total'!K44</f>
        <v>666558235</v>
      </c>
      <c r="L44" s="846"/>
      <c r="M44" s="920">
        <f>'[3]Table 1 Total'!M44</f>
        <v>178973692</v>
      </c>
      <c r="N44" s="846"/>
      <c r="O44" s="920">
        <f>'[3]Table 1 Total'!O44</f>
        <v>487584543</v>
      </c>
      <c r="P44" s="846"/>
      <c r="Q44" s="931">
        <f>'[3]Table 1 Total'!Q44</f>
        <v>1.55</v>
      </c>
      <c r="R44" s="846"/>
      <c r="S44" s="920">
        <f>'[3]Table 1 Total'!S44</f>
        <v>10298871</v>
      </c>
      <c r="T44" s="847"/>
      <c r="U44" s="925">
        <f t="shared" si="11"/>
        <v>47.3</v>
      </c>
      <c r="V44" s="920">
        <f>'[3]Table 4 Total'!Z45</f>
        <v>777424</v>
      </c>
      <c r="W44" s="920">
        <f t="shared" si="12"/>
        <v>11076295</v>
      </c>
      <c r="X44" s="996">
        <f>'[2]D-21'!K89</f>
        <v>33354</v>
      </c>
      <c r="Y44" s="996">
        <f t="shared" si="13"/>
        <v>33354000</v>
      </c>
      <c r="Z44" s="850"/>
      <c r="AA44" s="850"/>
      <c r="AB44" s="850"/>
      <c r="AC44" s="850"/>
    </row>
    <row r="45" spans="1:29">
      <c r="A45" s="589"/>
      <c r="B45" s="38">
        <v>376.2</v>
      </c>
      <c r="C45" s="176" t="s">
        <v>670</v>
      </c>
      <c r="D45" s="589"/>
      <c r="E45" s="590">
        <v>46660</v>
      </c>
      <c r="F45" s="591"/>
      <c r="G45" s="592">
        <v>65</v>
      </c>
      <c r="H45" s="593" t="s">
        <v>640</v>
      </c>
      <c r="I45" s="542" t="s">
        <v>643</v>
      </c>
      <c r="J45" s="583"/>
      <c r="K45" s="920">
        <f>'[3]Table 1 Total'!K45</f>
        <v>2120235</v>
      </c>
      <c r="L45" s="846"/>
      <c r="M45" s="920">
        <f>'[3]Table 1 Total'!M45</f>
        <v>1607538</v>
      </c>
      <c r="N45" s="846"/>
      <c r="O45" s="920">
        <f>'[3]Table 1 Total'!O45</f>
        <v>512697</v>
      </c>
      <c r="P45" s="846"/>
      <c r="Q45" s="931">
        <f>'[3]Table 1 Total'!Q45</f>
        <v>4.38</v>
      </c>
      <c r="R45" s="846"/>
      <c r="S45" s="920">
        <f>'[3]Table 1 Total'!S45</f>
        <v>92836</v>
      </c>
      <c r="T45" s="847"/>
      <c r="U45" s="925">
        <f t="shared" si="11"/>
        <v>5.5</v>
      </c>
      <c r="V45" s="920">
        <f>'[3]Table 4 Total'!Z46</f>
        <v>248182</v>
      </c>
      <c r="W45" s="920">
        <f t="shared" si="12"/>
        <v>341018</v>
      </c>
      <c r="X45" s="996"/>
      <c r="Y45" s="996">
        <f t="shared" si="13"/>
        <v>0</v>
      </c>
      <c r="Z45" s="850"/>
      <c r="AA45" s="850"/>
      <c r="AB45" s="850"/>
      <c r="AC45" s="850"/>
    </row>
    <row r="46" spans="1:29">
      <c r="A46" s="589"/>
      <c r="B46" s="38">
        <v>376.3</v>
      </c>
      <c r="C46" s="176" t="s">
        <v>480</v>
      </c>
      <c r="D46" s="589"/>
      <c r="E46" s="590" t="s">
        <v>639</v>
      </c>
      <c r="F46" s="591"/>
      <c r="G46" s="592">
        <v>67</v>
      </c>
      <c r="H46" s="593" t="s">
        <v>640</v>
      </c>
      <c r="I46" s="542" t="s">
        <v>662</v>
      </c>
      <c r="J46" s="583"/>
      <c r="K46" s="920">
        <f>'[3]Table 1 Total'!K46</f>
        <v>1394503742</v>
      </c>
      <c r="L46" s="846"/>
      <c r="M46" s="920">
        <f>'[3]Table 1 Total'!M46</f>
        <v>272754820</v>
      </c>
      <c r="N46" s="846"/>
      <c r="O46" s="920">
        <f>'[3]Table 1 Total'!O46</f>
        <v>1121748922</v>
      </c>
      <c r="P46" s="846"/>
      <c r="Q46" s="931">
        <f>'[3]Table 1 Total'!Q46</f>
        <v>1.65</v>
      </c>
      <c r="R46" s="846"/>
      <c r="S46" s="920">
        <f>'[3]Table 1 Total'!S46</f>
        <v>22959642</v>
      </c>
      <c r="T46" s="847"/>
      <c r="U46" s="925">
        <f t="shared" si="11"/>
        <v>48.9</v>
      </c>
      <c r="V46" s="920">
        <f>'[3]Table 4 Total'!Z47</f>
        <v>302529</v>
      </c>
      <c r="W46" s="920">
        <f t="shared" si="12"/>
        <v>23262171</v>
      </c>
      <c r="X46" s="996"/>
      <c r="Y46" s="996">
        <f t="shared" si="13"/>
        <v>0</v>
      </c>
      <c r="Z46" s="850"/>
      <c r="AA46" s="850"/>
      <c r="AB46" s="850"/>
      <c r="AC46" s="850"/>
    </row>
    <row r="47" spans="1:29">
      <c r="A47" s="792">
        <f>SUM(O44:O47)</f>
        <v>1609874238</v>
      </c>
      <c r="B47" s="38">
        <v>376.5</v>
      </c>
      <c r="C47" s="176" t="s">
        <v>671</v>
      </c>
      <c r="D47" s="589"/>
      <c r="E47" s="590">
        <v>51774</v>
      </c>
      <c r="F47" s="591"/>
      <c r="G47" s="592">
        <v>70</v>
      </c>
      <c r="H47" s="593" t="s">
        <v>640</v>
      </c>
      <c r="I47" s="542" t="s">
        <v>643</v>
      </c>
      <c r="J47" s="583"/>
      <c r="K47" s="920">
        <f>'[3]Table 1 Total'!K47</f>
        <v>277777</v>
      </c>
      <c r="L47" s="846"/>
      <c r="M47" s="920">
        <f>'[3]Table 1 Total'!M47</f>
        <v>249701</v>
      </c>
      <c r="N47" s="846"/>
      <c r="O47" s="920">
        <f>'[3]Table 1 Total'!O47</f>
        <v>28076</v>
      </c>
      <c r="P47" s="846"/>
      <c r="Q47" s="931">
        <f>'[3]Table 1 Total'!Q47</f>
        <v>0.98</v>
      </c>
      <c r="R47" s="846"/>
      <c r="S47" s="920">
        <f>'[3]Table 1 Total'!S47</f>
        <v>2728</v>
      </c>
      <c r="T47" s="847"/>
      <c r="U47" s="925">
        <f t="shared" si="11"/>
        <v>10.3</v>
      </c>
      <c r="V47" s="920">
        <f>'[3]Table 4 Total'!Z48</f>
        <v>0</v>
      </c>
      <c r="W47" s="920">
        <f t="shared" si="12"/>
        <v>2728</v>
      </c>
      <c r="X47" s="996"/>
      <c r="Y47" s="996">
        <f t="shared" si="13"/>
        <v>0</v>
      </c>
      <c r="Z47" s="864">
        <f>SUM(S44:S47)</f>
        <v>33354077</v>
      </c>
      <c r="AA47" s="865">
        <f>SUM(W44:W47)/A48</f>
        <v>1.6807794764563278E-2</v>
      </c>
      <c r="AB47" s="864">
        <f>SUM(W44:W47)</f>
        <v>34682212</v>
      </c>
      <c r="AC47" s="850"/>
    </row>
    <row r="48" spans="1:29">
      <c r="A48" s="792">
        <f>SUM(K44:K47)</f>
        <v>2063459989</v>
      </c>
      <c r="B48" s="38">
        <v>378</v>
      </c>
      <c r="C48" s="589" t="s">
        <v>672</v>
      </c>
      <c r="D48" s="589"/>
      <c r="E48" s="590" t="s">
        <v>639</v>
      </c>
      <c r="F48" s="591"/>
      <c r="G48" s="592">
        <v>47</v>
      </c>
      <c r="H48" s="593" t="s">
        <v>640</v>
      </c>
      <c r="I48" s="542" t="s">
        <v>673</v>
      </c>
      <c r="J48" s="583"/>
      <c r="K48" s="920">
        <f>'[3]Table 1 Total'!K48</f>
        <v>135082679</v>
      </c>
      <c r="L48" s="846"/>
      <c r="M48" s="920">
        <f>'[3]Table 1 Total'!M48</f>
        <v>22757386</v>
      </c>
      <c r="N48" s="846"/>
      <c r="O48" s="920">
        <f>'[3]Table 1 Total'!O48</f>
        <v>112325293</v>
      </c>
      <c r="P48" s="846"/>
      <c r="Q48" s="931">
        <f>'[3]Table 1 Total'!Q48</f>
        <v>3</v>
      </c>
      <c r="R48" s="846"/>
      <c r="S48" s="920">
        <f>'[3]Table 1 Total'!S48</f>
        <v>4049874</v>
      </c>
      <c r="T48" s="847"/>
      <c r="U48" s="925">
        <f t="shared" si="11"/>
        <v>27.7</v>
      </c>
      <c r="V48" s="920">
        <f>'[3]Table 4 Total'!Z49</f>
        <v>313879</v>
      </c>
      <c r="W48" s="920">
        <f t="shared" si="12"/>
        <v>4363753</v>
      </c>
      <c r="X48" s="996">
        <f>'[2]D-21'!K90</f>
        <v>4050</v>
      </c>
      <c r="Y48" s="996">
        <f t="shared" si="13"/>
        <v>4050000</v>
      </c>
      <c r="Z48" s="864">
        <f t="shared" ref="Z48:Z49" si="14">+S48</f>
        <v>4049874</v>
      </c>
      <c r="AA48" s="850"/>
      <c r="AB48" s="850"/>
      <c r="AC48" s="850"/>
    </row>
    <row r="49" spans="1:29">
      <c r="A49" s="991">
        <f>+A47/A48</f>
        <v>0.78018195001696256</v>
      </c>
      <c r="B49" s="38">
        <v>379</v>
      </c>
      <c r="C49" s="589" t="s">
        <v>674</v>
      </c>
      <c r="D49" s="589"/>
      <c r="E49" s="590" t="s">
        <v>639</v>
      </c>
      <c r="F49" s="591"/>
      <c r="G49" s="592">
        <v>45</v>
      </c>
      <c r="H49" s="593" t="s">
        <v>640</v>
      </c>
      <c r="I49" s="542" t="s">
        <v>664</v>
      </c>
      <c r="J49" s="583"/>
      <c r="K49" s="920">
        <f>'[3]Table 1 Total'!K49</f>
        <v>20526673</v>
      </c>
      <c r="L49" s="846"/>
      <c r="M49" s="920">
        <f>'[3]Table 1 Total'!M49</f>
        <v>7624620</v>
      </c>
      <c r="N49" s="846"/>
      <c r="O49" s="920">
        <f>'[3]Table 1 Total'!O49</f>
        <v>12902053</v>
      </c>
      <c r="P49" s="846"/>
      <c r="Q49" s="931">
        <f>'[3]Table 1 Total'!Q49</f>
        <v>2.34</v>
      </c>
      <c r="R49" s="846"/>
      <c r="S49" s="920">
        <f>'[3]Table 1 Total'!S49</f>
        <v>479346</v>
      </c>
      <c r="T49" s="847"/>
      <c r="U49" s="925">
        <f t="shared" si="11"/>
        <v>26.9</v>
      </c>
      <c r="V49" s="920">
        <f>'[3]Table 4 Total'!Z50</f>
        <v>0</v>
      </c>
      <c r="W49" s="920">
        <f t="shared" si="12"/>
        <v>479346</v>
      </c>
      <c r="X49" s="996">
        <f>'[2]D-21'!K91</f>
        <v>479</v>
      </c>
      <c r="Y49" s="996">
        <f t="shared" si="13"/>
        <v>479000</v>
      </c>
      <c r="Z49" s="864">
        <f t="shared" si="14"/>
        <v>479346</v>
      </c>
      <c r="AA49" s="850"/>
      <c r="AB49" s="850"/>
      <c r="AC49" s="850"/>
    </row>
    <row r="50" spans="1:29">
      <c r="A50" s="589"/>
      <c r="B50" s="588">
        <v>380</v>
      </c>
      <c r="C50" s="589" t="s">
        <v>675</v>
      </c>
      <c r="D50" s="589"/>
      <c r="E50" s="590" t="s">
        <v>639</v>
      </c>
      <c r="F50" s="591"/>
      <c r="G50" s="592">
        <v>46</v>
      </c>
      <c r="H50" s="593" t="s">
        <v>640</v>
      </c>
      <c r="I50" s="542" t="s">
        <v>676</v>
      </c>
      <c r="J50" s="583"/>
      <c r="K50" s="920">
        <f>'[3]Table 1 Total'!K50</f>
        <v>1210144530</v>
      </c>
      <c r="L50" s="846"/>
      <c r="M50" s="920">
        <f>'[3]Table 1 Total'!M50</f>
        <v>375032798</v>
      </c>
      <c r="N50" s="846"/>
      <c r="O50" s="920">
        <f>'[3]Table 1 Total'!O50</f>
        <v>835111732</v>
      </c>
      <c r="P50" s="846"/>
      <c r="Q50" s="931">
        <f>'[3]Table 1 Total'!Q50</f>
        <v>2.4500000000000002</v>
      </c>
      <c r="R50" s="846"/>
      <c r="S50" s="920">
        <f>'[3]Table 1 Total'!S50</f>
        <v>29686611</v>
      </c>
      <c r="T50" s="847"/>
      <c r="U50" s="925">
        <f t="shared" si="11"/>
        <v>28.1</v>
      </c>
      <c r="V50" s="920">
        <f>'[3]Table 4 Total'!Z51</f>
        <v>4828008</v>
      </c>
      <c r="W50" s="920">
        <f t="shared" si="12"/>
        <v>34514619</v>
      </c>
      <c r="X50" s="996">
        <f>'[2]D-21'!K92</f>
        <v>29687</v>
      </c>
      <c r="Y50" s="996">
        <f t="shared" si="13"/>
        <v>29687000</v>
      </c>
      <c r="Z50" s="864">
        <f>+S50</f>
        <v>29686611</v>
      </c>
      <c r="AA50" s="850"/>
      <c r="AB50" s="850"/>
      <c r="AC50" s="850"/>
    </row>
    <row r="51" spans="1:29">
      <c r="A51" s="589"/>
      <c r="B51" s="38">
        <v>381</v>
      </c>
      <c r="C51" s="176" t="s">
        <v>333</v>
      </c>
      <c r="D51" s="589"/>
      <c r="E51" s="590" t="s">
        <v>639</v>
      </c>
      <c r="F51" s="591"/>
      <c r="G51" s="592">
        <v>35</v>
      </c>
      <c r="H51" s="593" t="s">
        <v>640</v>
      </c>
      <c r="I51" s="542" t="s">
        <v>664</v>
      </c>
      <c r="J51" s="583"/>
      <c r="K51" s="920">
        <f>'[3]Table 1 Total'!K51</f>
        <v>135363595</v>
      </c>
      <c r="L51" s="846"/>
      <c r="M51" s="920">
        <f>'[3]Table 1 Total'!M51</f>
        <v>53567652</v>
      </c>
      <c r="N51" s="846"/>
      <c r="O51" s="920">
        <f>'[3]Table 1 Total'!O51</f>
        <v>81795943</v>
      </c>
      <c r="P51" s="846"/>
      <c r="Q51" s="931">
        <f>'[3]Table 1 Total'!Q51</f>
        <v>3.05</v>
      </c>
      <c r="R51" s="846"/>
      <c r="S51" s="920">
        <f>'[3]Table 1 Total'!S51</f>
        <v>4126059</v>
      </c>
      <c r="T51" s="847"/>
      <c r="U51" s="925">
        <f t="shared" si="11"/>
        <v>19.8</v>
      </c>
      <c r="V51" s="920">
        <f>'[3]Table 4 Total'!Z52</f>
        <v>1664</v>
      </c>
      <c r="W51" s="920">
        <f t="shared" si="12"/>
        <v>4127723</v>
      </c>
      <c r="X51" s="996">
        <f>'[2]D-21'!K93</f>
        <v>4987</v>
      </c>
      <c r="Y51" s="996">
        <f t="shared" si="13"/>
        <v>4987000</v>
      </c>
      <c r="Z51" s="850"/>
      <c r="AA51" s="850"/>
      <c r="AB51" s="850"/>
      <c r="AC51" s="850"/>
    </row>
    <row r="52" spans="1:29">
      <c r="A52" s="589"/>
      <c r="B52" s="38">
        <v>381.1</v>
      </c>
      <c r="C52" s="589" t="s">
        <v>677</v>
      </c>
      <c r="D52" s="589"/>
      <c r="E52" s="590" t="s">
        <v>639</v>
      </c>
      <c r="F52" s="591"/>
      <c r="G52" s="592">
        <v>17</v>
      </c>
      <c r="H52" s="593" t="s">
        <v>640</v>
      </c>
      <c r="I52" s="542" t="s">
        <v>678</v>
      </c>
      <c r="J52" s="583"/>
      <c r="K52" s="920">
        <f>'[3]Table 1 Total'!K52</f>
        <v>24795395</v>
      </c>
      <c r="L52" s="846"/>
      <c r="M52" s="920">
        <f>'[3]Table 1 Total'!M52</f>
        <v>18587662</v>
      </c>
      <c r="N52" s="846"/>
      <c r="O52" s="920">
        <f>'[3]Table 1 Total'!O52</f>
        <v>6207733</v>
      </c>
      <c r="P52" s="846"/>
      <c r="Q52" s="931">
        <f>'[3]Table 1 Total'!Q52</f>
        <v>3.47</v>
      </c>
      <c r="R52" s="846"/>
      <c r="S52" s="920">
        <f>'[3]Table 1 Total'!S52</f>
        <v>860676</v>
      </c>
      <c r="T52" s="847"/>
      <c r="U52" s="925">
        <f t="shared" si="11"/>
        <v>7.2</v>
      </c>
      <c r="V52" s="920">
        <f>'[3]Table 4 Total'!Z53</f>
        <v>0</v>
      </c>
      <c r="W52" s="920">
        <f t="shared" si="12"/>
        <v>860676</v>
      </c>
      <c r="X52" s="996"/>
      <c r="Y52" s="996">
        <f t="shared" si="13"/>
        <v>0</v>
      </c>
      <c r="Z52" s="864">
        <f>+S51+S52</f>
        <v>4986735</v>
      </c>
      <c r="AA52" s="850"/>
      <c r="AB52" s="850"/>
      <c r="AC52" s="850"/>
    </row>
    <row r="53" spans="1:29">
      <c r="A53" s="589"/>
      <c r="B53" s="588">
        <v>382</v>
      </c>
      <c r="C53" s="589" t="s">
        <v>679</v>
      </c>
      <c r="D53" s="589"/>
      <c r="E53" s="590" t="s">
        <v>639</v>
      </c>
      <c r="F53" s="591"/>
      <c r="G53" s="592">
        <v>46</v>
      </c>
      <c r="H53" s="593" t="s">
        <v>640</v>
      </c>
      <c r="I53" s="542" t="s">
        <v>676</v>
      </c>
      <c r="J53" s="583"/>
      <c r="K53" s="920">
        <f>'[3]Table 1 Total'!K53</f>
        <v>103822867</v>
      </c>
      <c r="L53" s="846"/>
      <c r="M53" s="920">
        <f>'[3]Table 1 Total'!M53</f>
        <v>34632496</v>
      </c>
      <c r="N53" s="846"/>
      <c r="O53" s="920">
        <f>'[3]Table 1 Total'!O53</f>
        <v>69190371</v>
      </c>
      <c r="P53" s="846"/>
      <c r="Q53" s="931">
        <f>'[3]Table 1 Total'!Q53</f>
        <v>2.4</v>
      </c>
      <c r="R53" s="846"/>
      <c r="S53" s="920">
        <f>'[3]Table 1 Total'!S53</f>
        <v>2491094</v>
      </c>
      <c r="T53" s="847"/>
      <c r="U53" s="925">
        <f t="shared" si="11"/>
        <v>27.8</v>
      </c>
      <c r="V53" s="920">
        <f>'[3]Table 4 Total'!Z54</f>
        <v>281935</v>
      </c>
      <c r="W53" s="920">
        <f t="shared" si="12"/>
        <v>2773029</v>
      </c>
      <c r="X53" s="996">
        <f>'[2]D-21'!K94</f>
        <v>2491</v>
      </c>
      <c r="Y53" s="996">
        <f t="shared" si="13"/>
        <v>2491000</v>
      </c>
      <c r="Z53" s="864">
        <f>+S53</f>
        <v>2491094</v>
      </c>
      <c r="AA53" s="850"/>
      <c r="AB53" s="850"/>
      <c r="AC53" s="850"/>
    </row>
    <row r="54" spans="1:29">
      <c r="A54" s="589"/>
      <c r="B54" s="38">
        <v>383</v>
      </c>
      <c r="C54" s="176" t="s">
        <v>481</v>
      </c>
      <c r="D54" s="589"/>
      <c r="E54" s="590" t="s">
        <v>639</v>
      </c>
      <c r="F54" s="591"/>
      <c r="G54" s="592">
        <v>46</v>
      </c>
      <c r="H54" s="593" t="s">
        <v>640</v>
      </c>
      <c r="I54" s="542" t="s">
        <v>676</v>
      </c>
      <c r="J54" s="583"/>
      <c r="K54" s="920">
        <f>'[3]Table 1 Total'!K54</f>
        <v>10031117</v>
      </c>
      <c r="L54" s="846"/>
      <c r="M54" s="920">
        <f>'[3]Table 1 Total'!M54</f>
        <v>5383231</v>
      </c>
      <c r="N54" s="846"/>
      <c r="O54" s="920">
        <f>'[3]Table 1 Total'!O54</f>
        <v>4647886</v>
      </c>
      <c r="P54" s="846"/>
      <c r="Q54" s="931">
        <f>'[3]Table 1 Total'!Q54</f>
        <v>2.0699999999999998</v>
      </c>
      <c r="R54" s="846"/>
      <c r="S54" s="920">
        <f>'[3]Table 1 Total'!S54</f>
        <v>207150</v>
      </c>
      <c r="T54" s="847"/>
      <c r="U54" s="925">
        <f t="shared" si="11"/>
        <v>22.4</v>
      </c>
      <c r="V54" s="920">
        <f>'[3]Table 4 Total'!Z55</f>
        <v>966514</v>
      </c>
      <c r="W54" s="920">
        <f t="shared" si="12"/>
        <v>1173664</v>
      </c>
      <c r="X54" s="996">
        <f>'[2]D-21'!K95</f>
        <v>207</v>
      </c>
      <c r="Y54" s="996">
        <f t="shared" si="13"/>
        <v>207000</v>
      </c>
      <c r="Z54" s="864">
        <f t="shared" ref="Z54:Z56" si="15">+S54</f>
        <v>207150</v>
      </c>
      <c r="AA54" s="850"/>
      <c r="AB54" s="850"/>
      <c r="AC54" s="850"/>
    </row>
    <row r="55" spans="1:29">
      <c r="A55" s="589"/>
      <c r="B55" s="38">
        <v>384</v>
      </c>
      <c r="C55" s="176" t="s">
        <v>482</v>
      </c>
      <c r="D55" s="589"/>
      <c r="E55" s="590" t="s">
        <v>639</v>
      </c>
      <c r="F55" s="591"/>
      <c r="G55" s="592">
        <v>46</v>
      </c>
      <c r="H55" s="593" t="s">
        <v>640</v>
      </c>
      <c r="I55" s="542" t="s">
        <v>676</v>
      </c>
      <c r="J55" s="583"/>
      <c r="K55" s="920">
        <f>'[3]Table 1 Total'!K55</f>
        <v>20129279</v>
      </c>
      <c r="L55" s="846"/>
      <c r="M55" s="920">
        <f>'[3]Table 1 Total'!M55</f>
        <v>8538172</v>
      </c>
      <c r="N55" s="846"/>
      <c r="O55" s="920">
        <f>'[3]Table 1 Total'!O55</f>
        <v>11591107</v>
      </c>
      <c r="P55" s="846"/>
      <c r="Q55" s="931">
        <f>'[3]Table 1 Total'!Q55</f>
        <v>2.11</v>
      </c>
      <c r="R55" s="846"/>
      <c r="S55" s="920">
        <f>'[3]Table 1 Total'!S55</f>
        <v>424135</v>
      </c>
      <c r="T55" s="847"/>
      <c r="U55" s="925">
        <f t="shared" si="11"/>
        <v>27.3</v>
      </c>
      <c r="V55" s="920">
        <f>'[3]Table 4 Total'!Z56</f>
        <v>32893</v>
      </c>
      <c r="W55" s="920">
        <f t="shared" si="12"/>
        <v>457028</v>
      </c>
      <c r="X55" s="996">
        <f>'[2]D-21'!K96</f>
        <v>424</v>
      </c>
      <c r="Y55" s="996">
        <f t="shared" si="13"/>
        <v>424000</v>
      </c>
      <c r="Z55" s="864">
        <f t="shared" si="15"/>
        <v>424135</v>
      </c>
      <c r="AA55" s="850"/>
      <c r="AB55" s="850"/>
      <c r="AC55" s="850"/>
    </row>
    <row r="56" spans="1:29">
      <c r="A56" s="589"/>
      <c r="B56" s="38">
        <v>385</v>
      </c>
      <c r="C56" s="589" t="s">
        <v>680</v>
      </c>
      <c r="D56" s="589"/>
      <c r="E56" s="590" t="s">
        <v>639</v>
      </c>
      <c r="F56" s="591"/>
      <c r="G56" s="592">
        <v>45</v>
      </c>
      <c r="H56" s="593" t="s">
        <v>640</v>
      </c>
      <c r="I56" s="542" t="s">
        <v>664</v>
      </c>
      <c r="J56" s="583"/>
      <c r="K56" s="920">
        <f>'[3]Table 1 Total'!K56</f>
        <v>35423963</v>
      </c>
      <c r="L56" s="846"/>
      <c r="M56" s="920">
        <f>'[3]Table 1 Total'!M56</f>
        <v>16561456</v>
      </c>
      <c r="N56" s="846"/>
      <c r="O56" s="920">
        <f>'[3]Table 1 Total'!O56</f>
        <v>18862507</v>
      </c>
      <c r="P56" s="846"/>
      <c r="Q56" s="931">
        <f>'[3]Table 1 Total'!Q56</f>
        <v>2.02</v>
      </c>
      <c r="R56" s="846"/>
      <c r="S56" s="920">
        <f>'[3]Table 1 Total'!S56</f>
        <v>716158</v>
      </c>
      <c r="T56" s="847"/>
      <c r="U56" s="925">
        <f t="shared" si="11"/>
        <v>26.3</v>
      </c>
      <c r="V56" s="920">
        <f>'[3]Table 4 Total'!Z57</f>
        <v>8243</v>
      </c>
      <c r="W56" s="920">
        <f t="shared" si="12"/>
        <v>724401</v>
      </c>
      <c r="X56" s="996">
        <f>'[2]D-21'!K97</f>
        <v>716</v>
      </c>
      <c r="Y56" s="996">
        <f t="shared" si="13"/>
        <v>716000</v>
      </c>
      <c r="Z56" s="864">
        <f t="shared" si="15"/>
        <v>716158</v>
      </c>
      <c r="AA56" s="850"/>
      <c r="AB56" s="850"/>
      <c r="AC56" s="850"/>
    </row>
    <row r="57" spans="1:29">
      <c r="A57" s="589"/>
      <c r="B57" s="38">
        <v>386</v>
      </c>
      <c r="C57" s="589" t="s">
        <v>681</v>
      </c>
      <c r="D57" s="589"/>
      <c r="E57" s="590" t="s">
        <v>639</v>
      </c>
      <c r="F57" s="591"/>
      <c r="G57" s="592">
        <v>46</v>
      </c>
      <c r="H57" s="593" t="s">
        <v>640</v>
      </c>
      <c r="I57" s="542" t="s">
        <v>676</v>
      </c>
      <c r="J57" s="583"/>
      <c r="K57" s="920">
        <f>'[3]Table 1 Total'!K57</f>
        <v>337967</v>
      </c>
      <c r="L57" s="846"/>
      <c r="M57" s="920">
        <f>'[3]Table 1 Total'!M57</f>
        <v>162947</v>
      </c>
      <c r="N57" s="846"/>
      <c r="O57" s="920">
        <f>'[3]Table 1 Total'!O57</f>
        <v>175020</v>
      </c>
      <c r="P57" s="846"/>
      <c r="Q57" s="931">
        <f>'[3]Table 1 Total'!Q57</f>
        <v>2.14</v>
      </c>
      <c r="R57" s="846"/>
      <c r="S57" s="920">
        <f>'[3]Table 1 Total'!S57</f>
        <v>7236</v>
      </c>
      <c r="T57" s="847"/>
      <c r="U57" s="925">
        <f t="shared" si="11"/>
        <v>24.2</v>
      </c>
      <c r="V57" s="920">
        <f>'[3]Table 4 Total'!Z58</f>
        <v>0</v>
      </c>
      <c r="W57" s="920">
        <f t="shared" si="12"/>
        <v>7236</v>
      </c>
      <c r="X57" s="996">
        <f>'[2]D-21'!K98</f>
        <v>22</v>
      </c>
      <c r="Y57" s="996">
        <f t="shared" si="13"/>
        <v>22000</v>
      </c>
      <c r="Z57" s="850"/>
      <c r="AA57" s="850"/>
      <c r="AB57" s="850"/>
      <c r="AC57" s="850"/>
    </row>
    <row r="58" spans="1:29">
      <c r="A58" s="589"/>
      <c r="B58" s="38">
        <v>386.1</v>
      </c>
      <c r="C58" s="589" t="s">
        <v>682</v>
      </c>
      <c r="D58" s="589"/>
      <c r="E58" s="590" t="s">
        <v>639</v>
      </c>
      <c r="F58" s="591"/>
      <c r="G58" s="592">
        <v>45</v>
      </c>
      <c r="H58" s="593" t="s">
        <v>640</v>
      </c>
      <c r="I58" s="542" t="s">
        <v>664</v>
      </c>
      <c r="J58" s="583"/>
      <c r="K58" s="920">
        <f>'[3]Table 1 Total'!K58</f>
        <v>953218</v>
      </c>
      <c r="L58" s="846"/>
      <c r="M58" s="920">
        <f>'[3]Table 1 Total'!M58</f>
        <v>648053</v>
      </c>
      <c r="N58" s="846"/>
      <c r="O58" s="920">
        <f>'[3]Table 1 Total'!O58</f>
        <v>305165</v>
      </c>
      <c r="P58" s="846"/>
      <c r="Q58" s="931">
        <f>'[3]Table 1 Total'!Q58</f>
        <v>1.6</v>
      </c>
      <c r="R58" s="846"/>
      <c r="S58" s="920">
        <f>'[3]Table 1 Total'!S58</f>
        <v>15260</v>
      </c>
      <c r="T58" s="847"/>
      <c r="U58" s="925">
        <f t="shared" si="11"/>
        <v>20</v>
      </c>
      <c r="V58" s="920">
        <f>'[3]Table 4 Total'!Z59</f>
        <v>0</v>
      </c>
      <c r="W58" s="920">
        <f t="shared" si="12"/>
        <v>15260</v>
      </c>
      <c r="X58" s="996"/>
      <c r="Y58" s="996">
        <f t="shared" si="13"/>
        <v>0</v>
      </c>
      <c r="Z58" s="850"/>
      <c r="AA58" s="850"/>
      <c r="AB58" s="850"/>
      <c r="AC58" s="850"/>
    </row>
    <row r="59" spans="1:29">
      <c r="A59" s="589"/>
      <c r="B59" s="38">
        <v>386.2</v>
      </c>
      <c r="C59" s="589" t="s">
        <v>683</v>
      </c>
      <c r="D59" s="589"/>
      <c r="E59" s="590" t="s">
        <v>639</v>
      </c>
      <c r="F59" s="591"/>
      <c r="G59" s="592">
        <v>25</v>
      </c>
      <c r="H59" s="593" t="s">
        <v>640</v>
      </c>
      <c r="I59" s="542" t="s">
        <v>662</v>
      </c>
      <c r="J59" s="583"/>
      <c r="K59" s="920">
        <f>'[3]Table 1 Total'!K59</f>
        <v>24705</v>
      </c>
      <c r="L59" s="846"/>
      <c r="M59" s="920">
        <f>'[3]Table 1 Total'!M59</f>
        <v>24435</v>
      </c>
      <c r="N59" s="846"/>
      <c r="O59" s="920">
        <f>'[3]Table 1 Total'!O59</f>
        <v>270</v>
      </c>
      <c r="P59" s="846"/>
      <c r="Q59" s="931">
        <f>'[3]Table 1 Total'!Q59</f>
        <v>0.32</v>
      </c>
      <c r="R59" s="846"/>
      <c r="S59" s="920">
        <f>'[3]Table 1 Total'!S59</f>
        <v>80</v>
      </c>
      <c r="T59" s="847"/>
      <c r="U59" s="925">
        <f t="shared" si="11"/>
        <v>3.4</v>
      </c>
      <c r="V59" s="920">
        <f>'[3]Table 4 Total'!Z60</f>
        <v>0</v>
      </c>
      <c r="W59" s="920">
        <f t="shared" si="12"/>
        <v>80</v>
      </c>
      <c r="X59" s="996"/>
      <c r="Y59" s="996">
        <f t="shared" si="13"/>
        <v>0</v>
      </c>
      <c r="Z59" s="850"/>
      <c r="AA59" s="850"/>
      <c r="AB59" s="850"/>
      <c r="AC59" s="850"/>
    </row>
    <row r="60" spans="1:29">
      <c r="A60" s="589"/>
      <c r="B60" s="38">
        <v>386.3</v>
      </c>
      <c r="C60" s="589" t="s">
        <v>684</v>
      </c>
      <c r="D60" s="589"/>
      <c r="E60" s="590"/>
      <c r="F60" s="591"/>
      <c r="G60" s="592"/>
      <c r="H60" s="593"/>
      <c r="I60" s="542"/>
      <c r="J60" s="583"/>
      <c r="K60" s="920">
        <f>'[3]Table 1 Total'!K60</f>
        <v>0</v>
      </c>
      <c r="L60" s="846"/>
      <c r="M60" s="920">
        <f>'[3]Table 1 Total'!M60</f>
        <v>2459</v>
      </c>
      <c r="N60" s="846"/>
      <c r="O60" s="920">
        <f>'[3]Table 1 Total'!O60</f>
        <v>-2459</v>
      </c>
      <c r="P60" s="846"/>
      <c r="Q60" s="931">
        <f>'[3]Table 1 Total'!Q60</f>
        <v>0</v>
      </c>
      <c r="R60" s="846"/>
      <c r="S60" s="920">
        <f>'[3]Table 1 Total'!S60</f>
        <v>0</v>
      </c>
      <c r="T60" s="847"/>
      <c r="U60" s="925">
        <f t="shared" si="11"/>
        <v>0</v>
      </c>
      <c r="V60" s="920">
        <f>'[3]Table 4 Total'!Z61</f>
        <v>0</v>
      </c>
      <c r="W60" s="920">
        <f t="shared" si="12"/>
        <v>0</v>
      </c>
      <c r="X60" s="996"/>
      <c r="Y60" s="996">
        <f t="shared" si="13"/>
        <v>0</v>
      </c>
      <c r="Z60" s="864">
        <f>SUM(S57:S60)</f>
        <v>22576</v>
      </c>
      <c r="AA60" s="850"/>
      <c r="AB60" s="850"/>
      <c r="AC60" s="850"/>
    </row>
    <row r="61" spans="1:29">
      <c r="A61" s="589"/>
      <c r="B61" s="38">
        <v>387</v>
      </c>
      <c r="C61" s="176" t="s">
        <v>655</v>
      </c>
      <c r="D61" s="589"/>
      <c r="E61" s="590" t="s">
        <v>639</v>
      </c>
      <c r="F61" s="591"/>
      <c r="G61" s="592">
        <v>35</v>
      </c>
      <c r="H61" s="593" t="s">
        <v>640</v>
      </c>
      <c r="I61" s="542" t="s">
        <v>666</v>
      </c>
      <c r="J61" s="583"/>
      <c r="K61" s="920">
        <f>'[3]Table 1 Total'!K61</f>
        <v>4694731</v>
      </c>
      <c r="L61" s="846"/>
      <c r="M61" s="920">
        <f>'[3]Table 1 Total'!M61</f>
        <v>2822326</v>
      </c>
      <c r="N61" s="846"/>
      <c r="O61" s="920">
        <f>'[3]Table 1 Total'!O61</f>
        <v>1872405</v>
      </c>
      <c r="P61" s="846"/>
      <c r="Q61" s="931">
        <f>'[3]Table 1 Total'!Q61</f>
        <v>2.12</v>
      </c>
      <c r="R61" s="846"/>
      <c r="S61" s="920">
        <f>'[3]Table 1 Total'!S61</f>
        <v>99344</v>
      </c>
      <c r="T61" s="847"/>
      <c r="U61" s="925">
        <f t="shared" si="11"/>
        <v>18.8</v>
      </c>
      <c r="V61" s="920">
        <f>'[3]Table 4 Total'!Z62</f>
        <v>1510</v>
      </c>
      <c r="W61" s="920">
        <f t="shared" si="12"/>
        <v>100854</v>
      </c>
      <c r="X61" s="996">
        <f>'[2]D-21'!$K$99</f>
        <v>104</v>
      </c>
      <c r="Y61" s="996">
        <f t="shared" si="13"/>
        <v>104000</v>
      </c>
      <c r="Z61" s="850"/>
      <c r="AA61" s="850"/>
      <c r="AB61" s="850"/>
      <c r="AC61" s="850"/>
    </row>
    <row r="62" spans="1:29">
      <c r="A62" s="589"/>
      <c r="B62" s="38">
        <v>387.1</v>
      </c>
      <c r="C62" s="176" t="s">
        <v>685</v>
      </c>
      <c r="D62" s="589"/>
      <c r="E62" s="590" t="s">
        <v>639</v>
      </c>
      <c r="F62" s="591"/>
      <c r="G62" s="592">
        <v>25</v>
      </c>
      <c r="H62" s="593" t="s">
        <v>640</v>
      </c>
      <c r="I62" s="542" t="s">
        <v>686</v>
      </c>
      <c r="J62" s="583"/>
      <c r="K62" s="920">
        <f>'[3]Table 1 Total'!K62</f>
        <v>1490664</v>
      </c>
      <c r="L62" s="846"/>
      <c r="M62" s="920">
        <f>'[3]Table 1 Total'!M62</f>
        <v>1464426</v>
      </c>
      <c r="N62" s="846"/>
      <c r="O62" s="920">
        <f>'[3]Table 1 Total'!O62</f>
        <v>26238</v>
      </c>
      <c r="P62" s="846"/>
      <c r="Q62" s="931">
        <f>'[3]Table 1 Total'!Q62</f>
        <v>0.3</v>
      </c>
      <c r="R62" s="846"/>
      <c r="S62" s="920">
        <f>'[3]Table 1 Total'!S62</f>
        <v>4400</v>
      </c>
      <c r="T62" s="847"/>
      <c r="U62" s="925">
        <f t="shared" si="11"/>
        <v>6</v>
      </c>
      <c r="V62" s="920">
        <f>'[3]Table 4 Total'!Z63</f>
        <v>0</v>
      </c>
      <c r="W62" s="920">
        <f t="shared" si="12"/>
        <v>4400</v>
      </c>
      <c r="X62" s="849"/>
      <c r="Y62" s="996">
        <f t="shared" si="13"/>
        <v>0</v>
      </c>
      <c r="Z62" s="864">
        <f>+S61+S62</f>
        <v>103744</v>
      </c>
      <c r="AA62" s="850"/>
      <c r="AB62" s="850"/>
      <c r="AC62" s="850"/>
    </row>
    <row r="63" spans="1:29">
      <c r="B63" s="548" t="s">
        <v>483</v>
      </c>
      <c r="C63" s="589"/>
      <c r="D63" s="589"/>
      <c r="E63" s="576"/>
      <c r="F63" s="595"/>
      <c r="G63" s="542"/>
      <c r="H63" s="542"/>
      <c r="I63" s="542"/>
      <c r="J63" s="583"/>
      <c r="K63" s="922">
        <f>SUBTOTAL(9,K42:K62)</f>
        <v>3774952348</v>
      </c>
      <c r="L63" s="850"/>
      <c r="M63" s="922">
        <f>SUBTOTAL(9,M42:M62)</f>
        <v>1005903019</v>
      </c>
      <c r="N63" s="288"/>
      <c r="O63" s="922">
        <f>SUBTOTAL(9,O42:O62)</f>
        <v>2769049329</v>
      </c>
      <c r="P63" s="288"/>
      <c r="Q63" s="924">
        <f>ROUND(S63/K63*100,2)</f>
        <v>2.0299999999999998</v>
      </c>
      <c r="R63" s="288"/>
      <c r="S63" s="922">
        <f>SUBTOTAL(9,S42:S62)</f>
        <v>76647034</v>
      </c>
      <c r="T63" s="851"/>
      <c r="U63" s="854">
        <f t="shared" ref="U63:W63" si="16">SUBTOTAL(9,U42:U62)</f>
        <v>470.7</v>
      </c>
      <c r="V63" s="922">
        <f t="shared" si="16"/>
        <v>7769800</v>
      </c>
      <c r="W63" s="922">
        <f t="shared" si="16"/>
        <v>84416834</v>
      </c>
      <c r="X63" s="998">
        <f>SUBTOTAL(9,X42:X62)</f>
        <v>76646</v>
      </c>
      <c r="Y63" s="998">
        <f>SUBTOTAL(9,Y42:Y62)</f>
        <v>76646000</v>
      </c>
      <c r="Z63" s="861">
        <f>SUBTOTAL(9,Z42:Z62)</f>
        <v>76647034</v>
      </c>
      <c r="AA63" s="850"/>
      <c r="AB63" s="850"/>
      <c r="AC63" s="850"/>
    </row>
    <row r="64" spans="1:29">
      <c r="A64" s="589"/>
      <c r="B64" s="589"/>
      <c r="C64" s="589"/>
      <c r="D64" s="589"/>
      <c r="E64" s="576"/>
      <c r="F64" s="595"/>
      <c r="G64" s="542"/>
      <c r="H64" s="542"/>
      <c r="I64" s="542"/>
      <c r="J64" s="583"/>
      <c r="K64" s="280"/>
      <c r="L64" s="286"/>
      <c r="M64" s="280"/>
      <c r="N64" s="288"/>
      <c r="O64" s="288"/>
      <c r="P64" s="288"/>
      <c r="Q64" s="866"/>
      <c r="R64" s="288"/>
      <c r="S64" s="280"/>
      <c r="T64" s="847"/>
      <c r="U64" s="867"/>
      <c r="V64" s="280"/>
      <c r="W64" s="280"/>
      <c r="X64" s="286"/>
      <c r="Y64" s="286"/>
      <c r="Z64" s="286"/>
      <c r="AA64" s="850"/>
      <c r="AB64" s="850"/>
      <c r="AC64" s="850"/>
    </row>
    <row r="65" spans="1:29">
      <c r="B65" s="548" t="s">
        <v>237</v>
      </c>
      <c r="C65" s="583"/>
      <c r="D65" s="583"/>
      <c r="E65" s="576"/>
      <c r="F65" s="595"/>
      <c r="G65" s="542"/>
      <c r="H65" s="542"/>
      <c r="I65" s="542"/>
      <c r="J65" s="583"/>
      <c r="K65" s="855"/>
      <c r="L65" s="846"/>
      <c r="M65" s="855"/>
      <c r="N65" s="868"/>
      <c r="O65" s="868"/>
      <c r="P65" s="868"/>
      <c r="Q65" s="869"/>
      <c r="R65" s="868"/>
      <c r="S65" s="855"/>
      <c r="T65" s="870"/>
      <c r="U65" s="871"/>
      <c r="V65" s="855"/>
      <c r="W65" s="855"/>
      <c r="X65" s="850"/>
      <c r="Y65" s="850"/>
      <c r="Z65" s="850"/>
      <c r="AA65" s="850"/>
      <c r="AB65" s="850"/>
      <c r="AC65" s="850"/>
    </row>
    <row r="66" spans="1:29">
      <c r="B66" s="597">
        <v>390.1</v>
      </c>
      <c r="C66" s="598" t="s">
        <v>479</v>
      </c>
      <c r="D66" s="583"/>
      <c r="E66" s="576"/>
      <c r="F66" s="595"/>
      <c r="G66" s="542"/>
      <c r="H66" s="542"/>
      <c r="I66" s="542"/>
      <c r="J66" s="583"/>
      <c r="K66" s="855"/>
      <c r="L66" s="846"/>
      <c r="M66" s="855"/>
      <c r="N66" s="868"/>
      <c r="O66" s="868"/>
      <c r="P66" s="868"/>
      <c r="Q66" s="869"/>
      <c r="R66" s="868"/>
      <c r="S66" s="855"/>
      <c r="T66" s="870"/>
      <c r="U66" s="871"/>
      <c r="V66" s="855"/>
      <c r="W66" s="855"/>
      <c r="X66" s="996">
        <f>'[2]D-21'!$K$105</f>
        <v>5553</v>
      </c>
      <c r="Y66" s="996">
        <f t="shared" ref="Y66" si="17">X66*1000</f>
        <v>5553000</v>
      </c>
      <c r="Z66" s="850"/>
      <c r="AA66" s="850"/>
      <c r="AB66" s="850"/>
      <c r="AC66" s="850"/>
    </row>
    <row r="67" spans="1:29">
      <c r="A67" s="583"/>
      <c r="B67" s="599"/>
      <c r="C67" s="600" t="s">
        <v>687</v>
      </c>
      <c r="D67" s="601"/>
      <c r="E67" s="932">
        <v>46203</v>
      </c>
      <c r="F67" s="933"/>
      <c r="G67" s="918">
        <v>80</v>
      </c>
      <c r="H67" s="919" t="s">
        <v>640</v>
      </c>
      <c r="I67" t="s">
        <v>688</v>
      </c>
      <c r="J67" s="583"/>
      <c r="K67" s="920">
        <f>'[3]Table 1 Total'!K67</f>
        <v>3556541.5</v>
      </c>
      <c r="L67" s="846"/>
      <c r="M67" s="920">
        <f>'[3]Table 1 Total'!M67</f>
        <v>2516057</v>
      </c>
      <c r="N67" s="921"/>
      <c r="O67" s="920">
        <f>'[3]Table 1 Total'!O67</f>
        <v>1040485</v>
      </c>
      <c r="P67" s="921"/>
      <c r="Q67" s="931">
        <f>'[3]Table 1 Total'!Q67</f>
        <v>6.26</v>
      </c>
      <c r="R67" s="921"/>
      <c r="S67" s="920">
        <f>'[3]Table 1 Total'!S67</f>
        <v>222804</v>
      </c>
      <c r="T67" s="847"/>
      <c r="U67" s="925">
        <f t="shared" ref="U67:U80" si="18">IF(S67=0,0,ROUND(O67/S67,1))</f>
        <v>4.7</v>
      </c>
      <c r="V67" s="920">
        <f>'[3]Table 4 Total'!$Z$67</f>
        <v>67320</v>
      </c>
      <c r="W67" s="845"/>
      <c r="X67" s="849"/>
      <c r="Y67" s="872"/>
      <c r="Z67" s="850"/>
      <c r="AA67" s="850"/>
      <c r="AB67" s="850"/>
      <c r="AC67" s="850"/>
    </row>
    <row r="68" spans="1:29">
      <c r="A68" s="589"/>
      <c r="B68" s="599"/>
      <c r="C68" s="600" t="s">
        <v>689</v>
      </c>
      <c r="D68" s="601"/>
      <c r="E68" s="932">
        <v>47664</v>
      </c>
      <c r="F68" s="933"/>
      <c r="G68" s="918">
        <v>80</v>
      </c>
      <c r="H68" s="919" t="s">
        <v>640</v>
      </c>
      <c r="I68" t="s">
        <v>688</v>
      </c>
      <c r="J68" s="583"/>
      <c r="K68" s="920">
        <f>'[3]Table 1 Total'!K68</f>
        <v>18712540.539999999</v>
      </c>
      <c r="L68" s="846"/>
      <c r="M68" s="920">
        <f>'[3]Table 1 Total'!M68</f>
        <v>9577162</v>
      </c>
      <c r="N68" s="921"/>
      <c r="O68" s="920">
        <f>'[3]Table 1 Total'!O68</f>
        <v>9135379</v>
      </c>
      <c r="P68" s="921"/>
      <c r="Q68" s="931">
        <f>'[3]Table 1 Total'!Q68</f>
        <v>5.75</v>
      </c>
      <c r="R68" s="921"/>
      <c r="S68" s="920">
        <f>'[3]Table 1 Total'!S68</f>
        <v>1075259</v>
      </c>
      <c r="T68" s="847"/>
      <c r="U68" s="925">
        <f t="shared" si="18"/>
        <v>8.5</v>
      </c>
      <c r="V68" s="845"/>
      <c r="W68" s="845"/>
      <c r="X68" s="849"/>
      <c r="Y68" s="850"/>
      <c r="Z68" s="850"/>
      <c r="AA68" s="850"/>
      <c r="AB68" s="850"/>
      <c r="AC68" s="850"/>
    </row>
    <row r="69" spans="1:29">
      <c r="A69" s="589"/>
      <c r="B69" s="599"/>
      <c r="C69" s="600" t="s">
        <v>690</v>
      </c>
      <c r="D69" s="601"/>
      <c r="E69" s="932">
        <v>45747</v>
      </c>
      <c r="F69" s="933"/>
      <c r="G69" s="918">
        <v>80</v>
      </c>
      <c r="H69" s="919" t="s">
        <v>640</v>
      </c>
      <c r="I69" t="s">
        <v>688</v>
      </c>
      <c r="J69" s="583"/>
      <c r="K69" s="920">
        <f>'[3]Table 1 Total'!K69</f>
        <v>9096962.3300000001</v>
      </c>
      <c r="L69" s="846"/>
      <c r="M69" s="920">
        <f>'[3]Table 1 Total'!M69</f>
        <v>5551943</v>
      </c>
      <c r="N69" s="921"/>
      <c r="O69" s="920">
        <f>'[3]Table 1 Total'!O69</f>
        <v>3545019</v>
      </c>
      <c r="P69" s="921"/>
      <c r="Q69" s="931">
        <f>'[3]Table 1 Total'!Q69</f>
        <v>11.23</v>
      </c>
      <c r="R69" s="921"/>
      <c r="S69" s="920">
        <f>'[3]Table 1 Total'!S69</f>
        <v>1021795</v>
      </c>
      <c r="T69" s="847"/>
      <c r="U69" s="925">
        <f t="shared" si="18"/>
        <v>3.5</v>
      </c>
      <c r="V69" s="845"/>
      <c r="W69" s="845"/>
      <c r="X69" s="849"/>
      <c r="Y69" s="850"/>
      <c r="Z69" s="850"/>
      <c r="AA69" s="850"/>
      <c r="AB69" s="850"/>
      <c r="AC69" s="850"/>
    </row>
    <row r="70" spans="1:29">
      <c r="A70" s="589"/>
      <c r="B70" s="599"/>
      <c r="C70" s="600" t="s">
        <v>691</v>
      </c>
      <c r="D70" s="601"/>
      <c r="E70" s="932">
        <v>46568</v>
      </c>
      <c r="F70" s="933"/>
      <c r="G70" s="918">
        <v>80</v>
      </c>
      <c r="H70" s="919" t="s">
        <v>640</v>
      </c>
      <c r="I70" t="s">
        <v>688</v>
      </c>
      <c r="J70" s="583"/>
      <c r="K70" s="920">
        <f>'[3]Table 1 Total'!K70</f>
        <v>2151509.29</v>
      </c>
      <c r="L70" s="846"/>
      <c r="M70" s="920">
        <f>'[3]Table 1 Total'!M70</f>
        <v>1629740</v>
      </c>
      <c r="N70" s="921"/>
      <c r="O70" s="920">
        <f>'[3]Table 1 Total'!O70</f>
        <v>521769</v>
      </c>
      <c r="P70" s="921"/>
      <c r="Q70" s="931">
        <f>'[3]Table 1 Total'!Q70</f>
        <v>4.2699999999999996</v>
      </c>
      <c r="R70" s="921"/>
      <c r="S70" s="920">
        <f>'[3]Table 1 Total'!S70</f>
        <v>91866</v>
      </c>
      <c r="T70" s="847"/>
      <c r="U70" s="925">
        <f t="shared" si="18"/>
        <v>5.7</v>
      </c>
      <c r="V70" s="845"/>
      <c r="W70" s="845"/>
      <c r="X70" s="849"/>
      <c r="Y70" s="850"/>
      <c r="Z70" s="850"/>
      <c r="AA70" s="850"/>
      <c r="AB70" s="850"/>
      <c r="AC70" s="850"/>
    </row>
    <row r="71" spans="1:29">
      <c r="A71" s="589"/>
      <c r="B71" s="599"/>
      <c r="C71" s="600" t="s">
        <v>692</v>
      </c>
      <c r="D71" s="601"/>
      <c r="E71" s="932">
        <v>58256</v>
      </c>
      <c r="F71" s="933"/>
      <c r="G71" s="918">
        <v>80</v>
      </c>
      <c r="H71" s="919" t="s">
        <v>640</v>
      </c>
      <c r="I71" t="s">
        <v>688</v>
      </c>
      <c r="J71" s="583"/>
      <c r="K71" s="920">
        <f>'[3]Table 1 Total'!K71</f>
        <v>5497469.79</v>
      </c>
      <c r="L71" s="846"/>
      <c r="M71" s="920">
        <f>'[3]Table 1 Total'!M71</f>
        <v>1340447</v>
      </c>
      <c r="N71" s="921"/>
      <c r="O71" s="920">
        <f>'[3]Table 1 Total'!O71</f>
        <v>4157023</v>
      </c>
      <c r="P71" s="921"/>
      <c r="Q71" s="931">
        <f>'[3]Table 1 Total'!Q71</f>
        <v>2.37</v>
      </c>
      <c r="R71" s="921"/>
      <c r="S71" s="920">
        <f>'[3]Table 1 Total'!S71</f>
        <v>130428</v>
      </c>
      <c r="T71" s="847"/>
      <c r="U71" s="925">
        <f t="shared" si="18"/>
        <v>31.9</v>
      </c>
      <c r="V71" s="845"/>
      <c r="W71" s="845"/>
      <c r="X71" s="849"/>
      <c r="Y71" s="850"/>
      <c r="Z71" s="850"/>
      <c r="AA71" s="850"/>
      <c r="AB71" s="850"/>
      <c r="AC71" s="850"/>
    </row>
    <row r="72" spans="1:29">
      <c r="A72" s="589"/>
      <c r="B72" s="599"/>
      <c r="C72" s="600" t="s">
        <v>693</v>
      </c>
      <c r="D72" s="601"/>
      <c r="E72" s="932">
        <v>62366</v>
      </c>
      <c r="F72" s="933"/>
      <c r="G72" s="918">
        <v>80</v>
      </c>
      <c r="H72" s="919" t="s">
        <v>640</v>
      </c>
      <c r="I72" t="s">
        <v>688</v>
      </c>
      <c r="J72" s="583"/>
      <c r="K72" s="920">
        <f>'[3]Table 1 Total'!K72</f>
        <v>31976605.030000001</v>
      </c>
      <c r="L72" s="846"/>
      <c r="M72" s="920">
        <f>'[3]Table 1 Total'!M72</f>
        <v>1190936</v>
      </c>
      <c r="N72" s="921"/>
      <c r="O72" s="920">
        <f>'[3]Table 1 Total'!O72</f>
        <v>30785669</v>
      </c>
      <c r="P72" s="921"/>
      <c r="Q72" s="931">
        <f>'[3]Table 1 Total'!Q72</f>
        <v>2.72</v>
      </c>
      <c r="R72" s="921"/>
      <c r="S72" s="920">
        <f>'[3]Table 1 Total'!S72</f>
        <v>868194</v>
      </c>
      <c r="T72" s="847"/>
      <c r="U72" s="925">
        <f t="shared" si="18"/>
        <v>35.5</v>
      </c>
      <c r="V72" s="845"/>
      <c r="W72" s="845"/>
      <c r="X72" s="849"/>
      <c r="Y72" s="850"/>
      <c r="Z72" s="850"/>
      <c r="AA72" s="850"/>
      <c r="AB72" s="850"/>
      <c r="AC72" s="850"/>
    </row>
    <row r="73" spans="1:29">
      <c r="A73" s="589"/>
      <c r="B73" s="599"/>
      <c r="C73" s="600" t="s">
        <v>694</v>
      </c>
      <c r="D73" s="601"/>
      <c r="E73" s="932">
        <v>54057</v>
      </c>
      <c r="F73" s="933"/>
      <c r="G73" s="918">
        <v>80</v>
      </c>
      <c r="H73" s="919" t="s">
        <v>640</v>
      </c>
      <c r="I73" t="s">
        <v>688</v>
      </c>
      <c r="J73" s="583"/>
      <c r="K73" s="920">
        <f>'[3]Table 1 Total'!K73</f>
        <v>12217714.17</v>
      </c>
      <c r="L73" s="846"/>
      <c r="M73" s="920">
        <f>'[3]Table 1 Total'!M73</f>
        <v>5575600</v>
      </c>
      <c r="N73" s="921"/>
      <c r="O73" s="920">
        <f>'[3]Table 1 Total'!O73</f>
        <v>6642114</v>
      </c>
      <c r="P73" s="921"/>
      <c r="Q73" s="931">
        <f>'[3]Table 1 Total'!Q73</f>
        <v>2.3199999999999998</v>
      </c>
      <c r="R73" s="921"/>
      <c r="S73" s="920">
        <f>'[3]Table 1 Total'!S73</f>
        <v>283267</v>
      </c>
      <c r="T73" s="847"/>
      <c r="U73" s="925">
        <f t="shared" si="18"/>
        <v>23.4</v>
      </c>
      <c r="V73" s="845"/>
      <c r="W73" s="845"/>
      <c r="X73" s="849"/>
      <c r="Y73" s="850"/>
      <c r="Z73" s="850"/>
      <c r="AA73" s="850"/>
      <c r="AB73" s="850"/>
      <c r="AC73" s="850"/>
    </row>
    <row r="74" spans="1:29">
      <c r="A74" s="589"/>
      <c r="B74" s="599"/>
      <c r="C74" s="600" t="s">
        <v>695</v>
      </c>
      <c r="D74" s="601"/>
      <c r="E74" s="932">
        <v>44651</v>
      </c>
      <c r="F74" s="933"/>
      <c r="G74" s="918">
        <v>80</v>
      </c>
      <c r="H74" s="919" t="s">
        <v>640</v>
      </c>
      <c r="I74" t="s">
        <v>688</v>
      </c>
      <c r="J74" s="583"/>
      <c r="K74" s="920">
        <f>'[3]Table 1 Total'!K74</f>
        <v>2406013.35</v>
      </c>
      <c r="L74" s="846"/>
      <c r="M74" s="920">
        <f>'[3]Table 1 Total'!M74</f>
        <v>2241867</v>
      </c>
      <c r="N74" s="921"/>
      <c r="O74" s="920">
        <f>'[3]Table 1 Total'!O74</f>
        <v>164146</v>
      </c>
      <c r="P74" s="921"/>
      <c r="Q74" s="931">
        <f>'[3]Table 1 Total'!Q74</f>
        <v>6.82</v>
      </c>
      <c r="R74" s="921"/>
      <c r="S74" s="920">
        <f>'[3]Table 1 Total'!S74</f>
        <v>164147</v>
      </c>
      <c r="T74" s="847"/>
      <c r="U74" s="925">
        <f t="shared" si="18"/>
        <v>1</v>
      </c>
      <c r="V74" s="845"/>
      <c r="W74" s="845"/>
      <c r="X74" s="849"/>
      <c r="Y74" s="850"/>
      <c r="Z74" s="850"/>
      <c r="AA74" s="850"/>
      <c r="AB74" s="850"/>
      <c r="AC74" s="850"/>
    </row>
    <row r="75" spans="1:29">
      <c r="A75" s="589"/>
      <c r="B75" s="599"/>
      <c r="C75" s="600" t="s">
        <v>696</v>
      </c>
      <c r="D75" s="601"/>
      <c r="E75" s="932">
        <v>55884</v>
      </c>
      <c r="F75" s="933"/>
      <c r="G75" s="918">
        <v>80</v>
      </c>
      <c r="H75" s="919" t="s">
        <v>640</v>
      </c>
      <c r="I75" t="s">
        <v>688</v>
      </c>
      <c r="J75" s="583"/>
      <c r="K75" s="920">
        <f>'[3]Table 1 Total'!K75</f>
        <v>5799151.6900000004</v>
      </c>
      <c r="L75" s="846"/>
      <c r="M75" s="920">
        <f>'[3]Table 1 Total'!M75</f>
        <v>1940128</v>
      </c>
      <c r="N75" s="921"/>
      <c r="O75" s="920">
        <f>'[3]Table 1 Total'!O75</f>
        <v>3859024</v>
      </c>
      <c r="P75" s="921"/>
      <c r="Q75" s="931">
        <f>'[3]Table 1 Total'!Q75</f>
        <v>2.46</v>
      </c>
      <c r="R75" s="921"/>
      <c r="S75" s="920">
        <f>'[3]Table 1 Total'!S75</f>
        <v>142485</v>
      </c>
      <c r="T75" s="847"/>
      <c r="U75" s="925">
        <f t="shared" si="18"/>
        <v>27.1</v>
      </c>
      <c r="V75" s="845"/>
      <c r="W75" s="845"/>
      <c r="X75" s="849"/>
      <c r="Y75" s="850"/>
      <c r="Z75" s="850"/>
      <c r="AA75" s="850"/>
      <c r="AB75" s="850"/>
      <c r="AC75" s="850"/>
    </row>
    <row r="76" spans="1:29">
      <c r="A76" s="589"/>
      <c r="B76" s="599"/>
      <c r="C76" s="600" t="s">
        <v>697</v>
      </c>
      <c r="D76" s="601"/>
      <c r="E76" s="932">
        <v>58440</v>
      </c>
      <c r="F76" s="933"/>
      <c r="G76" s="918">
        <v>80</v>
      </c>
      <c r="H76" s="919" t="s">
        <v>640</v>
      </c>
      <c r="I76" t="s">
        <v>688</v>
      </c>
      <c r="J76" s="583"/>
      <c r="K76" s="920">
        <f>'[3]Table 1 Total'!K76</f>
        <v>1458709.16</v>
      </c>
      <c r="L76" s="846"/>
      <c r="M76" s="920">
        <f>'[3]Table 1 Total'!M76</f>
        <v>366304</v>
      </c>
      <c r="N76" s="921"/>
      <c r="O76" s="920">
        <f>'[3]Table 1 Total'!O76</f>
        <v>1092405</v>
      </c>
      <c r="P76" s="921"/>
      <c r="Q76" s="931">
        <f>'[3]Table 1 Total'!Q76</f>
        <v>2.36</v>
      </c>
      <c r="R76" s="921"/>
      <c r="S76" s="920">
        <f>'[3]Table 1 Total'!S76</f>
        <v>34432</v>
      </c>
      <c r="T76" s="847"/>
      <c r="U76" s="925">
        <f t="shared" si="18"/>
        <v>31.7</v>
      </c>
      <c r="V76" s="845"/>
      <c r="W76" s="845"/>
      <c r="X76" s="849"/>
      <c r="Y76" s="850"/>
      <c r="Z76" s="850"/>
      <c r="AA76" s="850"/>
      <c r="AB76" s="850"/>
      <c r="AC76" s="850"/>
    </row>
    <row r="77" spans="1:29">
      <c r="A77" s="589"/>
      <c r="B77" s="599"/>
      <c r="C77" s="600" t="s">
        <v>698</v>
      </c>
      <c r="D77" s="601"/>
      <c r="E77" s="932">
        <v>48760</v>
      </c>
      <c r="F77" s="933"/>
      <c r="G77" s="918">
        <v>80</v>
      </c>
      <c r="H77" s="919" t="s">
        <v>640</v>
      </c>
      <c r="I77" t="s">
        <v>688</v>
      </c>
      <c r="J77" s="583"/>
      <c r="K77" s="920">
        <f>'[3]Table 1 Total'!K77</f>
        <v>1061058.1399999999</v>
      </c>
      <c r="L77" s="846"/>
      <c r="M77" s="920">
        <f>'[3]Table 1 Total'!M77</f>
        <v>375971</v>
      </c>
      <c r="N77" s="921"/>
      <c r="O77" s="920">
        <f>'[3]Table 1 Total'!O77</f>
        <v>685087</v>
      </c>
      <c r="P77" s="921"/>
      <c r="Q77" s="931">
        <f>'[3]Table 1 Total'!Q77</f>
        <v>5.79</v>
      </c>
      <c r="R77" s="921"/>
      <c r="S77" s="920">
        <f>'[3]Table 1 Total'!S77</f>
        <v>61468</v>
      </c>
      <c r="T77" s="847"/>
      <c r="U77" s="925">
        <f t="shared" si="18"/>
        <v>11.1</v>
      </c>
      <c r="V77" s="845"/>
      <c r="W77" s="845"/>
      <c r="X77" s="849"/>
      <c r="Y77" s="850"/>
      <c r="Z77" s="850"/>
      <c r="AA77" s="850"/>
      <c r="AB77" s="850"/>
      <c r="AC77" s="850"/>
    </row>
    <row r="78" spans="1:29">
      <c r="A78" s="589"/>
      <c r="B78" s="599"/>
      <c r="C78" s="600" t="s">
        <v>699</v>
      </c>
      <c r="D78" s="601"/>
      <c r="E78" s="932">
        <v>52047</v>
      </c>
      <c r="F78" s="933"/>
      <c r="G78" s="918">
        <v>80</v>
      </c>
      <c r="H78" s="919" t="s">
        <v>640</v>
      </c>
      <c r="I78" t="s">
        <v>688</v>
      </c>
      <c r="J78" s="583"/>
      <c r="K78" s="920">
        <f>'[3]Table 1 Total'!K78</f>
        <v>2399274.35</v>
      </c>
      <c r="L78" s="846"/>
      <c r="M78" s="920">
        <f>'[3]Table 1 Total'!M78</f>
        <v>904371</v>
      </c>
      <c r="N78" s="921"/>
      <c r="O78" s="920">
        <f>'[3]Table 1 Total'!O78</f>
        <v>1494903</v>
      </c>
      <c r="P78" s="921"/>
      <c r="Q78" s="931">
        <f>'[3]Table 1 Total'!Q78</f>
        <v>3.37</v>
      </c>
      <c r="R78" s="921"/>
      <c r="S78" s="920">
        <f>'[3]Table 1 Total'!S78</f>
        <v>80839</v>
      </c>
      <c r="T78" s="847"/>
      <c r="U78" s="925">
        <f t="shared" si="18"/>
        <v>18.5</v>
      </c>
      <c r="V78" s="845"/>
      <c r="W78" s="845"/>
      <c r="X78" s="849"/>
      <c r="Y78" s="850"/>
      <c r="Z78" s="850"/>
      <c r="AA78" s="850"/>
      <c r="AB78" s="850"/>
      <c r="AC78" s="850"/>
    </row>
    <row r="79" spans="1:29">
      <c r="A79" s="589"/>
      <c r="B79" s="599"/>
      <c r="C79" s="600" t="s">
        <v>700</v>
      </c>
      <c r="D79" s="601"/>
      <c r="E79" s="932">
        <v>54604</v>
      </c>
      <c r="F79" s="933"/>
      <c r="G79" s="918">
        <v>80</v>
      </c>
      <c r="H79" s="919" t="s">
        <v>640</v>
      </c>
      <c r="I79" t="s">
        <v>688</v>
      </c>
      <c r="J79" s="583"/>
      <c r="K79" s="920">
        <f>'[3]Table 1 Total'!K79</f>
        <v>1451325.04</v>
      </c>
      <c r="L79" s="846"/>
      <c r="M79" s="920">
        <f>'[3]Table 1 Total'!M79</f>
        <v>414804</v>
      </c>
      <c r="N79" s="921"/>
      <c r="O79" s="920">
        <f>'[3]Table 1 Total'!O79</f>
        <v>1036521</v>
      </c>
      <c r="P79" s="921"/>
      <c r="Q79" s="931">
        <f>'[3]Table 1 Total'!Q79</f>
        <v>3.02</v>
      </c>
      <c r="R79" s="921"/>
      <c r="S79" s="920">
        <f>'[3]Table 1 Total'!S79</f>
        <v>43784</v>
      </c>
      <c r="T79" s="847"/>
      <c r="U79" s="925">
        <f t="shared" si="18"/>
        <v>23.7</v>
      </c>
      <c r="V79" s="845"/>
      <c r="W79" s="845"/>
      <c r="X79" s="849"/>
      <c r="Y79" s="850"/>
      <c r="Z79" s="850"/>
      <c r="AA79" s="850"/>
      <c r="AB79" s="850"/>
      <c r="AC79" s="850"/>
    </row>
    <row r="80" spans="1:29">
      <c r="A80" s="589"/>
      <c r="B80" s="599"/>
      <c r="C80" s="600" t="s">
        <v>646</v>
      </c>
      <c r="D80" s="601"/>
      <c r="E80" s="932" t="s">
        <v>639</v>
      </c>
      <c r="F80" s="933"/>
      <c r="G80" s="918">
        <v>40</v>
      </c>
      <c r="H80" s="919" t="s">
        <v>640</v>
      </c>
      <c r="I80" t="s">
        <v>664</v>
      </c>
      <c r="J80" s="583"/>
      <c r="K80" s="920">
        <f>'[3]Table 1 Total'!K80</f>
        <v>21185793.629999999</v>
      </c>
      <c r="L80" s="846"/>
      <c r="M80" s="920">
        <f>'[3]Table 1 Total'!M80</f>
        <v>5709283</v>
      </c>
      <c r="N80" s="921"/>
      <c r="O80" s="920">
        <f>'[3]Table 1 Total'!O80</f>
        <v>15476511</v>
      </c>
      <c r="P80" s="921"/>
      <c r="Q80" s="931">
        <f>'[3]Table 1 Total'!Q80</f>
        <v>2.97</v>
      </c>
      <c r="R80" s="921"/>
      <c r="S80" s="920">
        <f>'[3]Table 1 Total'!S80</f>
        <v>629664</v>
      </c>
      <c r="T80" s="847"/>
      <c r="U80" s="925">
        <f t="shared" si="18"/>
        <v>24.6</v>
      </c>
      <c r="V80" s="845"/>
      <c r="W80" s="845"/>
      <c r="X80" s="849"/>
      <c r="Y80" s="850"/>
      <c r="Z80" s="850"/>
      <c r="AA80" s="850"/>
      <c r="AB80" s="850"/>
      <c r="AC80" s="850"/>
    </row>
    <row r="81" spans="1:29">
      <c r="A81" s="589"/>
      <c r="B81" s="597"/>
      <c r="C81" s="602" t="s">
        <v>701</v>
      </c>
      <c r="D81" s="601"/>
      <c r="E81" s="497"/>
      <c r="F81" s="933"/>
      <c r="G81" s="915" t="s">
        <v>817</v>
      </c>
      <c r="H81" s="916"/>
      <c r="I81" s="917"/>
      <c r="J81" s="583"/>
      <c r="K81" s="934">
        <f>SUBTOTAL(9,K67:K80)</f>
        <v>118970668.00999998</v>
      </c>
      <c r="L81" s="873"/>
      <c r="M81" s="934">
        <f>SUBTOTAL(9,M67:M80)</f>
        <v>39334613</v>
      </c>
      <c r="N81" s="935"/>
      <c r="O81" s="934">
        <f>SUBTOTAL(9,O67:O80)</f>
        <v>79636055</v>
      </c>
      <c r="P81" s="935"/>
      <c r="Q81" s="936">
        <f>ROUND(S81/K81*100,2)</f>
        <v>4.08</v>
      </c>
      <c r="R81" s="935"/>
      <c r="S81" s="934">
        <f>SUBTOTAL(9,S67:S80)</f>
        <v>4850432</v>
      </c>
      <c r="T81" s="875"/>
      <c r="U81" s="937">
        <f>+ROUND(O81/S81,1)</f>
        <v>16.399999999999999</v>
      </c>
      <c r="V81" s="934">
        <f>SUBTOTAL(9,V67:V80)</f>
        <v>67320</v>
      </c>
      <c r="W81" s="920">
        <f t="shared" ref="W81" si="19">+S81+V81</f>
        <v>4917752</v>
      </c>
      <c r="X81" s="849"/>
      <c r="Y81" s="850"/>
      <c r="Z81" s="850"/>
      <c r="AA81" s="850"/>
      <c r="AB81" s="850"/>
      <c r="AC81" s="850"/>
    </row>
    <row r="82" spans="1:29">
      <c r="A82" s="589"/>
      <c r="B82" s="597"/>
      <c r="C82" s="602"/>
      <c r="D82" s="601"/>
      <c r="E82" s="590"/>
      <c r="F82" s="591"/>
      <c r="G82" s="603"/>
      <c r="H82" s="603"/>
      <c r="I82" s="604"/>
      <c r="J82" s="583"/>
      <c r="K82" s="876"/>
      <c r="L82" s="873"/>
      <c r="M82" s="876"/>
      <c r="N82" s="874"/>
      <c r="O82" s="876"/>
      <c r="P82" s="874"/>
      <c r="Q82" s="877"/>
      <c r="R82" s="874"/>
      <c r="S82" s="876"/>
      <c r="T82" s="875"/>
      <c r="U82" s="848"/>
      <c r="V82" s="876"/>
      <c r="W82" s="876"/>
      <c r="X82" s="849"/>
      <c r="Y82" s="850"/>
      <c r="Z82" s="850"/>
      <c r="AA82" s="850"/>
      <c r="AB82" s="850"/>
      <c r="AC82" s="850"/>
    </row>
    <row r="83" spans="1:29">
      <c r="A83" s="589"/>
      <c r="B83" s="597">
        <v>390.2</v>
      </c>
      <c r="C83" s="601" t="s">
        <v>484</v>
      </c>
      <c r="D83" s="601"/>
      <c r="E83" s="590"/>
      <c r="F83" s="591"/>
      <c r="G83" s="603"/>
      <c r="H83" s="603"/>
      <c r="I83" s="604"/>
      <c r="J83" s="583"/>
      <c r="K83" s="876"/>
      <c r="L83" s="873"/>
      <c r="M83" s="876"/>
      <c r="N83" s="874"/>
      <c r="O83" s="876"/>
      <c r="P83" s="874"/>
      <c r="Q83" s="877"/>
      <c r="R83" s="874"/>
      <c r="S83" s="876"/>
      <c r="T83" s="875"/>
      <c r="U83" s="848"/>
      <c r="V83" s="876"/>
      <c r="W83" s="876"/>
      <c r="X83" s="849"/>
      <c r="Y83" s="850"/>
      <c r="Z83" s="850"/>
      <c r="AA83" s="850"/>
      <c r="AB83" s="850"/>
      <c r="AC83" s="850"/>
    </row>
    <row r="84" spans="1:29">
      <c r="A84" s="589"/>
      <c r="B84" s="599"/>
      <c r="C84" s="600" t="s">
        <v>702</v>
      </c>
      <c r="D84" s="601"/>
      <c r="E84" s="590">
        <v>43890</v>
      </c>
      <c r="F84" s="591"/>
      <c r="G84" s="605" t="s">
        <v>703</v>
      </c>
      <c r="H84" s="606"/>
      <c r="I84" s="533"/>
      <c r="J84" s="583"/>
      <c r="K84" s="920">
        <f>'[3]Table 1 Total'!K83</f>
        <v>23466</v>
      </c>
      <c r="L84" s="921"/>
      <c r="M84" s="920">
        <f>'[3]Table 1 Total'!M83</f>
        <v>23466</v>
      </c>
      <c r="N84" s="921"/>
      <c r="O84" s="920">
        <f>'[3]Table 1 Total'!O83</f>
        <v>0</v>
      </c>
      <c r="P84" s="921"/>
      <c r="Q84" s="931">
        <f>'[3]Table 1 Total'!Q83</f>
        <v>0</v>
      </c>
      <c r="R84" s="921"/>
      <c r="S84" s="920">
        <f>'[3]Table 1 Total'!S83</f>
        <v>0</v>
      </c>
      <c r="T84" s="914"/>
      <c r="U84" s="925">
        <f t="shared" ref="U84:U85" si="20">IF(S84=0,0,ROUND(O84/S84,1))</f>
        <v>0</v>
      </c>
      <c r="V84" s="920">
        <f>'[3]Table 4 Total'!$Z$68</f>
        <v>0</v>
      </c>
      <c r="W84" s="920">
        <f>+S84+V84</f>
        <v>0</v>
      </c>
      <c r="X84" s="849"/>
      <c r="Y84" s="850"/>
      <c r="Z84" s="850"/>
      <c r="AA84" s="850"/>
      <c r="AB84" s="850"/>
      <c r="AC84" s="850"/>
    </row>
    <row r="85" spans="1:29">
      <c r="A85" s="589"/>
      <c r="B85" s="599"/>
      <c r="C85" s="600" t="s">
        <v>704</v>
      </c>
      <c r="D85" s="601"/>
      <c r="E85" s="590">
        <v>44316</v>
      </c>
      <c r="F85" s="591"/>
      <c r="G85" s="605" t="s">
        <v>703</v>
      </c>
      <c r="H85" s="606"/>
      <c r="I85" s="533"/>
      <c r="J85" s="583"/>
      <c r="K85" s="920">
        <f>'[3]Table 1 Total'!K84</f>
        <v>61661</v>
      </c>
      <c r="L85" s="921"/>
      <c r="M85" s="920">
        <f>'[3]Table 1 Total'!M84</f>
        <v>61661</v>
      </c>
      <c r="N85" s="921"/>
      <c r="O85" s="920">
        <f>'[3]Table 1 Total'!O84</f>
        <v>0</v>
      </c>
      <c r="P85" s="921"/>
      <c r="Q85" s="931">
        <f>'[3]Table 1 Total'!Q84</f>
        <v>0</v>
      </c>
      <c r="R85" s="921"/>
      <c r="S85" s="920">
        <f>'[3]Table 1 Total'!S84</f>
        <v>0</v>
      </c>
      <c r="T85" s="914"/>
      <c r="U85" s="925">
        <f t="shared" si="20"/>
        <v>0</v>
      </c>
      <c r="V85" s="920"/>
      <c r="W85" s="920">
        <f>+S85+V85</f>
        <v>0</v>
      </c>
      <c r="X85" s="849"/>
      <c r="Y85" s="850"/>
      <c r="Z85" s="850"/>
      <c r="AA85" s="850"/>
      <c r="AB85" s="850"/>
      <c r="AC85" s="850"/>
    </row>
    <row r="86" spans="1:29">
      <c r="A86" s="589"/>
      <c r="B86" s="597"/>
      <c r="C86" s="607" t="s">
        <v>705</v>
      </c>
      <c r="D86" s="601"/>
      <c r="E86" s="590"/>
      <c r="F86" s="591"/>
      <c r="G86" s="605" t="s">
        <v>703</v>
      </c>
      <c r="H86" s="603"/>
      <c r="I86" s="604"/>
      <c r="J86" s="583"/>
      <c r="K86" s="934">
        <f>SUBTOTAL(9,K84:K85)</f>
        <v>85127</v>
      </c>
      <c r="L86" s="566"/>
      <c r="M86" s="934">
        <f>SUBTOTAL(9,M84:M85)</f>
        <v>85127</v>
      </c>
      <c r="N86" s="935"/>
      <c r="O86" s="934">
        <f>SUBTOTAL(9,O84:O85)</f>
        <v>0</v>
      </c>
      <c r="P86" s="935"/>
      <c r="Q86" s="931">
        <f>ROUND(S86/K86*100,2)</f>
        <v>0</v>
      </c>
      <c r="R86" s="935"/>
      <c r="S86" s="934">
        <f>SUBTOTAL(9,S84:S85)</f>
        <v>0</v>
      </c>
      <c r="T86" s="934">
        <f t="shared" ref="T86:W86" si="21">SUBTOTAL(9,T84:T85)</f>
        <v>0</v>
      </c>
      <c r="U86" s="934">
        <f t="shared" si="21"/>
        <v>0</v>
      </c>
      <c r="V86" s="934">
        <f t="shared" si="21"/>
        <v>0</v>
      </c>
      <c r="W86" s="934">
        <f t="shared" si="21"/>
        <v>0</v>
      </c>
      <c r="X86" s="849"/>
      <c r="Y86" s="850"/>
      <c r="Z86" s="878">
        <f>+S81+S86+S129*0.9124-S150</f>
        <v>5635890.2321000006</v>
      </c>
      <c r="AA86" s="850"/>
      <c r="AB86" s="850"/>
      <c r="AC86" s="850"/>
    </row>
    <row r="87" spans="1:29">
      <c r="A87" s="589"/>
      <c r="B87" s="597"/>
      <c r="C87" s="601"/>
      <c r="D87" s="601"/>
      <c r="E87" s="590"/>
      <c r="F87" s="591"/>
      <c r="G87" s="603"/>
      <c r="H87" s="603"/>
      <c r="I87" s="604"/>
      <c r="J87" s="583"/>
      <c r="K87" s="876"/>
      <c r="L87" s="873"/>
      <c r="M87" s="876"/>
      <c r="N87" s="874"/>
      <c r="O87" s="876"/>
      <c r="P87" s="874"/>
      <c r="Q87" s="877"/>
      <c r="R87" s="874"/>
      <c r="S87" s="876"/>
      <c r="T87" s="875"/>
      <c r="U87" s="848"/>
      <c r="V87" s="876"/>
      <c r="W87" s="876"/>
      <c r="X87" s="849"/>
      <c r="Y87" s="850"/>
      <c r="Z87" s="850"/>
      <c r="AA87" s="850"/>
      <c r="AB87" s="850"/>
      <c r="AC87" s="850"/>
    </row>
    <row r="88" spans="1:29">
      <c r="A88" s="589"/>
      <c r="B88" s="608">
        <v>391.1</v>
      </c>
      <c r="C88" s="601" t="s">
        <v>485</v>
      </c>
      <c r="D88" s="601"/>
      <c r="E88" s="590" t="s">
        <v>639</v>
      </c>
      <c r="F88" s="591"/>
      <c r="G88" s="592">
        <v>20</v>
      </c>
      <c r="H88" s="593" t="s">
        <v>640</v>
      </c>
      <c r="I88" s="542" t="s">
        <v>686</v>
      </c>
      <c r="J88" s="583"/>
      <c r="K88" s="920">
        <f>'[3]Table 1 Total'!K86</f>
        <v>9368117</v>
      </c>
      <c r="L88" s="921"/>
      <c r="M88" s="920">
        <f>'[3]Table 1 Total'!M86</f>
        <v>1891024</v>
      </c>
      <c r="N88" s="921"/>
      <c r="O88" s="920">
        <f>'[3]Table 1 Total'!O86</f>
        <v>7477093</v>
      </c>
      <c r="P88" s="921"/>
      <c r="Q88" s="920">
        <f>'[3]Table 1 Total'!Q86</f>
        <v>4.96</v>
      </c>
      <c r="R88" s="921"/>
      <c r="S88" s="920">
        <f>'[3]Table 1 Total'!S86</f>
        <v>464597</v>
      </c>
      <c r="T88" s="847"/>
      <c r="U88" s="925">
        <f t="shared" ref="U88:U102" si="22">IF(S88=0,0,ROUND(O88/S88,1))</f>
        <v>16.100000000000001</v>
      </c>
      <c r="V88" s="920">
        <f>'[3]Table 4 Total'!Z69</f>
        <v>0</v>
      </c>
      <c r="W88" s="920">
        <f>+S88+V88</f>
        <v>464597</v>
      </c>
      <c r="X88" s="996">
        <f>'[2]D-21'!$K$106</f>
        <v>21126</v>
      </c>
      <c r="Y88" s="85">
        <f>X88*1000</f>
        <v>21126000</v>
      </c>
      <c r="Z88" s="850"/>
      <c r="AA88" s="850"/>
      <c r="AB88" s="850"/>
      <c r="AC88" s="850"/>
    </row>
    <row r="89" spans="1:29">
      <c r="A89" s="589"/>
      <c r="B89" s="608">
        <v>391.2</v>
      </c>
      <c r="C89" s="601" t="s">
        <v>486</v>
      </c>
      <c r="D89" s="601"/>
      <c r="E89" s="590" t="s">
        <v>639</v>
      </c>
      <c r="F89" s="591"/>
      <c r="G89" s="592">
        <v>10</v>
      </c>
      <c r="H89" s="593" t="s">
        <v>640</v>
      </c>
      <c r="I89" s="542" t="s">
        <v>686</v>
      </c>
      <c r="J89" s="583"/>
      <c r="K89" s="920">
        <f>'[3]Table 1 Total'!K87</f>
        <v>381972</v>
      </c>
      <c r="L89" s="921"/>
      <c r="M89" s="920">
        <f>'[3]Table 1 Total'!M87</f>
        <v>150664</v>
      </c>
      <c r="N89" s="921"/>
      <c r="O89" s="920">
        <f>'[3]Table 1 Total'!O87</f>
        <v>231308</v>
      </c>
      <c r="P89" s="921"/>
      <c r="Q89" s="920">
        <f>'[3]Table 1 Total'!Q87</f>
        <v>9.2100000000000009</v>
      </c>
      <c r="R89" s="921"/>
      <c r="S89" s="920">
        <f>'[3]Table 1 Total'!S87</f>
        <v>35184</v>
      </c>
      <c r="T89" s="847"/>
      <c r="U89" s="925">
        <f t="shared" si="22"/>
        <v>6.6</v>
      </c>
      <c r="V89" s="920">
        <f>'[3]Table 4 Total'!Z70</f>
        <v>0</v>
      </c>
      <c r="W89" s="920">
        <f t="shared" ref="W89:W102" si="23">+S89+V89</f>
        <v>35184</v>
      </c>
      <c r="X89" s="996"/>
      <c r="Y89" s="402"/>
      <c r="Z89" s="850"/>
      <c r="AA89" s="850"/>
      <c r="AB89" s="850"/>
      <c r="AC89" s="850"/>
    </row>
    <row r="90" spans="1:29">
      <c r="A90" s="589"/>
      <c r="B90" s="608">
        <v>391.3</v>
      </c>
      <c r="C90" s="609" t="s">
        <v>706</v>
      </c>
      <c r="D90" s="601"/>
      <c r="E90" s="590" t="s">
        <v>639</v>
      </c>
      <c r="F90" s="591"/>
      <c r="G90" s="592">
        <v>5</v>
      </c>
      <c r="H90" s="593" t="s">
        <v>640</v>
      </c>
      <c r="I90" s="542" t="s">
        <v>686</v>
      </c>
      <c r="J90" s="583"/>
      <c r="K90" s="920">
        <f>'[3]Table 1 Total'!K88</f>
        <v>941444</v>
      </c>
      <c r="L90" s="921"/>
      <c r="M90" s="920">
        <f>'[3]Table 1 Total'!M88</f>
        <v>699201</v>
      </c>
      <c r="N90" s="921"/>
      <c r="O90" s="920">
        <f>'[3]Table 1 Total'!O88</f>
        <v>242243</v>
      </c>
      <c r="P90" s="921"/>
      <c r="Q90" s="920">
        <f>'[3]Table 1 Total'!Q88</f>
        <v>15.12</v>
      </c>
      <c r="R90" s="921"/>
      <c r="S90" s="920">
        <f>'[3]Table 1 Total'!S88</f>
        <v>142305</v>
      </c>
      <c r="T90" s="847"/>
      <c r="U90" s="925">
        <f t="shared" si="22"/>
        <v>1.7</v>
      </c>
      <c r="V90" s="920">
        <f>'[3]Table 4 Total'!Z71</f>
        <v>0</v>
      </c>
      <c r="W90" s="920">
        <f t="shared" si="23"/>
        <v>142305</v>
      </c>
      <c r="X90" s="996"/>
      <c r="Y90" s="402"/>
      <c r="Z90" s="850"/>
      <c r="AA90" s="850"/>
      <c r="AB90" s="850"/>
      <c r="AC90" s="850"/>
    </row>
    <row r="91" spans="1:29">
      <c r="A91" s="589"/>
      <c r="B91" s="588">
        <v>392.1</v>
      </c>
      <c r="C91" s="609" t="s">
        <v>708</v>
      </c>
      <c r="D91" s="589"/>
      <c r="E91" s="590" t="s">
        <v>639</v>
      </c>
      <c r="F91" s="591"/>
      <c r="G91" s="592">
        <v>8</v>
      </c>
      <c r="H91" s="593" t="s">
        <v>640</v>
      </c>
      <c r="I91" s="542" t="s">
        <v>709</v>
      </c>
      <c r="J91" s="583"/>
      <c r="K91" s="920">
        <f>'[3]Table 1 Total'!K89</f>
        <v>2794893</v>
      </c>
      <c r="L91" s="921"/>
      <c r="M91" s="920">
        <f>'[3]Table 1 Total'!M89</f>
        <v>791523</v>
      </c>
      <c r="N91" s="921"/>
      <c r="O91" s="920">
        <f>'[3]Table 1 Total'!O89</f>
        <v>2003370</v>
      </c>
      <c r="P91" s="921"/>
      <c r="Q91" s="920">
        <f>'[3]Table 1 Total'!Q89</f>
        <v>14.1</v>
      </c>
      <c r="R91" s="921"/>
      <c r="S91" s="920">
        <f>'[3]Table 1 Total'!S89</f>
        <v>394153</v>
      </c>
      <c r="T91" s="847"/>
      <c r="U91" s="925">
        <f t="shared" si="22"/>
        <v>5.0999999999999996</v>
      </c>
      <c r="V91" s="920">
        <f>'[3]Table 4 Total'!Z72</f>
        <v>0</v>
      </c>
      <c r="W91" s="920">
        <f t="shared" si="23"/>
        <v>394153</v>
      </c>
      <c r="X91" s="996">
        <f>'[2]D-21'!$K$107</f>
        <v>4741</v>
      </c>
      <c r="Y91" s="85">
        <f>X91*1000</f>
        <v>4741000</v>
      </c>
      <c r="Z91" s="850"/>
      <c r="AA91" s="850"/>
      <c r="AB91" s="850"/>
      <c r="AC91" s="850"/>
    </row>
    <row r="92" spans="1:29">
      <c r="A92" s="589"/>
      <c r="B92" s="588">
        <v>392.2</v>
      </c>
      <c r="C92" s="609" t="s">
        <v>710</v>
      </c>
      <c r="D92" s="589"/>
      <c r="E92" s="590" t="s">
        <v>639</v>
      </c>
      <c r="F92" s="591"/>
      <c r="G92" s="592">
        <v>10</v>
      </c>
      <c r="H92" s="593" t="s">
        <v>640</v>
      </c>
      <c r="I92" s="542" t="s">
        <v>709</v>
      </c>
      <c r="J92" s="583"/>
      <c r="K92" s="920">
        <f>'[3]Table 1 Total'!K90</f>
        <v>11471719</v>
      </c>
      <c r="L92" s="921"/>
      <c r="M92" s="920">
        <f>'[3]Table 1 Total'!M90</f>
        <v>3185999</v>
      </c>
      <c r="N92" s="921"/>
      <c r="O92" s="920">
        <f>'[3]Table 1 Total'!O90</f>
        <v>8285720</v>
      </c>
      <c r="P92" s="921"/>
      <c r="Q92" s="920">
        <f>'[3]Table 1 Total'!Q90</f>
        <v>11.35</v>
      </c>
      <c r="R92" s="921"/>
      <c r="S92" s="920">
        <f>'[3]Table 1 Total'!S90</f>
        <v>1301842</v>
      </c>
      <c r="T92" s="847"/>
      <c r="U92" s="925">
        <f t="shared" si="22"/>
        <v>6.4</v>
      </c>
      <c r="V92" s="920">
        <f>'[3]Table 4 Total'!Z73</f>
        <v>-804</v>
      </c>
      <c r="W92" s="920">
        <f t="shared" si="23"/>
        <v>1301038</v>
      </c>
      <c r="X92" s="849"/>
      <c r="Y92" s="850"/>
      <c r="Z92" s="850"/>
      <c r="AA92" s="850"/>
      <c r="AB92" s="850"/>
      <c r="AC92" s="850"/>
    </row>
    <row r="93" spans="1:29">
      <c r="A93" s="589"/>
      <c r="B93" s="588">
        <v>392.3</v>
      </c>
      <c r="C93" s="589" t="s">
        <v>711</v>
      </c>
      <c r="D93" s="589"/>
      <c r="E93" s="590" t="s">
        <v>639</v>
      </c>
      <c r="F93" s="591"/>
      <c r="G93" s="592">
        <v>12</v>
      </c>
      <c r="H93" s="593" t="s">
        <v>640</v>
      </c>
      <c r="I93" s="542" t="s">
        <v>712</v>
      </c>
      <c r="J93" s="583"/>
      <c r="K93" s="920">
        <f>'[3]Table 1 Total'!K91</f>
        <v>9927448</v>
      </c>
      <c r="L93" s="921"/>
      <c r="M93" s="920">
        <f>'[3]Table 1 Total'!M91</f>
        <v>1277563</v>
      </c>
      <c r="N93" s="921"/>
      <c r="O93" s="920">
        <f>'[3]Table 1 Total'!O91</f>
        <v>8649885</v>
      </c>
      <c r="P93" s="921"/>
      <c r="Q93" s="920">
        <f>'[3]Table 1 Total'!Q91</f>
        <v>9.49</v>
      </c>
      <c r="R93" s="921"/>
      <c r="S93" s="920">
        <f>'[3]Table 1 Total'!S91</f>
        <v>942535</v>
      </c>
      <c r="T93" s="847"/>
      <c r="U93" s="925">
        <f t="shared" si="22"/>
        <v>9.1999999999999993</v>
      </c>
      <c r="V93" s="920">
        <f>'[3]Table 4 Total'!Z74</f>
        <v>-10707</v>
      </c>
      <c r="W93" s="920">
        <f t="shared" si="23"/>
        <v>931828</v>
      </c>
      <c r="X93" s="849"/>
      <c r="Y93" s="850"/>
      <c r="Z93" s="850"/>
      <c r="AA93" s="850"/>
      <c r="AB93" s="850"/>
      <c r="AC93" s="850"/>
    </row>
    <row r="94" spans="1:29">
      <c r="A94" s="589"/>
      <c r="B94" s="588">
        <v>392.4</v>
      </c>
      <c r="C94" s="589" t="s">
        <v>713</v>
      </c>
      <c r="D94" s="589"/>
      <c r="E94" s="590" t="s">
        <v>639</v>
      </c>
      <c r="F94" s="591"/>
      <c r="G94" s="592">
        <v>12</v>
      </c>
      <c r="H94" s="593" t="s">
        <v>640</v>
      </c>
      <c r="I94" s="542" t="s">
        <v>712</v>
      </c>
      <c r="J94" s="583"/>
      <c r="K94" s="920">
        <f>'[3]Table 1 Total'!K92</f>
        <v>4738700</v>
      </c>
      <c r="L94" s="921"/>
      <c r="M94" s="920">
        <f>'[3]Table 1 Total'!M92</f>
        <v>1088599</v>
      </c>
      <c r="N94" s="921"/>
      <c r="O94" s="920">
        <f>'[3]Table 1 Total'!O92</f>
        <v>3650101</v>
      </c>
      <c r="P94" s="921"/>
      <c r="Q94" s="920">
        <f>'[3]Table 1 Total'!Q92</f>
        <v>9</v>
      </c>
      <c r="R94" s="921"/>
      <c r="S94" s="920">
        <f>'[3]Table 1 Total'!S92</f>
        <v>426717</v>
      </c>
      <c r="T94" s="847"/>
      <c r="U94" s="925">
        <f t="shared" si="22"/>
        <v>8.6</v>
      </c>
      <c r="V94" s="920">
        <f>'[3]Table 4 Total'!Z75</f>
        <v>-6261</v>
      </c>
      <c r="W94" s="920">
        <f t="shared" si="23"/>
        <v>420456</v>
      </c>
      <c r="X94" s="849"/>
      <c r="Y94" s="850"/>
      <c r="Z94" s="850"/>
      <c r="AA94" s="850"/>
      <c r="AB94" s="850"/>
      <c r="AC94" s="850"/>
    </row>
    <row r="95" spans="1:29">
      <c r="A95" s="589"/>
      <c r="B95" s="588">
        <v>392.5</v>
      </c>
      <c r="C95" s="589" t="s">
        <v>714</v>
      </c>
      <c r="D95" s="589"/>
      <c r="E95" s="590" t="s">
        <v>639</v>
      </c>
      <c r="F95" s="591"/>
      <c r="G95" s="592">
        <v>15</v>
      </c>
      <c r="H95" s="593" t="s">
        <v>640</v>
      </c>
      <c r="I95" s="542" t="s">
        <v>715</v>
      </c>
      <c r="J95" s="583"/>
      <c r="K95" s="920">
        <f>'[3]Table 1 Total'!K93</f>
        <v>1220000</v>
      </c>
      <c r="L95" s="921"/>
      <c r="M95" s="920">
        <f>'[3]Table 1 Total'!M93</f>
        <v>492049</v>
      </c>
      <c r="N95" s="921"/>
      <c r="O95" s="920">
        <f>'[3]Table 1 Total'!O93</f>
        <v>727951</v>
      </c>
      <c r="P95" s="921"/>
      <c r="Q95" s="920">
        <f>'[3]Table 1 Total'!Q93</f>
        <v>6.74</v>
      </c>
      <c r="R95" s="921"/>
      <c r="S95" s="920">
        <f>'[3]Table 1 Total'!S93</f>
        <v>82230</v>
      </c>
      <c r="T95" s="847"/>
      <c r="U95" s="925">
        <f t="shared" si="22"/>
        <v>8.9</v>
      </c>
      <c r="V95" s="920">
        <f>'[3]Table 4 Total'!Z76</f>
        <v>-3841</v>
      </c>
      <c r="W95" s="920">
        <f t="shared" si="23"/>
        <v>78389</v>
      </c>
      <c r="X95" s="849"/>
      <c r="Y95" s="850"/>
      <c r="Z95" s="850"/>
      <c r="AA95" s="850"/>
      <c r="AB95" s="850"/>
      <c r="AC95" s="850"/>
    </row>
    <row r="96" spans="1:29">
      <c r="A96" s="589"/>
      <c r="B96" s="754">
        <v>392.6</v>
      </c>
      <c r="C96" s="755" t="s">
        <v>764</v>
      </c>
      <c r="D96" s="589"/>
      <c r="E96" s="590"/>
      <c r="F96" s="591"/>
      <c r="G96" s="592"/>
      <c r="H96" s="593"/>
      <c r="I96" s="542"/>
      <c r="J96" s="583"/>
      <c r="K96" s="920">
        <f>'[3]Table 1 Total'!K94</f>
        <v>2311284</v>
      </c>
      <c r="L96" s="921"/>
      <c r="M96" s="920">
        <f>'[3]Table 1 Total'!M94</f>
        <v>1501131</v>
      </c>
      <c r="N96" s="921"/>
      <c r="O96" s="920">
        <f>'[3]Table 1 Total'!O94</f>
        <v>810153</v>
      </c>
      <c r="P96" s="921"/>
      <c r="Q96" s="920">
        <f>'[3]Table 1 Total'!Q94</f>
        <v>0</v>
      </c>
      <c r="R96" s="921"/>
      <c r="S96" s="920">
        <f>'[3]Table 1 Total'!S94</f>
        <v>1592799</v>
      </c>
      <c r="T96" s="847"/>
      <c r="U96" s="925"/>
      <c r="V96" s="920">
        <f>'[3]Table 4 Total'!Z77</f>
        <v>-548</v>
      </c>
      <c r="W96" s="920">
        <f t="shared" si="23"/>
        <v>1592251</v>
      </c>
      <c r="X96" s="996"/>
      <c r="Y96" s="402"/>
      <c r="Z96" s="864">
        <f>SUM(S91:S96)+S132*0.9124</f>
        <v>4740596.2523999996</v>
      </c>
      <c r="AA96" s="850"/>
      <c r="AB96" s="850"/>
      <c r="AC96" s="850"/>
    </row>
    <row r="97" spans="1:29">
      <c r="A97" s="589"/>
      <c r="B97" s="588">
        <v>393</v>
      </c>
      <c r="C97" s="589" t="s">
        <v>592</v>
      </c>
      <c r="D97" s="589"/>
      <c r="E97" s="590" t="s">
        <v>639</v>
      </c>
      <c r="F97" s="591"/>
      <c r="G97" s="592">
        <v>20</v>
      </c>
      <c r="H97" s="593" t="s">
        <v>640</v>
      </c>
      <c r="I97" s="542" t="s">
        <v>686</v>
      </c>
      <c r="J97" s="583"/>
      <c r="K97" s="920">
        <f>'[3]Table 1 Total'!K95</f>
        <v>17606</v>
      </c>
      <c r="L97" s="921"/>
      <c r="M97" s="920">
        <f>'[3]Table 1 Total'!M95</f>
        <v>5346</v>
      </c>
      <c r="N97" s="921"/>
      <c r="O97" s="920">
        <f>'[3]Table 1 Total'!O95</f>
        <v>12260</v>
      </c>
      <c r="P97" s="921"/>
      <c r="Q97" s="920">
        <f>'[3]Table 1 Total'!Q95</f>
        <v>5.03</v>
      </c>
      <c r="R97" s="921"/>
      <c r="S97" s="920">
        <f>'[3]Table 1 Total'!S95</f>
        <v>885</v>
      </c>
      <c r="T97" s="847"/>
      <c r="U97" s="925">
        <f t="shared" si="22"/>
        <v>13.9</v>
      </c>
      <c r="V97" s="920">
        <f>'[3]Table 4 Total'!Z78</f>
        <v>0</v>
      </c>
      <c r="W97" s="920">
        <f t="shared" si="23"/>
        <v>885</v>
      </c>
      <c r="X97" s="996">
        <f>'[2]D-21'!K108</f>
        <v>1</v>
      </c>
      <c r="Y97" s="85">
        <f t="shared" ref="Y97:Y102" si="24">X97*1000</f>
        <v>1000</v>
      </c>
      <c r="Z97" s="864">
        <f>+S97</f>
        <v>885</v>
      </c>
      <c r="AA97" s="850"/>
      <c r="AB97" s="850"/>
      <c r="AC97" s="850"/>
    </row>
    <row r="98" spans="1:29">
      <c r="A98" s="589"/>
      <c r="B98" s="588">
        <v>394</v>
      </c>
      <c r="C98" s="589" t="s">
        <v>488</v>
      </c>
      <c r="D98" s="589"/>
      <c r="E98" s="590" t="s">
        <v>639</v>
      </c>
      <c r="F98" s="591"/>
      <c r="G98" s="592">
        <v>20</v>
      </c>
      <c r="H98" s="593" t="s">
        <v>640</v>
      </c>
      <c r="I98" s="542" t="s">
        <v>686</v>
      </c>
      <c r="J98" s="583"/>
      <c r="K98" s="920">
        <f>'[3]Table 1 Total'!K96</f>
        <v>33238792</v>
      </c>
      <c r="L98" s="921"/>
      <c r="M98" s="920">
        <f>'[3]Table 1 Total'!M96</f>
        <v>11502644</v>
      </c>
      <c r="N98" s="921"/>
      <c r="O98" s="920">
        <f>'[3]Table 1 Total'!O96</f>
        <v>21736148</v>
      </c>
      <c r="P98" s="921"/>
      <c r="Q98" s="920">
        <f>'[3]Table 1 Total'!Q96</f>
        <v>5.4</v>
      </c>
      <c r="R98" s="921"/>
      <c r="S98" s="920">
        <f>'[3]Table 1 Total'!S96</f>
        <v>1793913</v>
      </c>
      <c r="T98" s="847"/>
      <c r="U98" s="925">
        <f t="shared" si="22"/>
        <v>12.1</v>
      </c>
      <c r="V98" s="920">
        <f>'[3]Table 4 Total'!Z79</f>
        <v>0</v>
      </c>
      <c r="W98" s="920">
        <f t="shared" si="23"/>
        <v>1793913</v>
      </c>
      <c r="X98" s="996">
        <f>'[2]D-21'!K109</f>
        <v>1795</v>
      </c>
      <c r="Y98" s="85">
        <f t="shared" si="24"/>
        <v>1795000</v>
      </c>
      <c r="Z98" s="864">
        <f t="shared" ref="Z98:Z102" si="25">+S98</f>
        <v>1793913</v>
      </c>
      <c r="AA98" s="850"/>
      <c r="AB98" s="850"/>
      <c r="AC98" s="850"/>
    </row>
    <row r="99" spans="1:29">
      <c r="A99" s="589"/>
      <c r="B99" s="588">
        <v>395</v>
      </c>
      <c r="C99" s="589" t="s">
        <v>716</v>
      </c>
      <c r="D99" s="589"/>
      <c r="E99" s="590" t="s">
        <v>639</v>
      </c>
      <c r="F99" s="591"/>
      <c r="G99" s="592">
        <v>20</v>
      </c>
      <c r="H99" s="593" t="s">
        <v>640</v>
      </c>
      <c r="I99" s="542" t="s">
        <v>686</v>
      </c>
      <c r="J99" s="583"/>
      <c r="K99" s="920">
        <f>'[3]Table 1 Total'!K97</f>
        <v>437779</v>
      </c>
      <c r="L99" s="921"/>
      <c r="M99" s="920">
        <f>'[3]Table 1 Total'!M97</f>
        <v>90041</v>
      </c>
      <c r="N99" s="921"/>
      <c r="O99" s="920">
        <f>'[3]Table 1 Total'!O97</f>
        <v>347738</v>
      </c>
      <c r="P99" s="921"/>
      <c r="Q99" s="920">
        <f>'[3]Table 1 Total'!Q97</f>
        <v>5.05</v>
      </c>
      <c r="R99" s="921"/>
      <c r="S99" s="920">
        <f>'[3]Table 1 Total'!S97</f>
        <v>22099</v>
      </c>
      <c r="T99" s="847"/>
      <c r="U99" s="925">
        <f t="shared" si="22"/>
        <v>15.7</v>
      </c>
      <c r="V99" s="920">
        <f>'[3]Table 4 Total'!Z80</f>
        <v>0</v>
      </c>
      <c r="W99" s="920">
        <f t="shared" si="23"/>
        <v>22099</v>
      </c>
      <c r="X99" s="996">
        <f>'[2]D-21'!K110</f>
        <v>22</v>
      </c>
      <c r="Y99" s="85">
        <f t="shared" si="24"/>
        <v>22000</v>
      </c>
      <c r="Z99" s="864">
        <f t="shared" si="25"/>
        <v>22099</v>
      </c>
      <c r="AA99" s="850"/>
      <c r="AB99" s="850"/>
      <c r="AC99" s="850"/>
    </row>
    <row r="100" spans="1:29">
      <c r="A100" s="589"/>
      <c r="B100" s="588">
        <v>396</v>
      </c>
      <c r="C100" s="589" t="s">
        <v>489</v>
      </c>
      <c r="D100" s="589"/>
      <c r="E100" s="590" t="s">
        <v>639</v>
      </c>
      <c r="F100" s="591"/>
      <c r="G100" s="592">
        <v>15</v>
      </c>
      <c r="H100" s="593" t="s">
        <v>640</v>
      </c>
      <c r="I100" s="542" t="s">
        <v>715</v>
      </c>
      <c r="J100" s="583"/>
      <c r="K100" s="920">
        <f>'[3]Table 1 Total'!K98</f>
        <v>6616454</v>
      </c>
      <c r="L100" s="921"/>
      <c r="M100" s="920">
        <f>'[3]Table 1 Total'!M98</f>
        <v>1607992</v>
      </c>
      <c r="N100" s="921"/>
      <c r="O100" s="920">
        <f>'[3]Table 1 Total'!O98</f>
        <v>5008462</v>
      </c>
      <c r="P100" s="921"/>
      <c r="Q100" s="920">
        <f>'[3]Table 1 Total'!Q98</f>
        <v>7.98</v>
      </c>
      <c r="R100" s="921"/>
      <c r="S100" s="920">
        <f>'[3]Table 1 Total'!S98</f>
        <v>527732</v>
      </c>
      <c r="T100" s="847"/>
      <c r="U100" s="925">
        <f t="shared" si="22"/>
        <v>9.5</v>
      </c>
      <c r="V100" s="920">
        <f>'[3]Table 4 Total'!Z81</f>
        <v>-533</v>
      </c>
      <c r="W100" s="920">
        <f t="shared" si="23"/>
        <v>527199</v>
      </c>
      <c r="X100" s="996">
        <f>'[2]D-21'!K111</f>
        <v>528</v>
      </c>
      <c r="Y100" s="85">
        <f t="shared" si="24"/>
        <v>528000</v>
      </c>
      <c r="Z100" s="864">
        <f t="shared" si="25"/>
        <v>527732</v>
      </c>
      <c r="AA100" s="850"/>
      <c r="AB100" s="850"/>
      <c r="AC100" s="850"/>
    </row>
    <row r="101" spans="1:29">
      <c r="A101" s="589"/>
      <c r="B101" s="588">
        <v>397</v>
      </c>
      <c r="C101" s="589" t="s">
        <v>490</v>
      </c>
      <c r="D101" s="589"/>
      <c r="E101" s="590" t="s">
        <v>639</v>
      </c>
      <c r="F101" s="591"/>
      <c r="G101" s="592">
        <v>10</v>
      </c>
      <c r="H101" s="593" t="s">
        <v>640</v>
      </c>
      <c r="I101" s="542" t="s">
        <v>686</v>
      </c>
      <c r="J101" s="583"/>
      <c r="K101" s="920">
        <f>'[3]Table 1 Total'!K99</f>
        <v>908753</v>
      </c>
      <c r="L101" s="921"/>
      <c r="M101" s="920">
        <f>'[3]Table 1 Total'!M99</f>
        <v>374065</v>
      </c>
      <c r="N101" s="921"/>
      <c r="O101" s="920">
        <f>'[3]Table 1 Total'!O99</f>
        <v>534688</v>
      </c>
      <c r="P101" s="921"/>
      <c r="Q101" s="920">
        <f>'[3]Table 1 Total'!Q99</f>
        <v>11.24</v>
      </c>
      <c r="R101" s="921"/>
      <c r="S101" s="920">
        <f>'[3]Table 1 Total'!S99</f>
        <v>102110</v>
      </c>
      <c r="T101" s="847"/>
      <c r="U101" s="925">
        <f t="shared" si="22"/>
        <v>5.2</v>
      </c>
      <c r="V101" s="920">
        <f>'[3]Table 4 Total'!Z82</f>
        <v>0</v>
      </c>
      <c r="W101" s="920">
        <f t="shared" si="23"/>
        <v>102110</v>
      </c>
      <c r="X101" s="996">
        <f>'[2]D-21'!K112</f>
        <v>102</v>
      </c>
      <c r="Y101" s="85">
        <f t="shared" si="24"/>
        <v>102000</v>
      </c>
      <c r="Z101" s="864">
        <f t="shared" si="25"/>
        <v>102110</v>
      </c>
      <c r="AA101" s="850"/>
      <c r="AB101" s="850"/>
      <c r="AC101" s="850"/>
    </row>
    <row r="102" spans="1:29">
      <c r="A102" s="589"/>
      <c r="B102" s="588">
        <v>398</v>
      </c>
      <c r="C102" s="589" t="s">
        <v>491</v>
      </c>
      <c r="D102" s="589"/>
      <c r="E102" s="590" t="s">
        <v>639</v>
      </c>
      <c r="F102" s="591"/>
      <c r="G102" s="592">
        <v>15</v>
      </c>
      <c r="H102" s="593" t="s">
        <v>640</v>
      </c>
      <c r="I102" s="542" t="s">
        <v>686</v>
      </c>
      <c r="J102" s="583"/>
      <c r="K102" s="920">
        <f>'[3]Table 1 Total'!K100</f>
        <v>9639006</v>
      </c>
      <c r="L102" s="921"/>
      <c r="M102" s="920">
        <f>'[3]Table 1 Total'!M100</f>
        <v>1813601</v>
      </c>
      <c r="N102" s="921"/>
      <c r="O102" s="920">
        <f>'[3]Table 1 Total'!O100</f>
        <v>7825405</v>
      </c>
      <c r="P102" s="921"/>
      <c r="Q102" s="920">
        <f>'[3]Table 1 Total'!Q100</f>
        <v>6.54</v>
      </c>
      <c r="R102" s="921"/>
      <c r="S102" s="920">
        <f>'[3]Table 1 Total'!S100</f>
        <v>630032</v>
      </c>
      <c r="T102" s="847"/>
      <c r="U102" s="925">
        <f t="shared" si="22"/>
        <v>12.4</v>
      </c>
      <c r="V102" s="920">
        <f>'[3]Table 4 Total'!Z83</f>
        <v>5965</v>
      </c>
      <c r="W102" s="920">
        <f t="shared" si="23"/>
        <v>635997</v>
      </c>
      <c r="X102" s="996">
        <f>'[2]D-21'!K113</f>
        <v>630</v>
      </c>
      <c r="Y102" s="85">
        <f t="shared" si="24"/>
        <v>630000</v>
      </c>
      <c r="Z102" s="864">
        <f t="shared" si="25"/>
        <v>630032</v>
      </c>
      <c r="AA102" s="850"/>
      <c r="AB102" s="850"/>
      <c r="AC102" s="850"/>
    </row>
    <row r="103" spans="1:29">
      <c r="B103" s="548" t="s">
        <v>492</v>
      </c>
      <c r="C103" s="589"/>
      <c r="D103" s="589"/>
      <c r="E103" s="576"/>
      <c r="F103" s="595"/>
      <c r="G103" s="542"/>
      <c r="H103" s="542"/>
      <c r="I103" s="542"/>
      <c r="J103" s="583"/>
      <c r="K103" s="922">
        <f>SUBTOTAL(9,K67:K102)</f>
        <v>213069762.00999999</v>
      </c>
      <c r="L103" s="402"/>
      <c r="M103" s="922">
        <f>SUBTOTAL(9,M67:M102)</f>
        <v>65891182</v>
      </c>
      <c r="N103" s="926"/>
      <c r="O103" s="922">
        <f>SUBTOTAL(9,O67:O102)</f>
        <v>147178580</v>
      </c>
      <c r="P103" s="926"/>
      <c r="Q103" s="924">
        <f>ROUND(S103/K103*100,2)</f>
        <v>6.25</v>
      </c>
      <c r="R103" s="926"/>
      <c r="S103" s="922">
        <f>SUBTOTAL(9,S67:S102)</f>
        <v>13309565</v>
      </c>
      <c r="T103" s="851"/>
      <c r="U103" s="879">
        <f>SUBTOTAL(9,U67:U102)</f>
        <v>398.69999999999993</v>
      </c>
      <c r="V103" s="922">
        <f>SUBTOTAL(9,V67:V102)</f>
        <v>50591</v>
      </c>
      <c r="W103" s="922">
        <f>SUBTOTAL(9,W67:W102)</f>
        <v>13360156</v>
      </c>
      <c r="X103" s="999">
        <f>SUM(X66:X102)</f>
        <v>34498</v>
      </c>
      <c r="Y103" s="999">
        <f>SUM(Y66:Y102)</f>
        <v>34498000</v>
      </c>
      <c r="Z103" s="880">
        <f>SUM(Z66:Z102)</f>
        <v>13453257.4845</v>
      </c>
      <c r="AA103" s="850"/>
      <c r="AB103" s="850"/>
      <c r="AC103" s="850"/>
    </row>
    <row r="104" spans="1:29">
      <c r="A104" s="589"/>
      <c r="B104" s="589"/>
      <c r="C104" s="589"/>
      <c r="D104" s="589"/>
      <c r="E104" s="576"/>
      <c r="F104" s="595"/>
      <c r="G104" s="542"/>
      <c r="H104" s="542"/>
      <c r="I104" s="542"/>
      <c r="J104" s="583"/>
      <c r="K104" s="938"/>
      <c r="L104" s="939"/>
      <c r="M104" s="938"/>
      <c r="N104" s="940"/>
      <c r="O104" s="938"/>
      <c r="P104" s="940"/>
      <c r="Q104" s="941"/>
      <c r="R104" s="940"/>
      <c r="S104" s="938"/>
      <c r="T104" s="882"/>
      <c r="U104" s="867"/>
      <c r="V104" s="881"/>
      <c r="W104" s="881"/>
      <c r="X104" s="402"/>
      <c r="Y104" s="402"/>
      <c r="Z104" s="850"/>
      <c r="AA104" s="850"/>
      <c r="AB104" s="850"/>
      <c r="AC104" s="850"/>
    </row>
    <row r="105" spans="1:29" ht="15.75" thickBot="1">
      <c r="B105" s="531" t="s">
        <v>493</v>
      </c>
      <c r="C105" s="612"/>
      <c r="D105" s="612"/>
      <c r="E105" s="576"/>
      <c r="F105" s="595"/>
      <c r="G105" s="542"/>
      <c r="H105" s="542"/>
      <c r="I105" s="542"/>
      <c r="J105" s="542"/>
      <c r="K105" s="942">
        <f>SUBTOTAL(9,K14:K104)</f>
        <v>4038846466.0099998</v>
      </c>
      <c r="L105" s="402"/>
      <c r="M105" s="942">
        <f>SUBTOTAL(9,M14:M104)</f>
        <v>1101160466</v>
      </c>
      <c r="N105" s="926"/>
      <c r="O105" s="942">
        <f>SUBTOTAL(9,O14:O104)</f>
        <v>2937686000</v>
      </c>
      <c r="P105" s="926"/>
      <c r="Q105" s="924">
        <f>ROUND(S105/K105*100,2)</f>
        <v>2.2400000000000002</v>
      </c>
      <c r="R105" s="926"/>
      <c r="S105" s="942">
        <f>SUBTOTAL(9,S14:S104)</f>
        <v>90638742</v>
      </c>
      <c r="T105" s="883"/>
      <c r="U105" s="942">
        <f>SUBTOTAL(9,U14:U104)</f>
        <v>1122.5000000000005</v>
      </c>
      <c r="V105" s="942">
        <f>SUBTOTAL(9,V14:V104)</f>
        <v>7851440</v>
      </c>
      <c r="W105" s="942">
        <f>SUBTOTAL(9,W14:W104)</f>
        <v>98490182</v>
      </c>
      <c r="X105" s="942">
        <f>X103+X63+X39+X29+X25</f>
        <v>111826</v>
      </c>
      <c r="Y105" s="942">
        <f>Y103+Y63+Y39+Y29+Y25</f>
        <v>111826000</v>
      </c>
      <c r="Z105" s="850"/>
      <c r="AA105" s="850"/>
      <c r="AB105" s="850"/>
      <c r="AC105" s="850"/>
    </row>
    <row r="106" spans="1:29" ht="15.75" thickTop="1">
      <c r="O106" s="578">
        <f>+O103+K118+K119</f>
        <v>150453721</v>
      </c>
    </row>
    <row r="107" spans="1:29">
      <c r="B107" s="531" t="s">
        <v>494</v>
      </c>
      <c r="E107" s="542"/>
      <c r="F107" s="595"/>
      <c r="G107" s="542"/>
      <c r="H107" s="542"/>
      <c r="I107" s="542"/>
      <c r="K107" s="850"/>
      <c r="L107" s="850"/>
      <c r="M107" s="288"/>
      <c r="N107" s="852"/>
      <c r="O107" s="288"/>
      <c r="P107" s="852"/>
      <c r="Q107" s="866"/>
      <c r="R107" s="852"/>
      <c r="S107" s="852"/>
      <c r="T107" s="850"/>
      <c r="U107" s="867"/>
      <c r="V107" s="852"/>
      <c r="W107" s="852"/>
      <c r="X107" s="85">
        <f>-X91-X98-X100-X101</f>
        <v>-7166</v>
      </c>
      <c r="Y107" s="85">
        <f>-Y91-Y98-Y100-Y101</f>
        <v>-7166000</v>
      </c>
      <c r="Z107" s="850"/>
      <c r="AA107" s="850"/>
      <c r="AB107" s="850"/>
      <c r="AC107" s="850"/>
    </row>
    <row r="108" spans="1:29">
      <c r="B108" s="610">
        <v>301</v>
      </c>
      <c r="C108" s="583" t="s">
        <v>593</v>
      </c>
      <c r="E108" s="542"/>
      <c r="F108" s="595"/>
      <c r="G108" s="542"/>
      <c r="H108" s="542"/>
      <c r="I108" s="542"/>
      <c r="K108" s="845">
        <f>'[3]Table 1 Total'!K106</f>
        <v>166477</v>
      </c>
      <c r="L108" s="846"/>
      <c r="M108" s="920">
        <f>'[3]Table 1 Total'!M106</f>
        <v>0</v>
      </c>
      <c r="N108" s="921"/>
      <c r="O108" s="920">
        <f>'[3]Table 1 Total'!O106</f>
        <v>0</v>
      </c>
      <c r="P108" s="921"/>
      <c r="Q108" s="920">
        <f>'[3]Table 1 Total'!Q106</f>
        <v>0</v>
      </c>
      <c r="R108" s="921"/>
      <c r="S108" s="920">
        <f>'[3]Table 1 Total'!S106</f>
        <v>0</v>
      </c>
      <c r="T108" s="850"/>
      <c r="U108" s="867"/>
      <c r="V108" s="920">
        <f>+V103+V63+V39+V29+V25</f>
        <v>7851440</v>
      </c>
      <c r="W108" s="845"/>
      <c r="X108" s="402"/>
      <c r="Y108" s="402"/>
      <c r="Z108" s="850"/>
      <c r="AA108" s="850"/>
      <c r="AB108" s="850"/>
      <c r="AC108" s="850"/>
    </row>
    <row r="109" spans="1:29">
      <c r="B109" s="610">
        <v>302</v>
      </c>
      <c r="C109" s="583" t="s">
        <v>717</v>
      </c>
      <c r="E109" s="542"/>
      <c r="F109" s="595"/>
      <c r="G109" s="542"/>
      <c r="H109" s="542"/>
      <c r="I109" s="542"/>
      <c r="K109" s="845">
        <f>'[3]Table 1 Total'!K107</f>
        <v>193597</v>
      </c>
      <c r="L109" s="846"/>
      <c r="M109" s="920">
        <f>'[3]Table 1 Total'!M107</f>
        <v>0</v>
      </c>
      <c r="N109" s="921"/>
      <c r="O109" s="920">
        <f>'[3]Table 1 Total'!O107</f>
        <v>0</v>
      </c>
      <c r="P109" s="921"/>
      <c r="Q109" s="920">
        <f>'[3]Table 1 Total'!Q107</f>
        <v>0</v>
      </c>
      <c r="R109" s="921"/>
      <c r="S109" s="920">
        <f>'[3]Table 1 Total'!S107</f>
        <v>0</v>
      </c>
      <c r="T109" s="850"/>
      <c r="U109" s="867"/>
      <c r="V109" s="845"/>
      <c r="W109" s="845"/>
      <c r="X109" s="996">
        <f>'[2]D-21'!$K$124</f>
        <v>7851</v>
      </c>
      <c r="Y109" s="996">
        <f>X109*1000</f>
        <v>7851000</v>
      </c>
      <c r="Z109" s="872"/>
      <c r="AA109" s="850"/>
      <c r="AB109" s="850"/>
      <c r="AC109" s="850"/>
    </row>
    <row r="110" spans="1:29">
      <c r="B110" s="610">
        <v>303</v>
      </c>
      <c r="C110" s="583" t="s">
        <v>718</v>
      </c>
      <c r="E110" s="542"/>
      <c r="F110" s="595"/>
      <c r="G110" s="542"/>
      <c r="H110" s="542"/>
      <c r="I110" s="542"/>
      <c r="K110" s="845">
        <f>'[3]Table 1 Total'!K108</f>
        <v>289868</v>
      </c>
      <c r="L110" s="846"/>
      <c r="M110" s="920">
        <f>'[3]Table 1 Total'!M108</f>
        <v>0</v>
      </c>
      <c r="N110" s="921"/>
      <c r="O110" s="920">
        <f>'[3]Table 1 Total'!O108</f>
        <v>0</v>
      </c>
      <c r="P110" s="921"/>
      <c r="Q110" s="920">
        <f>'[3]Table 1 Total'!Q108</f>
        <v>0</v>
      </c>
      <c r="R110" s="921"/>
      <c r="S110" s="920">
        <f>'[3]Table 1 Total'!S108</f>
        <v>0</v>
      </c>
      <c r="T110" s="850"/>
      <c r="U110" s="867"/>
      <c r="V110" s="845"/>
      <c r="W110" s="845"/>
      <c r="X110" s="850"/>
      <c r="Y110" s="850"/>
      <c r="Z110" s="850"/>
      <c r="AA110" s="850"/>
      <c r="AB110" s="850"/>
      <c r="AC110" s="850"/>
    </row>
    <row r="111" spans="1:29">
      <c r="B111" s="610">
        <v>304.10000000000002</v>
      </c>
      <c r="C111" s="583" t="s">
        <v>719</v>
      </c>
      <c r="E111" s="542"/>
      <c r="F111" s="595"/>
      <c r="G111" s="542"/>
      <c r="H111" s="542"/>
      <c r="I111" s="542"/>
      <c r="K111" s="845">
        <f>'[3]Table 1 Total'!K109</f>
        <v>375198</v>
      </c>
      <c r="L111" s="846"/>
      <c r="M111" s="920">
        <f>'[3]Table 1 Total'!M109</f>
        <v>0</v>
      </c>
      <c r="N111" s="921"/>
      <c r="O111" s="920">
        <f>'[3]Table 1 Total'!O109</f>
        <v>0</v>
      </c>
      <c r="P111" s="921"/>
      <c r="Q111" s="920">
        <f>'[3]Table 1 Total'!Q109</f>
        <v>0</v>
      </c>
      <c r="R111" s="921"/>
      <c r="S111" s="920">
        <f>'[3]Table 1 Total'!S109</f>
        <v>0</v>
      </c>
      <c r="T111" s="850"/>
      <c r="U111" s="867"/>
      <c r="V111" s="845"/>
      <c r="W111" s="845"/>
      <c r="X111" s="850"/>
      <c r="Y111" s="85">
        <f>Y109+Y107+Y105</f>
        <v>112511000</v>
      </c>
      <c r="Z111" s="850"/>
      <c r="AA111" s="850"/>
      <c r="AB111" s="850"/>
      <c r="AC111" s="850"/>
    </row>
    <row r="112" spans="1:29">
      <c r="B112" s="610">
        <v>304.2</v>
      </c>
      <c r="C112" s="583" t="s">
        <v>720</v>
      </c>
      <c r="E112" s="542"/>
      <c r="F112" s="595"/>
      <c r="G112" s="542"/>
      <c r="H112" s="542"/>
      <c r="I112" s="542"/>
      <c r="K112" s="845">
        <f>'[3]Table 1 Total'!K110</f>
        <v>6454</v>
      </c>
      <c r="L112" s="846"/>
      <c r="M112" s="920">
        <f>'[3]Table 1 Total'!M110</f>
        <v>0</v>
      </c>
      <c r="N112" s="921"/>
      <c r="O112" s="920">
        <f>'[3]Table 1 Total'!O110</f>
        <v>0</v>
      </c>
      <c r="P112" s="921"/>
      <c r="Q112" s="920">
        <f>'[3]Table 1 Total'!Q110</f>
        <v>0</v>
      </c>
      <c r="R112" s="921"/>
      <c r="S112" s="920">
        <f>'[3]Table 1 Total'!S110</f>
        <v>0</v>
      </c>
      <c r="T112" s="850"/>
      <c r="U112" s="867"/>
      <c r="V112" s="845"/>
      <c r="W112" s="845"/>
      <c r="X112" s="850"/>
      <c r="Y112" s="850"/>
      <c r="Z112" s="850"/>
      <c r="AA112" s="850"/>
      <c r="AB112" s="850"/>
      <c r="AC112" s="850"/>
    </row>
    <row r="113" spans="1:29">
      <c r="B113" s="610">
        <v>325.10000000000002</v>
      </c>
      <c r="C113" s="583" t="s">
        <v>721</v>
      </c>
      <c r="E113" s="542"/>
      <c r="F113" s="595"/>
      <c r="G113" s="542"/>
      <c r="H113" s="542"/>
      <c r="I113" s="542"/>
      <c r="K113" s="845">
        <f>'[3]Table 1 Total'!K111</f>
        <v>13029</v>
      </c>
      <c r="L113" s="846"/>
      <c r="M113" s="920">
        <f>'[3]Table 1 Total'!M111</f>
        <v>0</v>
      </c>
      <c r="N113" s="921"/>
      <c r="O113" s="920">
        <f>'[3]Table 1 Total'!O111</f>
        <v>0</v>
      </c>
      <c r="P113" s="921"/>
      <c r="Q113" s="920">
        <f>'[3]Table 1 Total'!Q111</f>
        <v>0</v>
      </c>
      <c r="R113" s="921"/>
      <c r="S113" s="920">
        <f>'[3]Table 1 Total'!S111</f>
        <v>0</v>
      </c>
      <c r="T113" s="850"/>
      <c r="U113" s="867"/>
      <c r="V113" s="845"/>
      <c r="W113" s="845"/>
      <c r="X113" s="850"/>
      <c r="Y113" s="850"/>
      <c r="Z113" s="850"/>
      <c r="AA113" s="850"/>
      <c r="AB113" s="850"/>
      <c r="AC113" s="850"/>
    </row>
    <row r="114" spans="1:29">
      <c r="B114" s="610">
        <v>325.5</v>
      </c>
      <c r="C114" s="583" t="s">
        <v>722</v>
      </c>
      <c r="E114" s="542"/>
      <c r="F114" s="595"/>
      <c r="G114" s="542"/>
      <c r="H114" s="542"/>
      <c r="I114" s="542"/>
      <c r="K114" s="845">
        <f>'[3]Table 1 Total'!K112</f>
        <v>1134</v>
      </c>
      <c r="L114" s="846"/>
      <c r="M114" s="920">
        <f>'[3]Table 1 Total'!M112</f>
        <v>0</v>
      </c>
      <c r="N114" s="921"/>
      <c r="O114" s="920">
        <f>'[3]Table 1 Total'!O112</f>
        <v>0</v>
      </c>
      <c r="P114" s="921"/>
      <c r="Q114" s="920">
        <f>'[3]Table 1 Total'!Q112</f>
        <v>0</v>
      </c>
      <c r="R114" s="921"/>
      <c r="S114" s="920">
        <f>'[3]Table 1 Total'!S112</f>
        <v>0</v>
      </c>
      <c r="T114" s="850"/>
      <c r="U114" s="867"/>
      <c r="V114" s="845"/>
      <c r="W114" s="845"/>
      <c r="X114" s="850"/>
      <c r="Y114" s="850"/>
      <c r="Z114" s="850"/>
      <c r="AA114" s="850"/>
      <c r="AB114" s="850"/>
      <c r="AC114" s="850"/>
    </row>
    <row r="115" spans="1:29">
      <c r="B115" s="610">
        <v>365.1</v>
      </c>
      <c r="C115" s="583" t="s">
        <v>594</v>
      </c>
      <c r="E115" s="542"/>
      <c r="F115" s="595"/>
      <c r="G115" s="542"/>
      <c r="H115" s="542"/>
      <c r="I115" s="542"/>
      <c r="K115" s="845">
        <f>'[3]Table 1 Total'!K113</f>
        <v>47323</v>
      </c>
      <c r="L115" s="846"/>
      <c r="M115" s="920">
        <f>'[3]Table 1 Total'!M113</f>
        <v>0</v>
      </c>
      <c r="N115" s="921"/>
      <c r="O115" s="920">
        <f>'[3]Table 1 Total'!O113</f>
        <v>0</v>
      </c>
      <c r="P115" s="921"/>
      <c r="Q115" s="920">
        <f>'[3]Table 1 Total'!Q113</f>
        <v>0</v>
      </c>
      <c r="R115" s="921"/>
      <c r="S115" s="920">
        <f>'[3]Table 1 Total'!S113</f>
        <v>0</v>
      </c>
      <c r="T115" s="850"/>
      <c r="U115" s="867"/>
      <c r="V115" s="845"/>
      <c r="W115" s="845"/>
      <c r="X115" s="850"/>
      <c r="Y115" s="850"/>
      <c r="Z115" s="850"/>
      <c r="AA115" s="850"/>
      <c r="AB115" s="850"/>
      <c r="AC115" s="850"/>
    </row>
    <row r="116" spans="1:29">
      <c r="B116" s="613">
        <v>374.1</v>
      </c>
      <c r="C116" s="583" t="s">
        <v>719</v>
      </c>
      <c r="E116" s="542"/>
      <c r="F116" s="595"/>
      <c r="G116" s="542"/>
      <c r="H116" s="542"/>
      <c r="I116" s="542"/>
      <c r="K116" s="845">
        <f>'[3]Table 1 Total'!K114</f>
        <v>849347</v>
      </c>
      <c r="L116" s="846"/>
      <c r="M116" s="920">
        <f>'[3]Table 1 Total'!M114</f>
        <v>0</v>
      </c>
      <c r="N116" s="921"/>
      <c r="O116" s="920">
        <f>'[3]Table 1 Total'!O114</f>
        <v>0</v>
      </c>
      <c r="P116" s="921"/>
      <c r="Q116" s="920">
        <f>'[3]Table 1 Total'!Q114</f>
        <v>0</v>
      </c>
      <c r="R116" s="921"/>
      <c r="S116" s="920">
        <f>'[3]Table 1 Total'!S114</f>
        <v>0</v>
      </c>
      <c r="T116" s="850"/>
      <c r="U116" s="867"/>
      <c r="V116" s="845"/>
      <c r="W116" s="845"/>
      <c r="X116" s="850"/>
      <c r="Y116" s="850"/>
      <c r="Z116" s="850"/>
      <c r="AA116" s="850"/>
      <c r="AB116" s="850"/>
      <c r="AC116" s="850"/>
    </row>
    <row r="117" spans="1:29">
      <c r="B117" s="613">
        <v>374.2</v>
      </c>
      <c r="C117" s="583" t="s">
        <v>720</v>
      </c>
      <c r="E117" s="542"/>
      <c r="F117" s="595"/>
      <c r="G117" s="542"/>
      <c r="H117" s="542"/>
      <c r="I117" s="542"/>
      <c r="K117" s="845">
        <f>'[3]Table 1 Total'!K115</f>
        <v>7094605</v>
      </c>
      <c r="L117" s="846"/>
      <c r="M117" s="920">
        <f>'[3]Table 1 Total'!M115</f>
        <v>0</v>
      </c>
      <c r="N117" s="921"/>
      <c r="O117" s="920">
        <f>'[3]Table 1 Total'!O115</f>
        <v>0</v>
      </c>
      <c r="P117" s="921"/>
      <c r="Q117" s="920">
        <f>'[3]Table 1 Total'!Q115</f>
        <v>0</v>
      </c>
      <c r="R117" s="921"/>
      <c r="S117" s="920">
        <f>'[3]Table 1 Total'!S115</f>
        <v>0</v>
      </c>
      <c r="T117" s="850"/>
      <c r="U117" s="867"/>
      <c r="V117" s="845"/>
      <c r="W117" s="845"/>
      <c r="X117" s="850"/>
      <c r="Y117" s="850"/>
      <c r="Z117" s="850"/>
      <c r="AA117" s="850"/>
      <c r="AB117" s="850"/>
      <c r="AC117" s="850"/>
    </row>
    <row r="118" spans="1:29">
      <c r="B118" s="610">
        <v>389.1</v>
      </c>
      <c r="C118" s="583" t="s">
        <v>719</v>
      </c>
      <c r="E118" s="542"/>
      <c r="F118" s="595"/>
      <c r="G118" s="542"/>
      <c r="H118" s="542"/>
      <c r="I118" s="542"/>
      <c r="K118" s="845">
        <f>'[3]Table 1 Total'!K116</f>
        <v>3273828</v>
      </c>
      <c r="L118" s="846"/>
      <c r="M118" s="920">
        <f>'[3]Table 1 Total'!M116</f>
        <v>0</v>
      </c>
      <c r="N118" s="921"/>
      <c r="O118" s="920">
        <f>'[3]Table 1 Total'!O116</f>
        <v>0</v>
      </c>
      <c r="P118" s="921"/>
      <c r="Q118" s="920">
        <f>'[3]Table 1 Total'!Q116</f>
        <v>0</v>
      </c>
      <c r="R118" s="921"/>
      <c r="S118" s="920">
        <f>'[3]Table 1 Total'!S116</f>
        <v>0</v>
      </c>
      <c r="T118" s="850"/>
      <c r="U118" s="867"/>
      <c r="V118" s="845"/>
      <c r="W118" s="845"/>
      <c r="X118" s="850"/>
      <c r="Y118" s="850"/>
      <c r="Z118" s="850"/>
      <c r="AA118" s="850"/>
      <c r="AB118" s="850"/>
      <c r="AC118" s="850"/>
    </row>
    <row r="119" spans="1:29">
      <c r="B119" s="610">
        <v>389.2</v>
      </c>
      <c r="C119" s="583" t="s">
        <v>720</v>
      </c>
      <c r="E119" s="542"/>
      <c r="F119" s="595"/>
      <c r="G119" s="542"/>
      <c r="H119" s="542"/>
      <c r="I119" s="542"/>
      <c r="K119" s="845">
        <f>'[3]Table 1 Total'!K117</f>
        <v>1313</v>
      </c>
      <c r="L119" s="846"/>
      <c r="M119" s="920">
        <f>'[3]Table 1 Total'!M117</f>
        <v>0</v>
      </c>
      <c r="N119" s="921"/>
      <c r="O119" s="920">
        <f>'[3]Table 1 Total'!O117</f>
        <v>0</v>
      </c>
      <c r="P119" s="921"/>
      <c r="Q119" s="920">
        <f>'[3]Table 1 Total'!Q117</f>
        <v>0</v>
      </c>
      <c r="R119" s="921"/>
      <c r="S119" s="920">
        <f>'[3]Table 1 Total'!S117</f>
        <v>0</v>
      </c>
      <c r="T119" s="850"/>
      <c r="U119" s="867"/>
      <c r="V119" s="845"/>
      <c r="W119" s="845"/>
      <c r="X119" s="850"/>
      <c r="Y119" s="850"/>
      <c r="Z119" s="850"/>
      <c r="AA119" s="850"/>
      <c r="AB119" s="850"/>
      <c r="AC119" s="850"/>
    </row>
    <row r="120" spans="1:29">
      <c r="B120" s="531" t="s">
        <v>495</v>
      </c>
      <c r="E120" s="542"/>
      <c r="F120" s="595"/>
      <c r="G120" s="542"/>
      <c r="H120" s="542"/>
      <c r="I120" s="542"/>
      <c r="K120" s="922">
        <f>SUBTOTAL(9,K108:K119)</f>
        <v>12312173</v>
      </c>
      <c r="L120" s="850"/>
      <c r="M120" s="288"/>
      <c r="N120" s="852"/>
      <c r="O120" s="288"/>
      <c r="P120" s="852"/>
      <c r="Q120" s="866"/>
      <c r="R120" s="852"/>
      <c r="S120" s="852"/>
      <c r="T120" s="850"/>
      <c r="U120" s="867"/>
      <c r="V120" s="852"/>
      <c r="W120" s="852"/>
      <c r="X120" s="850"/>
      <c r="Y120" s="850"/>
      <c r="Z120" s="850"/>
      <c r="AA120" s="850"/>
      <c r="AB120" s="850"/>
      <c r="AC120" s="850"/>
    </row>
    <row r="121" spans="1:29">
      <c r="A121" s="531"/>
      <c r="E121" s="542"/>
      <c r="F121" s="595"/>
      <c r="G121" s="542"/>
      <c r="H121" s="542"/>
      <c r="I121" s="542"/>
      <c r="K121" s="943"/>
      <c r="L121" s="850"/>
      <c r="M121" s="288"/>
      <c r="N121" s="852"/>
      <c r="O121" s="288"/>
      <c r="P121" s="852"/>
      <c r="Q121" s="866"/>
      <c r="R121" s="852"/>
      <c r="S121" s="852"/>
      <c r="T121" s="850"/>
      <c r="U121" s="867"/>
      <c r="V121" s="852"/>
      <c r="W121" s="852"/>
      <c r="X121" s="850"/>
      <c r="Y121" s="850"/>
      <c r="Z121" s="850"/>
      <c r="AA121" s="850"/>
      <c r="AB121" s="850"/>
      <c r="AC121" s="850"/>
    </row>
    <row r="122" spans="1:29" ht="15.75" thickBot="1">
      <c r="A122" s="531" t="s">
        <v>496</v>
      </c>
      <c r="E122" s="542"/>
      <c r="F122" s="595"/>
      <c r="G122" s="542"/>
      <c r="H122" s="542"/>
      <c r="I122" s="542"/>
      <c r="K122" s="942">
        <f>SUBTOTAL(9,K14:K121)</f>
        <v>4051158639.0099998</v>
      </c>
      <c r="L122" s="850"/>
      <c r="M122" s="288"/>
      <c r="N122" s="852"/>
      <c r="O122" s="288"/>
      <c r="P122" s="852"/>
      <c r="Q122" s="866"/>
      <c r="R122" s="852"/>
      <c r="S122" s="852"/>
      <c r="T122" s="850"/>
      <c r="U122" s="867"/>
      <c r="V122" s="852"/>
      <c r="W122" s="852"/>
      <c r="X122" s="850"/>
      <c r="Y122" s="850"/>
      <c r="Z122" s="850"/>
      <c r="AA122" s="850"/>
      <c r="AB122" s="850"/>
      <c r="AC122" s="850"/>
    </row>
    <row r="123" spans="1:29" ht="15.75" thickTop="1">
      <c r="A123" s="531"/>
      <c r="E123" s="542"/>
      <c r="F123" s="595"/>
      <c r="G123" s="542"/>
      <c r="H123" s="542"/>
      <c r="I123" s="542"/>
      <c r="K123" s="887"/>
      <c r="L123" s="850"/>
      <c r="M123" s="288"/>
      <c r="N123" s="852"/>
      <c r="O123" s="288"/>
      <c r="P123" s="852"/>
      <c r="Q123" s="866"/>
      <c r="R123" s="852"/>
      <c r="S123" s="852"/>
      <c r="T123" s="850"/>
      <c r="U123" s="860"/>
      <c r="V123" s="852"/>
      <c r="W123" s="852"/>
      <c r="X123" s="850"/>
      <c r="Y123" s="850"/>
      <c r="Z123" s="850"/>
      <c r="AA123" s="850"/>
      <c r="AB123" s="850"/>
      <c r="AC123" s="850"/>
    </row>
    <row r="124" spans="1:29">
      <c r="A124" s="614" t="s">
        <v>723</v>
      </c>
      <c r="B124" s="610"/>
      <c r="C124" s="612"/>
      <c r="D124" s="612"/>
      <c r="E124" s="542"/>
      <c r="F124" s="615"/>
      <c r="G124" s="613"/>
      <c r="H124" s="613"/>
      <c r="I124" s="542"/>
      <c r="J124" s="542"/>
      <c r="K124" s="282"/>
      <c r="L124" s="888"/>
      <c r="M124" s="740"/>
      <c r="N124" s="740"/>
      <c r="O124" s="740"/>
      <c r="P124" s="740"/>
      <c r="Q124" s="866"/>
      <c r="R124" s="740"/>
      <c r="S124" s="740"/>
      <c r="T124" s="889"/>
      <c r="U124" s="867"/>
      <c r="V124" s="740"/>
      <c r="W124" s="740"/>
      <c r="X124" s="850"/>
      <c r="Y124" s="850"/>
      <c r="Z124" s="850"/>
      <c r="AA124" s="850"/>
      <c r="AB124" s="850"/>
      <c r="AC124" s="850"/>
    </row>
    <row r="125" spans="1:29">
      <c r="A125" s="531"/>
      <c r="B125" s="610"/>
      <c r="C125" s="612"/>
      <c r="D125" s="612"/>
      <c r="E125" s="542"/>
      <c r="F125" s="615"/>
      <c r="G125" s="613"/>
      <c r="H125" s="613"/>
      <c r="I125" s="542"/>
      <c r="J125" s="542"/>
      <c r="K125" s="282"/>
      <c r="L125" s="888"/>
      <c r="M125" s="740"/>
      <c r="N125" s="740"/>
      <c r="O125" s="740"/>
      <c r="P125" s="740"/>
      <c r="Q125" s="866"/>
      <c r="R125" s="740"/>
      <c r="S125" s="740"/>
      <c r="T125" s="889"/>
      <c r="U125" s="860"/>
      <c r="V125" s="740"/>
      <c r="W125" s="740"/>
      <c r="X125" s="850"/>
      <c r="Y125" s="850"/>
      <c r="Z125" s="850"/>
      <c r="AA125" s="850"/>
      <c r="AB125" s="850"/>
      <c r="AC125" s="850"/>
    </row>
    <row r="126" spans="1:29">
      <c r="B126" s="531" t="s">
        <v>497</v>
      </c>
      <c r="C126" s="612"/>
      <c r="D126" s="612"/>
      <c r="E126" s="542"/>
      <c r="F126" s="615"/>
      <c r="G126" s="613"/>
      <c r="H126" s="613"/>
      <c r="I126" s="542"/>
      <c r="J126" s="542"/>
      <c r="K126" s="282"/>
      <c r="L126" s="888"/>
      <c r="M126" s="740"/>
      <c r="N126" s="740"/>
      <c r="O126" s="740"/>
      <c r="P126" s="740"/>
      <c r="Q126" s="859"/>
      <c r="R126" s="740"/>
      <c r="S126" s="740"/>
      <c r="T126" s="889"/>
      <c r="U126" s="860"/>
      <c r="V126" s="740"/>
      <c r="W126" s="740"/>
      <c r="X126" s="850"/>
      <c r="Y126" s="850"/>
      <c r="Z126" s="850"/>
      <c r="AA126" s="850"/>
      <c r="AB126" s="850"/>
      <c r="AC126" s="850"/>
    </row>
    <row r="127" spans="1:29">
      <c r="A127" s="531"/>
      <c r="B127" s="610">
        <v>301</v>
      </c>
      <c r="C127" s="616" t="s">
        <v>498</v>
      </c>
      <c r="E127" s="590"/>
      <c r="F127" s="591"/>
      <c r="G127" s="592"/>
      <c r="H127" s="593"/>
      <c r="I127" s="542"/>
      <c r="J127" s="583"/>
      <c r="K127" s="944">
        <f>'[3]Table 1 Total'!$K$125</f>
        <v>138964</v>
      </c>
      <c r="L127" s="921"/>
      <c r="M127" s="920">
        <f>'[3]Table 1 Total'!$M$125</f>
        <v>0</v>
      </c>
      <c r="N127" s="921"/>
      <c r="O127" s="920">
        <f>'[3]Table 1 Total'!$O$125</f>
        <v>0</v>
      </c>
      <c r="P127" s="921"/>
      <c r="Q127" s="920">
        <f>'[3]Table 1 Total'!$Q$125</f>
        <v>0</v>
      </c>
      <c r="R127" s="921"/>
      <c r="S127" s="920">
        <f>'[3]Table 1 Total'!$S$125</f>
        <v>0</v>
      </c>
      <c r="T127" s="914"/>
      <c r="U127" s="945"/>
      <c r="V127" s="920"/>
      <c r="W127" s="920">
        <f>+S127+V127</f>
        <v>0</v>
      </c>
      <c r="X127" s="850"/>
      <c r="Y127" s="850"/>
      <c r="Z127" s="850"/>
      <c r="AA127" s="850"/>
      <c r="AB127" s="850"/>
      <c r="AC127" s="850"/>
    </row>
    <row r="128" spans="1:29">
      <c r="A128" s="531"/>
      <c r="B128" s="617">
        <v>389.1</v>
      </c>
      <c r="C128" s="618" t="s">
        <v>724</v>
      </c>
      <c r="E128" s="590"/>
      <c r="F128" s="591"/>
      <c r="G128" s="592"/>
      <c r="H128" s="593"/>
      <c r="I128" s="542"/>
      <c r="J128" s="583"/>
      <c r="K128" s="944">
        <f>'[3]Table 1 Total'!$K$126</f>
        <v>6947108</v>
      </c>
      <c r="L128" s="921"/>
      <c r="M128" s="920">
        <f>'[3]Table 1 Total'!$M$126</f>
        <v>0</v>
      </c>
      <c r="N128" s="921"/>
      <c r="O128" s="920">
        <f>'[3]Table 1 Total'!$O$126</f>
        <v>0</v>
      </c>
      <c r="P128" s="921"/>
      <c r="Q128" s="920">
        <f>'[3]Table 1 Total'!$Q$126</f>
        <v>0</v>
      </c>
      <c r="R128" s="921"/>
      <c r="S128" s="920">
        <f>'[3]Table 1 Total'!$S$126</f>
        <v>0</v>
      </c>
      <c r="T128" s="914"/>
      <c r="U128" s="945"/>
      <c r="V128" s="920"/>
      <c r="W128" s="920">
        <f t="shared" ref="W128:W132" si="26">+S128+V128</f>
        <v>0</v>
      </c>
      <c r="X128" s="850"/>
      <c r="Y128" s="850"/>
      <c r="Z128" s="850"/>
      <c r="AA128" s="850"/>
      <c r="AB128" s="850"/>
      <c r="AC128" s="850"/>
    </row>
    <row r="129" spans="1:29">
      <c r="A129" s="531"/>
      <c r="B129" s="610">
        <v>390.1</v>
      </c>
      <c r="C129" s="619" t="s">
        <v>479</v>
      </c>
      <c r="E129" s="590">
        <v>61759</v>
      </c>
      <c r="F129" s="591"/>
      <c r="G129" s="592">
        <v>70</v>
      </c>
      <c r="H129" s="593" t="s">
        <v>640</v>
      </c>
      <c r="I129" s="542" t="s">
        <v>643</v>
      </c>
      <c r="J129" s="583"/>
      <c r="K129" s="920">
        <f>'[3]Table 1 Total'!K127</f>
        <v>29899361</v>
      </c>
      <c r="L129" s="921"/>
      <c r="M129" s="920">
        <f>'[3]Table 1 Total'!M127</f>
        <v>2551321</v>
      </c>
      <c r="N129" s="921"/>
      <c r="O129" s="920">
        <f>'[3]Table 1 Total'!O127</f>
        <v>27348040</v>
      </c>
      <c r="P129" s="921"/>
      <c r="Q129" s="920">
        <f>'[3]Table 1 Total'!Q127</f>
        <v>2.9</v>
      </c>
      <c r="R129" s="921"/>
      <c r="S129" s="920">
        <f>'[3]Table 1 Total'!S127</f>
        <v>868169</v>
      </c>
      <c r="T129" s="914"/>
      <c r="U129" s="925">
        <f t="shared" ref="U129:U132" si="27">IF(S129=0,0,ROUND(O129/S129,1))</f>
        <v>31.5</v>
      </c>
      <c r="V129" s="920">
        <f>'[3]Table 4 Total'!Z91</f>
        <v>0</v>
      </c>
      <c r="W129" s="920">
        <f t="shared" si="26"/>
        <v>868169</v>
      </c>
      <c r="X129" s="850"/>
      <c r="Y129" s="850"/>
      <c r="Z129" s="850"/>
      <c r="AA129" s="850"/>
      <c r="AB129" s="850"/>
      <c r="AC129" s="850"/>
    </row>
    <row r="130" spans="1:29">
      <c r="A130" s="531"/>
      <c r="B130" s="610">
        <v>391</v>
      </c>
      <c r="C130" s="616" t="s">
        <v>485</v>
      </c>
      <c r="E130" s="590" t="s">
        <v>639</v>
      </c>
      <c r="F130" s="591"/>
      <c r="G130" s="592">
        <v>20</v>
      </c>
      <c r="H130" s="593" t="s">
        <v>640</v>
      </c>
      <c r="I130" s="542" t="s">
        <v>686</v>
      </c>
      <c r="J130" s="583"/>
      <c r="K130" s="920">
        <f>'[3]Table 1 Total'!K128</f>
        <v>1056425</v>
      </c>
      <c r="L130" s="921"/>
      <c r="M130" s="920">
        <f>'[3]Table 1 Total'!M128</f>
        <v>423817</v>
      </c>
      <c r="N130" s="921"/>
      <c r="O130" s="920">
        <f>'[3]Table 1 Total'!O128</f>
        <v>632608</v>
      </c>
      <c r="P130" s="921"/>
      <c r="Q130" s="920">
        <f>'[3]Table 1 Total'!Q128</f>
        <v>6.2</v>
      </c>
      <c r="R130" s="921"/>
      <c r="S130" s="920">
        <f>'[3]Table 1 Total'!S128</f>
        <v>65535</v>
      </c>
      <c r="T130" s="914"/>
      <c r="U130" s="925">
        <f t="shared" si="27"/>
        <v>9.6999999999999993</v>
      </c>
      <c r="V130" s="920">
        <f>'[3]Table 4 Total'!Z92</f>
        <v>0</v>
      </c>
      <c r="W130" s="920">
        <f t="shared" si="26"/>
        <v>65535</v>
      </c>
      <c r="X130" s="850"/>
      <c r="Y130" s="850"/>
      <c r="Z130" s="850"/>
      <c r="AA130" s="850"/>
      <c r="AB130" s="850"/>
      <c r="AC130" s="850"/>
    </row>
    <row r="131" spans="1:29">
      <c r="A131" s="531"/>
      <c r="B131" s="610">
        <v>391.1</v>
      </c>
      <c r="C131" s="616" t="s">
        <v>486</v>
      </c>
      <c r="E131" s="590" t="s">
        <v>639</v>
      </c>
      <c r="F131" s="591"/>
      <c r="G131" s="592">
        <v>5</v>
      </c>
      <c r="H131" s="593" t="s">
        <v>640</v>
      </c>
      <c r="I131" s="542" t="s">
        <v>686</v>
      </c>
      <c r="J131" s="583"/>
      <c r="K131" s="920">
        <f>'[3]Table 1 Total'!K129</f>
        <v>139971</v>
      </c>
      <c r="L131" s="921"/>
      <c r="M131" s="920">
        <f>'[3]Table 1 Total'!M129</f>
        <v>122703</v>
      </c>
      <c r="N131" s="921"/>
      <c r="O131" s="920">
        <f>'[3]Table 1 Total'!O129</f>
        <v>17268</v>
      </c>
      <c r="P131" s="921"/>
      <c r="Q131" s="920">
        <f>'[3]Table 1 Total'!Q129</f>
        <v>8.2200000000000006</v>
      </c>
      <c r="R131" s="921"/>
      <c r="S131" s="920">
        <f>'[3]Table 1 Total'!S129</f>
        <v>11512</v>
      </c>
      <c r="T131" s="914"/>
      <c r="U131" s="925">
        <f t="shared" si="27"/>
        <v>1.5</v>
      </c>
      <c r="V131" s="920">
        <f>'[3]Table 4 Total'!Z93</f>
        <v>0</v>
      </c>
      <c r="W131" s="920">
        <f t="shared" si="26"/>
        <v>11512</v>
      </c>
      <c r="X131" s="850"/>
      <c r="Y131" s="850"/>
      <c r="Z131" s="850"/>
      <c r="AA131" s="850"/>
      <c r="AB131" s="850"/>
      <c r="AC131" s="850"/>
    </row>
    <row r="132" spans="1:29">
      <c r="A132" s="531"/>
      <c r="B132" s="610">
        <v>392.1</v>
      </c>
      <c r="C132" s="616" t="s">
        <v>487</v>
      </c>
      <c r="E132" s="590" t="s">
        <v>639</v>
      </c>
      <c r="F132" s="591"/>
      <c r="G132" s="592">
        <v>7</v>
      </c>
      <c r="H132" s="593" t="s">
        <v>640</v>
      </c>
      <c r="I132" s="542" t="s">
        <v>709</v>
      </c>
      <c r="J132" s="583"/>
      <c r="K132" s="920">
        <f>'[3]Table 1 Total'!K130</f>
        <v>71637</v>
      </c>
      <c r="L132" s="921"/>
      <c r="M132" s="920">
        <f>'[3]Table 1 Total'!M130</f>
        <v>70952</v>
      </c>
      <c r="N132" s="921"/>
      <c r="O132" s="920">
        <f>'[3]Table 1 Total'!O130</f>
        <v>685</v>
      </c>
      <c r="P132" s="921"/>
      <c r="Q132" s="920">
        <f>'[3]Table 1 Total'!Q130</f>
        <v>0.49</v>
      </c>
      <c r="R132" s="921"/>
      <c r="S132" s="920">
        <f>'[3]Table 1 Total'!S130</f>
        <v>351</v>
      </c>
      <c r="T132" s="914"/>
      <c r="U132" s="925">
        <f t="shared" si="27"/>
        <v>2</v>
      </c>
      <c r="V132" s="920">
        <f>'[3]Table 4 Total'!Z94</f>
        <v>0</v>
      </c>
      <c r="W132" s="920">
        <f t="shared" si="26"/>
        <v>351</v>
      </c>
      <c r="X132" s="850"/>
      <c r="Y132" s="850"/>
      <c r="Z132" s="850"/>
      <c r="AA132" s="850"/>
      <c r="AB132" s="850"/>
      <c r="AC132" s="850"/>
    </row>
    <row r="133" spans="1:29">
      <c r="B133" s="531" t="s">
        <v>499</v>
      </c>
      <c r="C133" s="612"/>
      <c r="D133" s="612"/>
      <c r="E133" s="542"/>
      <c r="F133" s="615"/>
      <c r="G133" s="613"/>
      <c r="H133" s="613"/>
      <c r="I133" s="542"/>
      <c r="J133" s="542"/>
      <c r="K133" s="922">
        <f>SUBTOTAL(9,K127:K132)</f>
        <v>38253466</v>
      </c>
      <c r="L133" s="531"/>
      <c r="M133" s="922">
        <f>SUBTOTAL(9,M127:M132)</f>
        <v>3168793</v>
      </c>
      <c r="N133" s="86"/>
      <c r="O133" s="922">
        <f>SUBTOTAL(9,O127:O132)</f>
        <v>27998601</v>
      </c>
      <c r="P133" s="86"/>
      <c r="Q133" s="924">
        <f>IF(S133="","",ROUND(S133/(K133-K127),4)*100)</f>
        <v>2.48</v>
      </c>
      <c r="R133" s="86"/>
      <c r="S133" s="922">
        <f>SUBTOTAL(9,S127:S132)</f>
        <v>945567</v>
      </c>
      <c r="T133" s="851"/>
      <c r="U133" s="854">
        <f>SUBTOTAL(9,U127:U132)</f>
        <v>44.7</v>
      </c>
      <c r="V133" s="922">
        <f>SUBTOTAL(9,V127:V132)</f>
        <v>0</v>
      </c>
      <c r="W133" s="922">
        <f>SUBTOTAL(9,W127:W132)</f>
        <v>945567</v>
      </c>
      <c r="X133" s="850"/>
      <c r="Y133" s="850"/>
      <c r="Z133" s="850"/>
      <c r="AA133" s="850"/>
      <c r="AB133" s="850"/>
      <c r="AC133" s="850"/>
    </row>
    <row r="134" spans="1:29">
      <c r="B134" s="531"/>
      <c r="C134" s="612"/>
      <c r="D134" s="612"/>
      <c r="E134" s="542"/>
      <c r="F134" s="615"/>
      <c r="G134" s="613"/>
      <c r="H134" s="613"/>
      <c r="I134" s="542"/>
      <c r="J134" s="542"/>
      <c r="K134" s="891"/>
      <c r="L134" s="890"/>
      <c r="M134" s="891"/>
      <c r="N134" s="887"/>
      <c r="O134" s="891"/>
      <c r="P134" s="887"/>
      <c r="Q134" s="853"/>
      <c r="R134" s="887"/>
      <c r="S134" s="891"/>
      <c r="T134" s="890"/>
      <c r="U134" s="892"/>
      <c r="V134" s="891"/>
      <c r="W134" s="891"/>
      <c r="X134" s="864"/>
      <c r="Y134" s="850"/>
      <c r="Z134" s="850"/>
      <c r="AA134" s="850"/>
      <c r="AB134" s="850"/>
      <c r="AC134" s="850"/>
    </row>
    <row r="135" spans="1:29">
      <c r="B135" s="946" t="s">
        <v>838</v>
      </c>
      <c r="C135" s="756"/>
      <c r="D135" s="758"/>
      <c r="E135" s="758"/>
      <c r="F135" s="947"/>
      <c r="G135" s="948"/>
      <c r="H135" s="948"/>
      <c r="I135" s="758"/>
      <c r="J135" s="758"/>
      <c r="K135" s="949">
        <f>K133*0.8843</f>
        <v>33827539.983800001</v>
      </c>
      <c r="L135" s="949"/>
      <c r="M135" s="949">
        <f>M133*0.8843</f>
        <v>2802163.6499000001</v>
      </c>
      <c r="N135" s="949"/>
      <c r="O135" s="949">
        <f>O133*0.8843</f>
        <v>24759162.864299998</v>
      </c>
      <c r="P135" s="949"/>
      <c r="Q135" s="950"/>
      <c r="R135" s="949"/>
      <c r="S135" s="949">
        <f>S133*0.8843</f>
        <v>836164.89809999999</v>
      </c>
      <c r="T135" s="951"/>
      <c r="U135" s="952"/>
      <c r="V135" s="949"/>
      <c r="W135" s="949">
        <f>+W133*0.8843</f>
        <v>836164.89809999999</v>
      </c>
      <c r="X135" s="850"/>
      <c r="Y135" s="850"/>
      <c r="Z135" s="850"/>
      <c r="AA135" s="850"/>
      <c r="AB135" s="850"/>
      <c r="AC135" s="850"/>
    </row>
    <row r="136" spans="1:29">
      <c r="A136" s="531"/>
      <c r="B136" s="613"/>
      <c r="C136" s="542"/>
      <c r="D136" s="612"/>
      <c r="E136" s="542"/>
      <c r="F136" s="615"/>
      <c r="G136" s="613"/>
      <c r="H136" s="613"/>
      <c r="I136" s="542"/>
      <c r="J136" s="542"/>
      <c r="K136" s="282"/>
      <c r="L136" s="888"/>
      <c r="M136" s="740"/>
      <c r="N136" s="740"/>
      <c r="O136" s="740"/>
      <c r="P136" s="740"/>
      <c r="Q136" s="859"/>
      <c r="R136" s="740"/>
      <c r="S136" s="740"/>
      <c r="T136" s="889"/>
      <c r="U136" s="847"/>
      <c r="V136" s="740"/>
      <c r="W136" s="740"/>
      <c r="X136" s="878">
        <f>+O135+(K128+K127)*Alloc!B335</f>
        <v>31025376.115157209</v>
      </c>
      <c r="Y136" s="850"/>
      <c r="Z136" s="850"/>
      <c r="AA136" s="850"/>
      <c r="AB136" s="850"/>
      <c r="AC136" s="850"/>
    </row>
    <row r="137" spans="1:29">
      <c r="B137" s="622" t="s">
        <v>500</v>
      </c>
      <c r="C137" s="542"/>
      <c r="D137" s="612"/>
      <c r="E137" s="542"/>
      <c r="F137" s="615"/>
      <c r="G137" s="613"/>
      <c r="H137" s="613"/>
      <c r="I137" s="542"/>
      <c r="J137" s="542"/>
      <c r="K137" s="282"/>
      <c r="L137" s="888"/>
      <c r="M137" s="740"/>
      <c r="N137" s="740"/>
      <c r="O137" s="740"/>
      <c r="P137" s="740"/>
      <c r="Q137" s="859"/>
      <c r="R137" s="740"/>
      <c r="S137" s="740"/>
      <c r="T137" s="889"/>
      <c r="U137" s="847"/>
      <c r="V137" s="740"/>
      <c r="W137" s="740"/>
      <c r="X137" s="850"/>
      <c r="Y137" s="850"/>
      <c r="Z137" s="850"/>
      <c r="AA137" s="850"/>
      <c r="AB137" s="850"/>
      <c r="AC137" s="850"/>
    </row>
    <row r="138" spans="1:29">
      <c r="A138" s="531"/>
      <c r="B138" s="617">
        <v>391</v>
      </c>
      <c r="C138" s="625" t="s">
        <v>485</v>
      </c>
      <c r="E138" s="590"/>
      <c r="F138" s="591"/>
      <c r="G138" s="592">
        <v>20</v>
      </c>
      <c r="H138" s="593" t="s">
        <v>640</v>
      </c>
      <c r="I138" s="542" t="s">
        <v>686</v>
      </c>
      <c r="J138" s="583"/>
      <c r="K138" s="920">
        <f>'[3]Table 1 Total'!K136</f>
        <v>36837</v>
      </c>
      <c r="L138" s="921"/>
      <c r="M138" s="920">
        <f>'[3]Table 1 Total'!M136</f>
        <v>33590</v>
      </c>
      <c r="N138" s="921"/>
      <c r="O138" s="920">
        <f>'[3]Table 1 Total'!O136</f>
        <v>3247</v>
      </c>
      <c r="P138" s="921"/>
      <c r="Q138" s="920">
        <f>'[3]Table 1 Total'!Q136</f>
        <v>4.88</v>
      </c>
      <c r="R138" s="921"/>
      <c r="S138" s="920">
        <f>'[3]Table 1 Total'!S136</f>
        <v>1796</v>
      </c>
      <c r="T138" s="847"/>
      <c r="U138" s="925">
        <f t="shared" ref="U138:U142" si="28">IF(S138=0,0,ROUND(O138/S138,1))</f>
        <v>1.8</v>
      </c>
      <c r="V138" s="920">
        <f>'[3]Table 4 Total'!Z98</f>
        <v>0</v>
      </c>
      <c r="W138" s="920">
        <f>+S138+V138</f>
        <v>1796</v>
      </c>
      <c r="X138" s="850"/>
      <c r="Y138" s="850"/>
      <c r="Z138" s="850"/>
      <c r="AA138" s="850"/>
      <c r="AB138" s="850"/>
      <c r="AC138" s="850"/>
    </row>
    <row r="139" spans="1:29">
      <c r="A139" s="531"/>
      <c r="B139" s="617">
        <v>391.1</v>
      </c>
      <c r="C139" s="625" t="s">
        <v>486</v>
      </c>
      <c r="E139" s="590"/>
      <c r="F139" s="591"/>
      <c r="G139" s="592">
        <v>5</v>
      </c>
      <c r="H139" s="593" t="s">
        <v>640</v>
      </c>
      <c r="I139" s="542" t="s">
        <v>686</v>
      </c>
      <c r="J139" s="583"/>
      <c r="K139" s="920">
        <f>'[3]Table 1 Total'!K137</f>
        <v>17035480</v>
      </c>
      <c r="L139" s="921"/>
      <c r="M139" s="920">
        <f>'[3]Table 1 Total'!M137</f>
        <v>10967724</v>
      </c>
      <c r="N139" s="921"/>
      <c r="O139" s="920">
        <f>'[3]Table 1 Total'!O137</f>
        <v>6067756</v>
      </c>
      <c r="P139" s="921"/>
      <c r="Q139" s="920">
        <f>'[3]Table 1 Total'!Q137</f>
        <v>19.05</v>
      </c>
      <c r="R139" s="921"/>
      <c r="S139" s="920">
        <f>'[3]Table 1 Total'!S137</f>
        <v>3244980</v>
      </c>
      <c r="T139" s="847"/>
      <c r="U139" s="925">
        <f t="shared" si="28"/>
        <v>1.9</v>
      </c>
      <c r="V139" s="920">
        <f>'[3]Table 4 Total'!Z99</f>
        <v>0</v>
      </c>
      <c r="W139" s="920">
        <f t="shared" ref="W139:W142" si="29">+S139+V139</f>
        <v>3244980</v>
      </c>
      <c r="X139" s="850"/>
      <c r="Y139" s="850"/>
      <c r="Z139" s="850"/>
      <c r="AA139" s="850"/>
      <c r="AB139" s="850"/>
      <c r="AC139" s="850"/>
    </row>
    <row r="140" spans="1:29">
      <c r="A140" s="531"/>
      <c r="B140" s="617">
        <v>391.2</v>
      </c>
      <c r="C140" s="957" t="s">
        <v>707</v>
      </c>
      <c r="D140" s="577"/>
      <c r="E140" s="590">
        <v>45930</v>
      </c>
      <c r="F140" s="591"/>
      <c r="G140" s="576" t="s">
        <v>703</v>
      </c>
      <c r="H140" s="593"/>
      <c r="I140" s="542"/>
      <c r="J140" s="583"/>
      <c r="K140" s="920">
        <f>'[3]Table 1 Total'!K138</f>
        <v>2803866</v>
      </c>
      <c r="L140" s="921"/>
      <c r="M140" s="920">
        <f>'[3]Table 1 Total'!M138</f>
        <v>0</v>
      </c>
      <c r="N140" s="921"/>
      <c r="O140" s="920">
        <f>'[3]Table 1 Total'!O138</f>
        <v>2803866</v>
      </c>
      <c r="P140" s="921"/>
      <c r="Q140" s="920">
        <f>'[3]Table 1 Total'!Q138</f>
        <v>25</v>
      </c>
      <c r="R140" s="921"/>
      <c r="S140" s="920">
        <f>'[3]Table 1 Total'!S138</f>
        <v>700966</v>
      </c>
      <c r="T140" s="847"/>
      <c r="U140" s="925">
        <f t="shared" si="28"/>
        <v>4</v>
      </c>
      <c r="V140" s="920">
        <f>'[3]Table 4 Total'!Z100</f>
        <v>0</v>
      </c>
      <c r="W140" s="920">
        <f t="shared" si="29"/>
        <v>700966</v>
      </c>
      <c r="X140" s="850"/>
      <c r="Y140" s="850"/>
      <c r="Z140" s="850"/>
      <c r="AA140" s="850"/>
      <c r="AB140" s="850"/>
      <c r="AC140" s="850"/>
    </row>
    <row r="141" spans="1:29">
      <c r="A141" s="620"/>
      <c r="B141" s="617">
        <v>391.3</v>
      </c>
      <c r="C141" s="502" t="s">
        <v>595</v>
      </c>
      <c r="D141" s="577"/>
      <c r="E141" s="590"/>
      <c r="F141" s="591"/>
      <c r="G141" s="592"/>
      <c r="H141" s="593"/>
      <c r="I141" s="542"/>
      <c r="J141" s="583"/>
      <c r="K141" s="920">
        <f>'[3]Table 1 Total'!K139</f>
        <v>48271125</v>
      </c>
      <c r="L141" s="921"/>
      <c r="M141" s="920">
        <f>'[3]Table 1 Total'!M139</f>
        <v>10856600</v>
      </c>
      <c r="N141" s="921"/>
      <c r="O141" s="920">
        <f>'[3]Table 1 Total'!O139</f>
        <v>37414525</v>
      </c>
      <c r="P141" s="921"/>
      <c r="Q141" s="920">
        <f>'[3]Table 1 Total'!Q139</f>
        <v>9.89</v>
      </c>
      <c r="R141" s="921"/>
      <c r="S141" s="920">
        <f>'[3]Table 1 Total'!S139</f>
        <v>4774407</v>
      </c>
      <c r="T141" s="847"/>
      <c r="U141" s="925">
        <f t="shared" si="28"/>
        <v>7.8</v>
      </c>
      <c r="V141" s="920">
        <f>'[3]Table 4 Total'!Z101</f>
        <v>0</v>
      </c>
      <c r="W141" s="920">
        <f t="shared" si="29"/>
        <v>4774407</v>
      </c>
      <c r="X141" s="850"/>
      <c r="Y141" s="850"/>
      <c r="Z141" s="850"/>
      <c r="AA141" s="850"/>
      <c r="AB141" s="850"/>
      <c r="AC141" s="850"/>
    </row>
    <row r="142" spans="1:29">
      <c r="A142" s="531"/>
      <c r="B142" s="617">
        <v>391.4</v>
      </c>
      <c r="C142" s="502" t="s">
        <v>725</v>
      </c>
      <c r="E142" s="590"/>
      <c r="F142" s="591"/>
      <c r="G142" s="592">
        <v>15</v>
      </c>
      <c r="H142" s="593" t="s">
        <v>640</v>
      </c>
      <c r="I142" s="542" t="s">
        <v>686</v>
      </c>
      <c r="J142" s="583"/>
      <c r="K142" s="920">
        <f>'[3]Table 1 Total'!K140</f>
        <v>188415910</v>
      </c>
      <c r="L142" s="921"/>
      <c r="M142" s="920">
        <f>'[3]Table 1 Total'!M140</f>
        <v>39102010</v>
      </c>
      <c r="N142" s="921"/>
      <c r="O142" s="920">
        <f>'[3]Table 1 Total'!O140</f>
        <v>149313900</v>
      </c>
      <c r="P142" s="921"/>
      <c r="Q142" s="920">
        <f>'[3]Table 1 Total'!Q140</f>
        <v>6.88</v>
      </c>
      <c r="R142" s="921"/>
      <c r="S142" s="920">
        <f>'[3]Table 1 Total'!S140</f>
        <v>12969290</v>
      </c>
      <c r="T142" s="847"/>
      <c r="U142" s="925">
        <f t="shared" si="28"/>
        <v>11.5</v>
      </c>
      <c r="V142" s="920">
        <f>'[3]Table 4 Total'!Z102</f>
        <v>0</v>
      </c>
      <c r="W142" s="920">
        <f t="shared" si="29"/>
        <v>12969290</v>
      </c>
      <c r="X142" s="850"/>
      <c r="Y142" s="850"/>
      <c r="Z142" s="850"/>
      <c r="AA142" s="850"/>
      <c r="AB142" s="850"/>
      <c r="AC142" s="850"/>
    </row>
    <row r="143" spans="1:29">
      <c r="B143" s="622" t="s">
        <v>501</v>
      </c>
      <c r="C143" s="542"/>
      <c r="D143" s="612"/>
      <c r="E143" s="542"/>
      <c r="F143" s="615"/>
      <c r="G143" s="613"/>
      <c r="H143" s="613"/>
      <c r="I143" s="542"/>
      <c r="J143" s="542"/>
      <c r="K143" s="922">
        <f>SUBTOTAL(9,K138:K142)</f>
        <v>256563218</v>
      </c>
      <c r="L143" s="531"/>
      <c r="M143" s="922">
        <f>SUBTOTAL(9,M138:M142)</f>
        <v>60959924</v>
      </c>
      <c r="N143" s="86"/>
      <c r="O143" s="922">
        <f>SUBTOTAL(9,O138:O142)</f>
        <v>195603294</v>
      </c>
      <c r="P143" s="86"/>
      <c r="Q143" s="924">
        <f>IF(S143="","",ROUND(S143/K143,4)*100)</f>
        <v>8.4500000000000011</v>
      </c>
      <c r="R143" s="86"/>
      <c r="S143" s="922">
        <f>SUBTOTAL(9,S138:S142)</f>
        <v>21691439</v>
      </c>
      <c r="T143" s="851"/>
      <c r="U143" s="854">
        <f t="shared" ref="U143:W143" si="30">SUBTOTAL(9,U138:U142)</f>
        <v>27</v>
      </c>
      <c r="V143" s="922">
        <f t="shared" si="30"/>
        <v>0</v>
      </c>
      <c r="W143" s="922">
        <f t="shared" si="30"/>
        <v>21691439</v>
      </c>
      <c r="X143" s="850"/>
      <c r="Y143" s="850"/>
      <c r="Z143" s="850"/>
      <c r="AA143" s="850"/>
      <c r="AB143" s="850"/>
      <c r="AC143" s="850"/>
    </row>
    <row r="144" spans="1:29">
      <c r="A144" s="531"/>
      <c r="B144" s="613"/>
      <c r="C144" s="542"/>
      <c r="D144" s="612"/>
      <c r="E144" s="542"/>
      <c r="F144" s="615"/>
      <c r="G144" s="613"/>
      <c r="H144" s="613"/>
      <c r="I144" s="542"/>
      <c r="J144" s="542"/>
      <c r="K144" s="895"/>
      <c r="L144" s="681"/>
      <c r="M144" s="895"/>
      <c r="N144" s="895"/>
      <c r="O144" s="895"/>
      <c r="P144" s="895"/>
      <c r="Q144" s="896"/>
      <c r="R144" s="895"/>
      <c r="S144" s="895"/>
      <c r="T144" s="895"/>
      <c r="U144" s="895"/>
      <c r="V144" s="895"/>
      <c r="W144" s="895"/>
      <c r="X144" s="864"/>
      <c r="Y144" s="850"/>
      <c r="Z144" s="850"/>
      <c r="AA144" s="850"/>
      <c r="AB144" s="850"/>
      <c r="AC144" s="850"/>
    </row>
    <row r="145" spans="1:29">
      <c r="A145" s="531"/>
      <c r="B145" s="946" t="s">
        <v>844</v>
      </c>
      <c r="C145" s="756"/>
      <c r="D145" s="758"/>
      <c r="E145" s="758"/>
      <c r="F145" s="947"/>
      <c r="G145" s="948"/>
      <c r="H145" s="948"/>
      <c r="I145" s="757"/>
      <c r="J145" s="948"/>
      <c r="K145" s="949">
        <f>K143*0.9412</f>
        <v>241477300.7816</v>
      </c>
      <c r="L145" s="953"/>
      <c r="M145" s="949">
        <f>M143*0.9412</f>
        <v>57375480.468800001</v>
      </c>
      <c r="N145" s="954"/>
      <c r="O145" s="949">
        <f>O143*0.9412</f>
        <v>184101820.31280002</v>
      </c>
      <c r="P145" s="954"/>
      <c r="Q145" s="955"/>
      <c r="R145" s="949"/>
      <c r="S145" s="949">
        <f>S143*0.9412</f>
        <v>20415982.386800002</v>
      </c>
      <c r="T145" s="949"/>
      <c r="U145" s="949"/>
      <c r="V145" s="949"/>
      <c r="W145" s="949">
        <f>+W143*0.9412</f>
        <v>20415982.386800002</v>
      </c>
      <c r="X145" s="850"/>
      <c r="Y145" s="850"/>
      <c r="Z145" s="850"/>
      <c r="AA145" s="850"/>
      <c r="AB145" s="850"/>
      <c r="AC145" s="850"/>
    </row>
    <row r="146" spans="1:29">
      <c r="A146" s="531"/>
      <c r="B146" s="622"/>
      <c r="C146" s="502"/>
      <c r="D146" s="542"/>
      <c r="E146" s="542"/>
      <c r="F146" s="615"/>
      <c r="G146" s="613"/>
      <c r="H146" s="613"/>
      <c r="I146" s="592"/>
      <c r="J146" s="613"/>
      <c r="K146" s="893"/>
      <c r="L146" s="976"/>
      <c r="M146" s="893"/>
      <c r="N146" s="977"/>
      <c r="O146" s="893"/>
      <c r="P146" s="977"/>
      <c r="Q146" s="978"/>
      <c r="R146" s="893"/>
      <c r="S146" s="893"/>
      <c r="T146" s="893"/>
      <c r="U146" s="893"/>
      <c r="V146" s="893"/>
      <c r="W146" s="893"/>
      <c r="X146" s="850"/>
      <c r="Y146" s="850"/>
      <c r="Z146" s="850"/>
      <c r="AA146" s="850"/>
      <c r="AB146" s="850"/>
      <c r="AC146" s="850"/>
    </row>
    <row r="147" spans="1:29">
      <c r="A147" s="531"/>
      <c r="B147" s="622" t="s">
        <v>726</v>
      </c>
      <c r="C147" s="566"/>
      <c r="E147" s="542"/>
      <c r="F147" s="595"/>
      <c r="G147" s="542"/>
      <c r="H147" s="542"/>
      <c r="I147" s="542"/>
      <c r="K147" s="898"/>
      <c r="L147" s="890"/>
      <c r="M147" s="891"/>
      <c r="N147" s="887"/>
      <c r="O147" s="891"/>
      <c r="P147" s="887"/>
      <c r="Q147" s="859"/>
      <c r="R147" s="887"/>
      <c r="S147" s="891"/>
      <c r="T147" s="890"/>
      <c r="U147" s="897"/>
      <c r="V147" s="891"/>
      <c r="W147" s="891"/>
      <c r="X147" s="850"/>
      <c r="Y147" s="850"/>
      <c r="Z147" s="850"/>
      <c r="AA147" s="850"/>
      <c r="AB147" s="850"/>
      <c r="AC147" s="850"/>
    </row>
    <row r="148" spans="1:29">
      <c r="A148" s="531"/>
      <c r="B148" s="608">
        <v>390.1</v>
      </c>
      <c r="C148" s="601" t="s">
        <v>479</v>
      </c>
      <c r="D148" s="577"/>
      <c r="E148" s="590">
        <v>47664</v>
      </c>
      <c r="F148" s="591"/>
      <c r="G148" s="592">
        <v>80</v>
      </c>
      <c r="H148" s="593" t="s">
        <v>640</v>
      </c>
      <c r="I148" s="542" t="s">
        <v>688</v>
      </c>
      <c r="J148" s="583"/>
      <c r="K148" s="920">
        <f>'[3]Table 1 Total'!$K$146</f>
        <v>2060918</v>
      </c>
      <c r="L148" s="921"/>
      <c r="M148" s="920">
        <f>'[3]Table 1 Total'!$M$146</f>
        <v>1452050</v>
      </c>
      <c r="N148" s="921"/>
      <c r="O148" s="956">
        <f>'[3]Table 1 Total'!$O$146</f>
        <v>608868</v>
      </c>
      <c r="P148" s="921"/>
      <c r="Q148" s="920">
        <f>'[3]Table 1 Total'!$Q$148</f>
        <v>0</v>
      </c>
      <c r="R148" s="921"/>
      <c r="S148" s="920">
        <f>'[3]Table 1 Total'!$S$146</f>
        <v>71221</v>
      </c>
      <c r="T148" s="847"/>
      <c r="U148" s="925">
        <f t="shared" ref="U148" si="31">IF(S148=0,0,ROUND(O148/S148,1))</f>
        <v>8.5</v>
      </c>
      <c r="V148" s="920"/>
      <c r="W148" s="920">
        <f>+S148+V148</f>
        <v>71221</v>
      </c>
      <c r="X148" s="850"/>
      <c r="Y148" s="850"/>
      <c r="Z148" s="850"/>
      <c r="AA148" s="850"/>
      <c r="AB148" s="850"/>
      <c r="AC148" s="850"/>
    </row>
    <row r="149" spans="1:29">
      <c r="A149" s="531"/>
      <c r="B149" s="626"/>
      <c r="C149" s="601"/>
      <c r="E149" s="590"/>
      <c r="F149" s="595"/>
      <c r="G149" s="592"/>
      <c r="H149" s="593"/>
      <c r="I149" s="542"/>
      <c r="J149" s="583"/>
      <c r="K149" s="898"/>
      <c r="L149" s="850"/>
      <c r="M149" s="898"/>
      <c r="N149" s="288"/>
      <c r="O149" s="858"/>
      <c r="P149" s="288"/>
      <c r="Q149" s="859"/>
      <c r="R149" s="288"/>
      <c r="S149" s="898"/>
      <c r="T149" s="847"/>
      <c r="U149" s="867"/>
      <c r="V149" s="956"/>
      <c r="W149" s="920">
        <f t="shared" ref="W149:W155" si="32">+S149+V149</f>
        <v>0</v>
      </c>
      <c r="X149" s="850"/>
      <c r="Y149" s="850"/>
      <c r="Z149" s="850"/>
      <c r="AA149" s="850"/>
      <c r="AB149" s="850"/>
      <c r="AC149" s="850"/>
    </row>
    <row r="150" spans="1:29">
      <c r="A150" s="531"/>
      <c r="B150" s="946" t="s">
        <v>818</v>
      </c>
      <c r="C150" s="964"/>
      <c r="D150" s="965"/>
      <c r="E150" s="966"/>
      <c r="F150" s="756"/>
      <c r="G150" s="967"/>
      <c r="H150" s="968"/>
      <c r="I150" s="969"/>
      <c r="J150" s="756"/>
      <c r="K150" s="944">
        <f>K148*0.0935</f>
        <v>192695.83300000001</v>
      </c>
      <c r="L150" s="965"/>
      <c r="M150" s="944">
        <f>M148*0.0935</f>
        <v>135766.67499999999</v>
      </c>
      <c r="N150" s="965"/>
      <c r="O150" s="944">
        <f>O148*0.0935</f>
        <v>56929.158000000003</v>
      </c>
      <c r="P150" s="965"/>
      <c r="Q150" s="944"/>
      <c r="R150" s="965"/>
      <c r="S150" s="944">
        <f>S148*0.0935</f>
        <v>6659.1634999999997</v>
      </c>
      <c r="T150" s="970"/>
      <c r="U150" s="971"/>
      <c r="V150" s="944"/>
      <c r="W150" s="944">
        <f t="shared" si="32"/>
        <v>6659.1634999999997</v>
      </c>
      <c r="X150" s="850"/>
      <c r="Y150" s="850"/>
      <c r="Z150" s="850"/>
      <c r="AA150" s="850"/>
      <c r="AB150" s="850"/>
      <c r="AC150" s="850"/>
    </row>
    <row r="151" spans="1:29">
      <c r="A151" s="531"/>
      <c r="B151" s="622"/>
      <c r="C151" s="601"/>
      <c r="D151" s="577"/>
      <c r="E151" s="590"/>
      <c r="F151" s="595"/>
      <c r="G151" s="592"/>
      <c r="H151" s="593"/>
      <c r="I151" s="542"/>
      <c r="J151" s="583"/>
      <c r="K151" s="898"/>
      <c r="L151" s="846"/>
      <c r="M151" s="898"/>
      <c r="N151" s="846"/>
      <c r="O151" s="898"/>
      <c r="P151" s="846"/>
      <c r="Q151" s="898"/>
      <c r="R151" s="846"/>
      <c r="S151" s="898"/>
      <c r="T151" s="870"/>
      <c r="U151" s="871"/>
      <c r="V151" s="898"/>
      <c r="W151" s="898"/>
      <c r="X151" s="850"/>
      <c r="Y151" s="850"/>
      <c r="Z151" s="850"/>
      <c r="AA151" s="850"/>
      <c r="AB151" s="850"/>
      <c r="AC151" s="850"/>
    </row>
    <row r="152" spans="1:29">
      <c r="A152" s="531"/>
      <c r="B152" s="958" t="s">
        <v>821</v>
      </c>
      <c r="C152" s="959"/>
      <c r="D152"/>
      <c r="E152"/>
      <c r="F152" s="960"/>
      <c r="G152" s="961"/>
      <c r="H152" s="961"/>
      <c r="I152"/>
      <c r="J152" s="583"/>
      <c r="K152" s="898"/>
      <c r="L152" s="846"/>
      <c r="M152" s="898"/>
      <c r="N152" s="846"/>
      <c r="O152" s="898"/>
      <c r="P152" s="846"/>
      <c r="Q152" s="898"/>
      <c r="R152" s="846"/>
      <c r="S152" s="898"/>
      <c r="T152" s="870"/>
      <c r="U152" s="871"/>
      <c r="V152" s="898"/>
      <c r="W152" s="898"/>
      <c r="X152" s="850"/>
      <c r="Y152" s="850"/>
      <c r="Z152" s="850"/>
      <c r="AA152" s="850"/>
      <c r="AB152" s="850"/>
      <c r="AC152" s="850"/>
    </row>
    <row r="153" spans="1:29">
      <c r="A153" s="531"/>
      <c r="B153" s="984">
        <v>390.1</v>
      </c>
      <c r="C153" s="985" t="s">
        <v>479</v>
      </c>
      <c r="D153" s="759"/>
      <c r="E153" s="986">
        <f>E73</f>
        <v>54057</v>
      </c>
      <c r="F153" s="985"/>
      <c r="G153" s="987">
        <f>G73</f>
        <v>80</v>
      </c>
      <c r="H153" s="988" t="s">
        <v>640</v>
      </c>
      <c r="I153" s="759" t="str">
        <f>I73</f>
        <v>R1.5</v>
      </c>
      <c r="J153" s="989"/>
      <c r="K153" s="983">
        <f>'[3]Table 1 Total'!$K$151</f>
        <v>14623727.52</v>
      </c>
      <c r="L153" s="990"/>
      <c r="M153" s="983">
        <f>'[3]Table 1 Total'!$M$151</f>
        <v>7817467</v>
      </c>
      <c r="N153" s="990"/>
      <c r="O153" s="983">
        <f>'[3]Table 1 Total'!$O$151</f>
        <v>6806261</v>
      </c>
      <c r="P153" s="990"/>
      <c r="Q153" s="983">
        <f>'[3]Table 1 Total'!$Q$153</f>
        <v>0</v>
      </c>
      <c r="R153" s="990"/>
      <c r="S153" s="983">
        <f>'[3]Table 1 Total'!$S$151</f>
        <v>447414</v>
      </c>
      <c r="T153" s="981"/>
      <c r="U153" s="982"/>
      <c r="V153" s="983"/>
      <c r="W153" s="983">
        <f>+S153+V153</f>
        <v>447414</v>
      </c>
      <c r="X153" s="850"/>
      <c r="Y153" s="850"/>
      <c r="Z153" s="850"/>
      <c r="AA153" s="850"/>
      <c r="AB153" s="850"/>
      <c r="AC153" s="850"/>
    </row>
    <row r="154" spans="1:29">
      <c r="A154" s="531"/>
      <c r="B154" s="622"/>
      <c r="C154" s="601"/>
      <c r="D154" s="577"/>
      <c r="E154" s="590"/>
      <c r="F154" s="595"/>
      <c r="G154" s="592"/>
      <c r="H154" s="593"/>
      <c r="I154" s="542"/>
      <c r="J154" s="583"/>
      <c r="K154" s="956"/>
      <c r="L154" s="921"/>
      <c r="M154" s="956"/>
      <c r="N154" s="921"/>
      <c r="O154" s="956"/>
      <c r="P154" s="921"/>
      <c r="Q154" s="956"/>
      <c r="R154" s="921"/>
      <c r="S154" s="956"/>
      <c r="T154" s="870"/>
      <c r="U154" s="871"/>
      <c r="V154" s="898"/>
      <c r="W154" s="898"/>
      <c r="X154" s="850"/>
      <c r="Y154" s="850"/>
      <c r="Z154" s="850"/>
      <c r="AA154" s="850"/>
      <c r="AB154" s="850"/>
      <c r="AC154" s="850"/>
    </row>
    <row r="155" spans="1:29">
      <c r="A155" s="531"/>
      <c r="B155" s="958" t="s">
        <v>822</v>
      </c>
      <c r="C155" s="601"/>
      <c r="D155" s="577"/>
      <c r="E155" s="590"/>
      <c r="F155" s="595"/>
      <c r="G155" s="592"/>
      <c r="H155" s="593"/>
      <c r="I155" s="542"/>
      <c r="J155" s="583"/>
      <c r="K155" s="956">
        <f>K153*0.1304</f>
        <v>1906934.0686079997</v>
      </c>
      <c r="L155" s="921"/>
      <c r="M155" s="956">
        <f>M153*0.1304</f>
        <v>1019397.6967999999</v>
      </c>
      <c r="N155" s="921"/>
      <c r="O155" s="956">
        <f>O153*0.1304</f>
        <v>887536.43439999991</v>
      </c>
      <c r="P155" s="921"/>
      <c r="Q155" s="956"/>
      <c r="R155" s="921"/>
      <c r="S155" s="956">
        <f>S153*0.1304</f>
        <v>58342.785599999996</v>
      </c>
      <c r="T155" s="870"/>
      <c r="U155" s="871"/>
      <c r="V155" s="898"/>
      <c r="W155" s="920">
        <f t="shared" si="32"/>
        <v>58342.785599999996</v>
      </c>
      <c r="X155" s="850"/>
      <c r="Y155" s="850"/>
      <c r="Z155" s="850"/>
      <c r="AA155" s="850"/>
      <c r="AB155" s="850"/>
      <c r="AC155" s="850"/>
    </row>
    <row r="156" spans="1:29">
      <c r="B156" s="622"/>
      <c r="C156" s="601"/>
      <c r="K156" s="962"/>
      <c r="L156" s="850"/>
      <c r="M156" s="962"/>
      <c r="N156" s="852"/>
      <c r="O156" s="962"/>
      <c r="P156" s="852"/>
      <c r="Q156" s="859"/>
      <c r="R156" s="852"/>
      <c r="S156" s="962"/>
      <c r="T156" s="850"/>
      <c r="U156" s="863"/>
      <c r="V156" s="898"/>
      <c r="W156" s="845"/>
      <c r="X156" s="850"/>
      <c r="Y156" s="850"/>
      <c r="Z156" s="850"/>
      <c r="AA156" s="850"/>
      <c r="AB156" s="850"/>
      <c r="AC156" s="850"/>
    </row>
    <row r="157" spans="1:29">
      <c r="A157" s="622" t="s">
        <v>839</v>
      </c>
      <c r="B157" s="577"/>
      <c r="C157" s="577"/>
      <c r="K157" s="963">
        <f>K135+K145-K150-K155</f>
        <v>273205210.863792</v>
      </c>
      <c r="L157" s="637"/>
      <c r="M157" s="963">
        <f>M135+M145-M150-M155</f>
        <v>59022479.7469</v>
      </c>
      <c r="N157" s="637"/>
      <c r="O157" s="963">
        <f>O135+O145-O150-O155</f>
        <v>207916517.58470002</v>
      </c>
      <c r="P157" s="637"/>
      <c r="Q157" s="924"/>
      <c r="R157" s="637"/>
      <c r="S157" s="963">
        <f>S135+S145-S150-S155</f>
        <v>21187145.335800003</v>
      </c>
      <c r="T157" s="850"/>
      <c r="U157" s="863"/>
      <c r="V157" s="899"/>
      <c r="W157" s="899">
        <f>W135+W145-W150-W155</f>
        <v>21187145.335800003</v>
      </c>
      <c r="X157" s="850"/>
      <c r="Y157" s="850"/>
      <c r="Z157" s="850"/>
      <c r="AA157" s="850"/>
      <c r="AB157" s="850"/>
      <c r="AC157" s="850"/>
    </row>
    <row r="158" spans="1:29">
      <c r="A158" s="622"/>
      <c r="K158" s="901"/>
      <c r="L158" s="893"/>
      <c r="M158" s="901"/>
      <c r="N158" s="893"/>
      <c r="O158" s="901"/>
      <c r="P158" s="893"/>
      <c r="Q158" s="894"/>
      <c r="R158" s="893"/>
      <c r="S158" s="901"/>
      <c r="T158" s="850"/>
      <c r="U158" s="863"/>
      <c r="V158" s="901"/>
      <c r="W158" s="901"/>
      <c r="X158" s="850"/>
      <c r="Y158" s="850"/>
      <c r="Z158" s="850"/>
      <c r="AA158" s="850"/>
      <c r="AB158" s="850"/>
      <c r="AC158" s="850"/>
    </row>
    <row r="159" spans="1:29" ht="15.75" thickBot="1">
      <c r="A159" s="531" t="s">
        <v>502</v>
      </c>
      <c r="K159" s="972">
        <f>K105+K120+K157</f>
        <v>4324363849.8737917</v>
      </c>
      <c r="L159" s="973"/>
      <c r="M159" s="972">
        <f>M105+M120+M157</f>
        <v>1160182945.7469001</v>
      </c>
      <c r="N159" s="973"/>
      <c r="O159" s="972">
        <f>O105+O120+O157</f>
        <v>3145602517.5847001</v>
      </c>
      <c r="P159" s="973"/>
      <c r="Q159" s="974"/>
      <c r="R159" s="973"/>
      <c r="S159" s="972">
        <f>S105+S120+S157</f>
        <v>111825887.33580001</v>
      </c>
      <c r="T159" s="850"/>
      <c r="U159" s="863"/>
      <c r="V159" s="902">
        <f>V105+V120+V157</f>
        <v>7851440</v>
      </c>
      <c r="W159" s="902">
        <f>W105+W120+W157</f>
        <v>119677327.33580001</v>
      </c>
      <c r="X159" s="864">
        <f>+Alloc!I232-Alloc!I228</f>
        <v>119677327.33580001</v>
      </c>
      <c r="Y159" s="850"/>
      <c r="Z159" s="850"/>
      <c r="AA159" s="850"/>
      <c r="AB159" s="850"/>
      <c r="AC159" s="850"/>
    </row>
    <row r="160" spans="1:29" ht="15.75" thickTop="1">
      <c r="A160" s="531"/>
      <c r="K160" s="637"/>
      <c r="L160" s="973"/>
      <c r="M160" s="637"/>
      <c r="N160" s="973"/>
      <c r="O160" s="637"/>
      <c r="P160" s="973"/>
      <c r="Q160" s="974"/>
      <c r="R160" s="973"/>
      <c r="S160" s="637"/>
      <c r="T160" s="850"/>
      <c r="U160" s="863"/>
      <c r="V160" s="900"/>
      <c r="W160" s="900"/>
      <c r="X160" s="878">
        <f>+W159-X159</f>
        <v>0</v>
      </c>
      <c r="Y160" s="850"/>
      <c r="Z160" s="850"/>
      <c r="AA160" s="850"/>
      <c r="AB160" s="850"/>
      <c r="AC160" s="850"/>
    </row>
    <row r="161" spans="1:29">
      <c r="A161" s="629" t="s">
        <v>727</v>
      </c>
      <c r="K161" s="637"/>
      <c r="L161" s="973"/>
      <c r="M161" s="637"/>
      <c r="N161" s="973"/>
      <c r="O161" s="637"/>
      <c r="P161" s="973"/>
      <c r="Q161" s="974"/>
      <c r="R161" s="973"/>
      <c r="S161" s="975">
        <f>'[3]Table 1 Total'!$S$159</f>
        <v>7851440</v>
      </c>
      <c r="T161" s="850"/>
      <c r="U161" s="863"/>
      <c r="V161" s="903"/>
      <c r="W161" s="903"/>
      <c r="X161" s="850"/>
      <c r="Y161" s="850"/>
      <c r="Z161" s="850"/>
      <c r="AA161" s="850"/>
      <c r="AB161" s="850"/>
      <c r="AC161" s="850"/>
    </row>
    <row r="162" spans="1:29">
      <c r="A162" s="531"/>
      <c r="K162" s="637"/>
      <c r="L162" s="973"/>
      <c r="M162" s="637"/>
      <c r="N162" s="973"/>
      <c r="O162" s="637"/>
      <c r="P162" s="973"/>
      <c r="Q162" s="974"/>
      <c r="R162" s="973"/>
      <c r="S162" s="637"/>
      <c r="T162" s="850"/>
      <c r="U162" s="863"/>
      <c r="V162" s="900"/>
      <c r="W162" s="900"/>
      <c r="X162" s="850"/>
      <c r="Y162" s="850"/>
      <c r="Z162" s="850"/>
      <c r="AA162" s="850"/>
      <c r="AB162" s="850"/>
      <c r="AC162" s="850"/>
    </row>
    <row r="163" spans="1:29" ht="15.75" thickBot="1">
      <c r="A163" s="531" t="s">
        <v>503</v>
      </c>
      <c r="K163" s="942">
        <f>SUM(K159:K162)</f>
        <v>4324363849.8737917</v>
      </c>
      <c r="L163" s="973"/>
      <c r="M163" s="942">
        <f>SUM(M159:M162)</f>
        <v>1160182945.7469001</v>
      </c>
      <c r="N163" s="973"/>
      <c r="O163" s="942">
        <f>SUM(O159:O162)</f>
        <v>3145602517.5847001</v>
      </c>
      <c r="P163" s="973"/>
      <c r="Q163" s="974"/>
      <c r="R163" s="973"/>
      <c r="S163" s="942">
        <f>SUM(S159:S162)</f>
        <v>119677327.33580001</v>
      </c>
      <c r="T163" s="850"/>
      <c r="U163" s="863"/>
      <c r="V163" s="883"/>
      <c r="W163" s="883"/>
      <c r="X163" s="850"/>
      <c r="Y163" s="850"/>
      <c r="Z163" s="850"/>
      <c r="AA163" s="850"/>
      <c r="AB163" s="850"/>
      <c r="AC163" s="850"/>
    </row>
    <row r="164" spans="1:29" ht="15.75" thickTop="1">
      <c r="A164" s="531"/>
      <c r="K164" s="637"/>
      <c r="L164" s="623"/>
      <c r="M164" s="627"/>
      <c r="N164" s="623"/>
      <c r="O164" s="627"/>
      <c r="P164" s="623"/>
      <c r="Q164" s="624"/>
      <c r="R164" s="623"/>
      <c r="S164" s="627"/>
      <c r="U164" s="596"/>
      <c r="V164" s="627"/>
      <c r="W164" s="627"/>
    </row>
    <row r="165" spans="1:29">
      <c r="A165" s="531"/>
      <c r="K165" s="637"/>
      <c r="L165" s="623"/>
      <c r="M165" s="627"/>
      <c r="N165" s="623"/>
      <c r="O165" s="627"/>
      <c r="P165" s="623"/>
      <c r="Q165" s="623"/>
      <c r="R165" s="623"/>
      <c r="S165" s="627"/>
      <c r="U165" s="596"/>
      <c r="V165" s="627"/>
      <c r="W165" s="627"/>
    </row>
    <row r="166" spans="1:29">
      <c r="A166" s="531"/>
      <c r="B166" s="630" t="s">
        <v>728</v>
      </c>
      <c r="C166" s="628"/>
      <c r="K166" s="637"/>
      <c r="L166" s="623"/>
      <c r="M166" s="627"/>
      <c r="N166" s="623"/>
      <c r="O166" s="627"/>
      <c r="P166" s="623"/>
      <c r="Q166" s="623"/>
      <c r="R166" s="623"/>
      <c r="S166" s="627"/>
      <c r="U166" s="596"/>
      <c r="V166" s="627"/>
      <c r="W166" s="627">
        <f>+W105+W135+W145-W150</f>
        <v>119735670.12140001</v>
      </c>
    </row>
    <row r="167" spans="1:29">
      <c r="A167" s="531"/>
      <c r="B167" s="4"/>
      <c r="C167" s="4"/>
      <c r="D167" s="176"/>
      <c r="K167" s="637"/>
      <c r="L167" s="623"/>
      <c r="M167" s="627"/>
      <c r="N167" s="623"/>
      <c r="O167" s="627"/>
      <c r="P167" s="623"/>
      <c r="Q167" s="623"/>
      <c r="R167" s="623"/>
      <c r="S167" s="637">
        <f>+'[2]D-21'!$K$121*1000</f>
        <v>-7166000</v>
      </c>
      <c r="T167" s="402" t="s">
        <v>770</v>
      </c>
      <c r="U167" s="596"/>
      <c r="V167" s="627"/>
      <c r="W167" s="627">
        <f>+S167</f>
        <v>-7166000</v>
      </c>
      <c r="Y167" s="793">
        <f>+X159-Y111</f>
        <v>7166327.335800007</v>
      </c>
    </row>
    <row r="168" spans="1:29">
      <c r="B168" s="631"/>
      <c r="C168" s="611"/>
      <c r="K168" s="638"/>
      <c r="M168" s="21"/>
      <c r="O168" s="1011">
        <f>+O163+(+K127+K128)*0.8843+K120</f>
        <v>3164180904.0543003</v>
      </c>
      <c r="Q168" s="632"/>
      <c r="U168" s="596"/>
    </row>
    <row r="169" spans="1:29">
      <c r="K169" s="639"/>
      <c r="M169" s="21"/>
      <c r="O169" s="21">
        <f>+Alloc!I359</f>
        <v>3164180899.4832749</v>
      </c>
      <c r="Q169" s="633"/>
      <c r="S169" s="578">
        <f>+S103+S135+S145</f>
        <v>34561712.284900002</v>
      </c>
      <c r="U169" s="596"/>
      <c r="W169" s="578">
        <f>SUM(W166:W168)</f>
        <v>112569670.12140001</v>
      </c>
    </row>
    <row r="170" spans="1:29" ht="13.9" customHeight="1">
      <c r="K170" s="1009"/>
      <c r="L170" s="1010"/>
      <c r="M170" s="1011"/>
      <c r="N170" s="1012"/>
      <c r="O170" s="1011">
        <f>+O168-O169</f>
        <v>4.5710253715515137</v>
      </c>
      <c r="Q170" s="633"/>
      <c r="U170" s="596"/>
    </row>
    <row r="171" spans="1:29" ht="13.9" customHeight="1">
      <c r="K171" s="1013"/>
      <c r="L171" s="1013"/>
      <c r="M171" s="1016"/>
      <c r="N171" s="1009"/>
      <c r="O171" s="1009"/>
      <c r="Q171" s="633"/>
    </row>
    <row r="172" spans="1:29" ht="13.9" customHeight="1">
      <c r="K172" s="1014">
        <v>2017</v>
      </c>
      <c r="L172" s="1014"/>
      <c r="M172" s="1017" t="s">
        <v>758</v>
      </c>
      <c r="N172" s="1018"/>
      <c r="O172" s="1017" t="s">
        <v>506</v>
      </c>
      <c r="Q172" s="633"/>
    </row>
    <row r="173" spans="1:29" ht="13.9" customHeight="1">
      <c r="C173" s="736" t="s">
        <v>757</v>
      </c>
      <c r="K173" s="1019">
        <f>+SUM([4]HTY!$E$25:$E$34)</f>
        <v>76163128.180000007</v>
      </c>
      <c r="L173" s="1013"/>
      <c r="M173" s="1016">
        <f>+K173/15*(0.5+2+0.75+1)</f>
        <v>21579552.984333336</v>
      </c>
      <c r="N173" s="1009"/>
      <c r="O173" s="1020">
        <f>+K173-M173</f>
        <v>54583575.195666671</v>
      </c>
      <c r="Q173" s="633"/>
    </row>
    <row r="174" spans="1:29" ht="13.9" customHeight="1">
      <c r="K174" s="1013"/>
      <c r="L174" s="1013"/>
      <c r="M174" s="1016"/>
      <c r="N174" s="1009"/>
      <c r="O174" s="1016"/>
      <c r="Q174" s="633"/>
    </row>
    <row r="175" spans="1:29" ht="13.9" customHeight="1">
      <c r="K175" s="1013" t="s">
        <v>209</v>
      </c>
      <c r="L175" s="1010"/>
      <c r="M175" s="1011">
        <f>+K173/15</f>
        <v>5077541.8786666673</v>
      </c>
      <c r="N175" s="1012"/>
      <c r="O175" s="1011"/>
      <c r="Q175" s="633"/>
    </row>
    <row r="176" spans="1:29" ht="13.9" customHeight="1">
      <c r="K176" s="1013"/>
      <c r="L176" s="1010"/>
      <c r="M176" s="1011"/>
      <c r="N176" s="1012"/>
      <c r="O176" s="1011"/>
      <c r="Q176" s="633"/>
    </row>
    <row r="177" spans="11:17" ht="13.9" customHeight="1">
      <c r="K177" s="1013"/>
      <c r="L177" s="1010"/>
      <c r="M177" s="1011"/>
      <c r="N177" s="1012"/>
      <c r="O177" s="1011"/>
      <c r="Q177" s="633"/>
    </row>
    <row r="178" spans="11:17" ht="13.9" customHeight="1">
      <c r="M178" s="21"/>
      <c r="O178" s="21"/>
      <c r="Q178" s="633"/>
    </row>
    <row r="179" spans="11:17" ht="13.9" customHeight="1">
      <c r="M179" s="21"/>
      <c r="O179" s="21"/>
      <c r="Q179" s="633"/>
    </row>
    <row r="180" spans="11:17" ht="13.9" customHeight="1">
      <c r="M180" s="21"/>
      <c r="O180" s="21"/>
      <c r="Q180" s="633"/>
    </row>
    <row r="181" spans="11:17" ht="13.9" customHeight="1">
      <c r="M181" s="21"/>
      <c r="O181" s="21"/>
      <c r="Q181" s="633"/>
    </row>
    <row r="182" spans="11:17" ht="13.9" customHeight="1">
      <c r="M182" s="21"/>
      <c r="O182" s="21"/>
      <c r="Q182" s="633"/>
    </row>
    <row r="183" spans="11:17" ht="13.9" customHeight="1">
      <c r="M183" s="21"/>
      <c r="O183" s="21"/>
      <c r="Q183" s="633"/>
    </row>
    <row r="184" spans="11:17" ht="13.9" customHeight="1">
      <c r="M184" s="21"/>
      <c r="O184" s="21"/>
      <c r="Q184" s="633"/>
    </row>
    <row r="185" spans="11:17" ht="13.9" customHeight="1">
      <c r="M185" s="21"/>
      <c r="O185" s="21"/>
      <c r="Q185" s="633"/>
    </row>
    <row r="186" spans="11:17" ht="13.9" customHeight="1">
      <c r="M186" s="21"/>
      <c r="O186" s="21"/>
      <c r="Q186" s="633"/>
    </row>
    <row r="187" spans="11:17" ht="13.9" customHeight="1">
      <c r="M187" s="21"/>
      <c r="O187" s="21"/>
      <c r="Q187" s="633"/>
    </row>
    <row r="188" spans="11:17" ht="13.9" customHeight="1">
      <c r="M188" s="21"/>
      <c r="O188" s="21"/>
      <c r="Q188" s="633"/>
    </row>
    <row r="189" spans="11:17" ht="13.9" customHeight="1">
      <c r="M189" s="21"/>
      <c r="O189" s="21"/>
      <c r="Q189" s="633"/>
    </row>
    <row r="190" spans="11:17" ht="13.9" customHeight="1">
      <c r="M190" s="21"/>
      <c r="O190" s="21"/>
      <c r="Q190" s="633"/>
    </row>
    <row r="191" spans="11:17" ht="13.9" customHeight="1">
      <c r="M191" s="21"/>
      <c r="O191" s="21"/>
      <c r="Q191" s="633"/>
    </row>
    <row r="192" spans="11:17" ht="13.9" customHeight="1">
      <c r="M192" s="21"/>
      <c r="O192" s="21"/>
      <c r="Q192" s="633"/>
    </row>
    <row r="193" spans="1:29" ht="13.9" customHeight="1">
      <c r="M193" s="21"/>
      <c r="O193" s="21"/>
      <c r="Q193" s="633"/>
    </row>
    <row r="194" spans="1:29" ht="13.9" customHeight="1">
      <c r="M194" s="21"/>
      <c r="O194" s="21"/>
      <c r="Q194" s="633"/>
    </row>
    <row r="195" spans="1:29" ht="13.9" customHeight="1" thickBot="1">
      <c r="M195" s="21"/>
      <c r="O195" s="21"/>
      <c r="Q195" s="633"/>
    </row>
    <row r="196" spans="1:29" ht="15.75" thickTop="1">
      <c r="A196" s="612"/>
      <c r="B196" s="612"/>
      <c r="C196" s="612"/>
      <c r="D196" s="612"/>
      <c r="E196" s="542"/>
      <c r="F196" s="595"/>
      <c r="G196" s="542"/>
      <c r="H196" s="542"/>
      <c r="I196" s="542"/>
      <c r="J196" s="542"/>
      <c r="K196" s="884"/>
      <c r="L196" s="850"/>
      <c r="M196" s="885"/>
      <c r="N196" s="288"/>
      <c r="O196" s="885"/>
      <c r="P196" s="288"/>
      <c r="Q196" s="866"/>
      <c r="R196" s="288"/>
      <c r="S196" s="886"/>
      <c r="T196" s="847"/>
      <c r="U196" s="867"/>
      <c r="V196" s="886"/>
      <c r="W196" s="886"/>
      <c r="X196" s="402"/>
      <c r="Y196" s="402"/>
      <c r="Z196" s="850"/>
      <c r="AA196" s="850"/>
      <c r="AB196" s="850"/>
      <c r="AC196" s="850"/>
    </row>
    <row r="197" spans="1:29" ht="13.9" customHeight="1">
      <c r="M197" s="21"/>
      <c r="O197" s="21"/>
      <c r="Q197" s="633"/>
    </row>
    <row r="198" spans="1:29" ht="13.9" customHeight="1">
      <c r="M198" s="21"/>
      <c r="O198" s="21"/>
      <c r="Q198" s="633"/>
    </row>
    <row r="199" spans="1:29" ht="13.9" customHeight="1">
      <c r="M199" s="21"/>
      <c r="O199" s="21"/>
      <c r="Q199" s="633"/>
    </row>
    <row r="200" spans="1:29" ht="13.9" customHeight="1">
      <c r="M200" s="21"/>
      <c r="O200" s="21"/>
      <c r="Q200" s="633"/>
    </row>
    <row r="201" spans="1:29" ht="13.9" customHeight="1">
      <c r="M201" s="21"/>
      <c r="O201" s="21"/>
      <c r="Q201" s="633"/>
    </row>
    <row r="202" spans="1:29" ht="13.9" customHeight="1">
      <c r="M202" s="21"/>
      <c r="O202" s="21"/>
      <c r="Q202" s="633"/>
    </row>
    <row r="203" spans="1:29" ht="13.9" customHeight="1">
      <c r="M203" s="21"/>
      <c r="O203" s="21"/>
      <c r="Q203" s="633"/>
    </row>
    <row r="204" spans="1:29" ht="13.9" customHeight="1">
      <c r="M204" s="21"/>
      <c r="O204" s="21"/>
      <c r="Q204" s="633"/>
    </row>
    <row r="205" spans="1:29" ht="13.9" customHeight="1">
      <c r="M205" s="21"/>
      <c r="O205" s="21"/>
      <c r="Q205" s="633"/>
    </row>
    <row r="206" spans="1:29" ht="13.9" customHeight="1">
      <c r="M206" s="21"/>
      <c r="O206" s="21"/>
      <c r="Q206" s="633"/>
    </row>
    <row r="207" spans="1:29" ht="13.9" customHeight="1">
      <c r="M207" s="21"/>
      <c r="O207" s="21"/>
      <c r="Q207" s="633"/>
    </row>
    <row r="208" spans="1:29" ht="15" customHeight="1">
      <c r="M208" s="21"/>
      <c r="O208" s="21"/>
      <c r="Q208" s="633"/>
    </row>
    <row r="209" spans="13:17" ht="15" customHeight="1">
      <c r="M209" s="21"/>
      <c r="O209" s="21"/>
      <c r="Q209" s="633"/>
    </row>
    <row r="210" spans="13:17" ht="15" customHeight="1">
      <c r="M210" s="21"/>
      <c r="O210" s="21"/>
      <c r="Q210" s="633"/>
    </row>
    <row r="211" spans="13:17" ht="15" customHeight="1">
      <c r="M211" s="21"/>
      <c r="O211" s="21"/>
      <c r="Q211" s="633"/>
    </row>
    <row r="212" spans="13:17" ht="15" customHeight="1">
      <c r="M212" s="21"/>
      <c r="O212" s="21"/>
      <c r="Q212" s="633"/>
    </row>
    <row r="213" spans="13:17" ht="15" customHeight="1">
      <c r="M213" s="21"/>
      <c r="O213" s="21"/>
      <c r="Q213" s="633"/>
    </row>
    <row r="214" spans="13:17" ht="15" customHeight="1">
      <c r="M214" s="21"/>
      <c r="O214" s="21"/>
      <c r="Q214" s="633"/>
    </row>
    <row r="215" spans="13:17" ht="15" customHeight="1">
      <c r="M215" s="21"/>
      <c r="O215" s="21"/>
      <c r="Q215" s="633"/>
    </row>
    <row r="216" spans="13:17" ht="15" customHeight="1">
      <c r="M216" s="21"/>
      <c r="O216" s="21"/>
      <c r="Q216" s="633"/>
    </row>
    <row r="217" spans="13:17" ht="15" customHeight="1">
      <c r="M217" s="21"/>
      <c r="O217" s="21"/>
      <c r="Q217" s="633"/>
    </row>
    <row r="218" spans="13:17" ht="15" customHeight="1">
      <c r="M218" s="21"/>
      <c r="O218" s="21"/>
      <c r="Q218" s="633"/>
    </row>
    <row r="219" spans="13:17" ht="15" customHeight="1">
      <c r="M219" s="21"/>
      <c r="O219" s="21"/>
      <c r="Q219" s="633"/>
    </row>
    <row r="220" spans="13:17" ht="15" customHeight="1">
      <c r="M220" s="21"/>
      <c r="O220" s="21"/>
      <c r="Q220" s="633"/>
    </row>
    <row r="221" spans="13:17" ht="15" customHeight="1">
      <c r="M221" s="21"/>
      <c r="O221" s="21"/>
      <c r="Q221" s="633"/>
    </row>
    <row r="222" spans="13:17" ht="15" customHeight="1">
      <c r="M222" s="21"/>
      <c r="O222" s="21"/>
      <c r="Q222" s="633"/>
    </row>
    <row r="223" spans="13:17" ht="15" customHeight="1">
      <c r="M223" s="21"/>
      <c r="O223" s="21"/>
      <c r="Q223" s="633"/>
    </row>
    <row r="224" spans="13:17" ht="15" customHeight="1">
      <c r="M224" s="21"/>
      <c r="O224" s="21"/>
      <c r="Q224" s="633"/>
    </row>
    <row r="225" spans="13:17" ht="15" customHeight="1">
      <c r="M225" s="21"/>
      <c r="O225" s="21"/>
      <c r="Q225" s="633"/>
    </row>
    <row r="226" spans="13:17" ht="15" customHeight="1">
      <c r="M226" s="21"/>
      <c r="O226" s="21"/>
      <c r="Q226" s="633"/>
    </row>
    <row r="227" spans="13:17" ht="15" customHeight="1">
      <c r="M227" s="21"/>
      <c r="O227" s="21"/>
      <c r="Q227" s="633"/>
    </row>
    <row r="228" spans="13:17" ht="15" customHeight="1">
      <c r="M228" s="21"/>
      <c r="O228" s="21"/>
      <c r="Q228" s="633"/>
    </row>
    <row r="229" spans="13:17" ht="15" customHeight="1">
      <c r="M229" s="21"/>
      <c r="O229" s="21"/>
      <c r="Q229" s="633"/>
    </row>
    <row r="230" spans="13:17" ht="15" customHeight="1">
      <c r="M230" s="21"/>
      <c r="O230" s="21"/>
      <c r="Q230" s="633"/>
    </row>
    <row r="231" spans="13:17" ht="15" customHeight="1">
      <c r="M231" s="21"/>
      <c r="O231" s="21"/>
      <c r="Q231" s="633"/>
    </row>
    <row r="232" spans="13:17" ht="15" customHeight="1">
      <c r="M232" s="21"/>
      <c r="O232" s="21"/>
      <c r="Q232" s="633"/>
    </row>
    <row r="233" spans="13:17" ht="15" customHeight="1">
      <c r="M233" s="21"/>
      <c r="O233" s="21"/>
      <c r="Q233" s="633"/>
    </row>
    <row r="234" spans="13:17" ht="15" customHeight="1">
      <c r="M234" s="21"/>
      <c r="O234" s="21"/>
      <c r="Q234" s="63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34"/>
  </sheetPr>
  <dimension ref="A1:FTA322"/>
  <sheetViews>
    <sheetView workbookViewId="0"/>
  </sheetViews>
  <sheetFormatPr defaultRowHeight="15"/>
  <cols>
    <col min="1" max="1" width="13.21875" customWidth="1"/>
    <col min="2" max="2" width="14" customWidth="1"/>
    <col min="3" max="3" width="6.44140625" customWidth="1"/>
    <col min="4" max="4" width="44.21875" customWidth="1"/>
    <col min="5" max="5" width="1.21875" customWidth="1"/>
    <col min="6" max="6" width="15.109375" customWidth="1"/>
    <col min="7" max="7" width="1.44140625" customWidth="1"/>
    <col min="8" max="8" width="15.33203125" customWidth="1"/>
    <col min="9" max="9" width="16.88671875" customWidth="1"/>
    <col min="10" max="10" width="15.33203125" customWidth="1"/>
    <col min="11" max="11" width="17.33203125" style="100" customWidth="1"/>
    <col min="12" max="12" width="13.109375" bestFit="1" customWidth="1"/>
    <col min="13" max="13" width="15.109375" style="100" bestFit="1" customWidth="1"/>
    <col min="14" max="14" width="25.6640625" customWidth="1"/>
    <col min="15" max="16" width="15.109375" bestFit="1" customWidth="1"/>
  </cols>
  <sheetData>
    <row r="1" spans="1:13" ht="15.75">
      <c r="A1" s="106"/>
      <c r="B1" s="106"/>
      <c r="C1" s="106"/>
      <c r="D1" s="55" t="s">
        <v>826</v>
      </c>
      <c r="E1" s="107"/>
      <c r="F1" s="101"/>
      <c r="G1" s="102"/>
      <c r="H1" s="103"/>
      <c r="I1" s="104"/>
      <c r="J1" s="103"/>
    </row>
    <row r="2" spans="1:13" ht="15.75">
      <c r="A2" s="106"/>
      <c r="B2" s="106"/>
      <c r="C2" s="106"/>
      <c r="D2" s="108" t="s">
        <v>591</v>
      </c>
      <c r="E2" s="107"/>
      <c r="F2" s="101"/>
      <c r="G2" s="102"/>
      <c r="H2" s="101"/>
      <c r="I2" s="105"/>
      <c r="J2" s="101"/>
    </row>
    <row r="3" spans="1:13" ht="15.75">
      <c r="A3" s="640"/>
      <c r="B3" s="640"/>
      <c r="C3" s="640"/>
      <c r="D3" s="819" t="s">
        <v>36</v>
      </c>
      <c r="E3" s="276"/>
      <c r="F3" s="641"/>
      <c r="G3" s="642"/>
      <c r="H3" s="643"/>
      <c r="I3" s="644"/>
      <c r="J3" s="643"/>
      <c r="K3" s="645"/>
    </row>
    <row r="4" spans="1:13" ht="15.75">
      <c r="A4" s="1084" t="s">
        <v>515</v>
      </c>
      <c r="B4" s="1084"/>
      <c r="C4" s="812"/>
      <c r="D4" s="813"/>
      <c r="E4" s="813"/>
      <c r="F4" s="814"/>
      <c r="G4" s="815"/>
      <c r="H4" s="1084" t="s">
        <v>517</v>
      </c>
      <c r="I4" s="1084"/>
      <c r="J4" s="647"/>
      <c r="K4" s="645"/>
    </row>
    <row r="5" spans="1:13" ht="15.75">
      <c r="A5" s="816" t="s">
        <v>504</v>
      </c>
      <c r="B5" s="817" t="s">
        <v>505</v>
      </c>
      <c r="C5" s="818" t="s">
        <v>39</v>
      </c>
      <c r="D5" s="813"/>
      <c r="E5" s="813"/>
      <c r="F5" s="814"/>
      <c r="G5" s="815"/>
      <c r="H5" s="816" t="s">
        <v>504</v>
      </c>
      <c r="I5" s="817" t="s">
        <v>505</v>
      </c>
      <c r="J5" s="647"/>
      <c r="K5" s="645"/>
    </row>
    <row r="6" spans="1:13">
      <c r="A6" s="647"/>
      <c r="B6" s="644"/>
      <c r="C6" s="812" t="s">
        <v>40</v>
      </c>
      <c r="D6" s="813"/>
      <c r="E6" s="813"/>
      <c r="F6" s="814"/>
      <c r="G6" s="646"/>
      <c r="H6" s="647"/>
      <c r="I6" s="644"/>
      <c r="J6" s="647"/>
      <c r="K6" s="645"/>
    </row>
    <row r="7" spans="1:13">
      <c r="A7" s="741">
        <f>[2]WPs!$Y$23</f>
        <v>0</v>
      </c>
      <c r="B7" s="741">
        <f>[2]WPs!$I$23+[2]WPs!$M$23</f>
        <v>0</v>
      </c>
      <c r="C7" s="812"/>
      <c r="D7" s="252" t="s">
        <v>54</v>
      </c>
      <c r="E7" s="813"/>
      <c r="F7" s="814">
        <v>710</v>
      </c>
      <c r="G7" s="646"/>
      <c r="H7" s="741">
        <f>ROUND(+A7*1000,0)</f>
        <v>0</v>
      </c>
      <c r="I7" s="741">
        <f>ROUND(+B7*1000,0)</f>
        <v>0</v>
      </c>
      <c r="J7" s="643"/>
      <c r="K7" s="645"/>
    </row>
    <row r="8" spans="1:13">
      <c r="A8" s="741">
        <f>[2]WPs!$Y$24</f>
        <v>0</v>
      </c>
      <c r="B8" s="741">
        <f>[2]WPs!$I$24+[2]WPs!$M$24</f>
        <v>0</v>
      </c>
      <c r="C8" s="812"/>
      <c r="D8" s="252" t="s">
        <v>459</v>
      </c>
      <c r="E8" s="813"/>
      <c r="F8" s="814">
        <v>717</v>
      </c>
      <c r="G8" s="646"/>
      <c r="H8" s="741">
        <f t="shared" ref="H8:H11" si="0">ROUND(+A8*1000,0)</f>
        <v>0</v>
      </c>
      <c r="I8" s="741">
        <f t="shared" ref="I8:I11" si="1">ROUND(+B8*1000,0)</f>
        <v>0</v>
      </c>
      <c r="J8" s="643"/>
      <c r="K8" s="645"/>
    </row>
    <row r="9" spans="1:13">
      <c r="A9" s="741"/>
      <c r="B9" s="644"/>
      <c r="C9" s="812"/>
      <c r="D9" s="252"/>
      <c r="E9" s="813"/>
      <c r="F9" s="814"/>
      <c r="G9" s="646"/>
      <c r="H9" s="741"/>
      <c r="I9" s="741">
        <f t="shared" si="1"/>
        <v>0</v>
      </c>
      <c r="J9" s="643"/>
      <c r="K9" s="645"/>
    </row>
    <row r="10" spans="1:13">
      <c r="A10" s="741">
        <f>[2]WPs!$Y$27</f>
        <v>40</v>
      </c>
      <c r="B10" s="741">
        <f>[2]WPs!$I$27+[2]WPs!$M$27</f>
        <v>0</v>
      </c>
      <c r="C10" s="812"/>
      <c r="D10" s="252" t="s">
        <v>460</v>
      </c>
      <c r="E10" s="813"/>
      <c r="F10" s="814" t="s">
        <v>42</v>
      </c>
      <c r="G10" s="646"/>
      <c r="H10" s="741">
        <f t="shared" si="0"/>
        <v>40000</v>
      </c>
      <c r="I10" s="741">
        <f t="shared" si="1"/>
        <v>0</v>
      </c>
      <c r="J10" s="643"/>
      <c r="K10" s="645"/>
    </row>
    <row r="11" spans="1:13">
      <c r="A11" s="741">
        <f>[2]WPs!$Y$30</f>
        <v>6770.666666666667</v>
      </c>
      <c r="B11" s="741">
        <f>[2]WPs!$I$30+[2]WPs!$M$30</f>
        <v>0</v>
      </c>
      <c r="C11" s="812"/>
      <c r="D11" s="252" t="s">
        <v>41</v>
      </c>
      <c r="E11" s="813"/>
      <c r="F11" s="820" t="s">
        <v>44</v>
      </c>
      <c r="G11" s="646"/>
      <c r="H11" s="741">
        <f t="shared" si="0"/>
        <v>6770667</v>
      </c>
      <c r="I11" s="741">
        <f t="shared" si="1"/>
        <v>0</v>
      </c>
      <c r="J11" s="643"/>
      <c r="K11" s="645"/>
    </row>
    <row r="12" spans="1:13">
      <c r="A12" s="742">
        <f>SUM(A7:A11)</f>
        <v>6810.666666666667</v>
      </c>
      <c r="B12" s="742">
        <f>SUM(B7:B11)</f>
        <v>0</v>
      </c>
      <c r="C12" s="812"/>
      <c r="D12" s="820" t="s">
        <v>45</v>
      </c>
      <c r="E12" s="813"/>
      <c r="F12" s="814"/>
      <c r="G12" s="646"/>
      <c r="H12" s="742">
        <f>SUM(H7:H11)</f>
        <v>6810667</v>
      </c>
      <c r="I12" s="742">
        <f>SUM(I7:I11)</f>
        <v>0</v>
      </c>
      <c r="J12" s="648"/>
      <c r="K12" s="645"/>
    </row>
    <row r="13" spans="1:13">
      <c r="A13" s="643"/>
      <c r="B13" s="644"/>
      <c r="C13" s="812"/>
      <c r="D13" s="814"/>
      <c r="E13" s="743"/>
      <c r="F13" s="814"/>
      <c r="G13" s="646"/>
      <c r="H13" s="743"/>
      <c r="I13" s="835"/>
      <c r="J13" s="643"/>
      <c r="K13" s="645"/>
    </row>
    <row r="14" spans="1:13" s="147" customFormat="1">
      <c r="A14" s="643"/>
      <c r="B14" s="644"/>
      <c r="C14" s="812" t="s">
        <v>359</v>
      </c>
      <c r="D14" s="814"/>
      <c r="E14" s="743"/>
      <c r="F14" s="814"/>
      <c r="G14" s="646"/>
      <c r="H14" s="743"/>
      <c r="I14" s="835"/>
      <c r="J14" s="643"/>
      <c r="K14" s="645"/>
      <c r="M14" s="161"/>
    </row>
    <row r="15" spans="1:13" s="147" customFormat="1">
      <c r="A15" s="743">
        <f>[2]WPs!$Y$36</f>
        <v>0</v>
      </c>
      <c r="B15" s="743">
        <f>[2]WPs!$I$36+[2]WPs!$M$36</f>
        <v>0</v>
      </c>
      <c r="C15" s="812"/>
      <c r="D15" s="252" t="s">
        <v>360</v>
      </c>
      <c r="E15" s="743"/>
      <c r="F15" s="376" t="s">
        <v>362</v>
      </c>
      <c r="G15" s="646"/>
      <c r="H15" s="741">
        <f>ROUND(+A15*1000,0)</f>
        <v>0</v>
      </c>
      <c r="I15" s="741">
        <f>ROUND(+B15*1000,0)</f>
        <v>0</v>
      </c>
      <c r="J15" s="643"/>
      <c r="K15" s="645"/>
      <c r="M15" s="161"/>
    </row>
    <row r="16" spans="1:13" s="147" customFormat="1">
      <c r="A16" s="743">
        <f>[2]WPs!$Y$37</f>
        <v>0</v>
      </c>
      <c r="B16" s="105">
        <f>[2]WPs!$I$37+[2]WPs!$M$37</f>
        <v>0</v>
      </c>
      <c r="C16" s="812"/>
      <c r="D16" s="252" t="s">
        <v>361</v>
      </c>
      <c r="E16" s="743"/>
      <c r="F16" s="376" t="s">
        <v>363</v>
      </c>
      <c r="G16" s="646"/>
      <c r="H16" s="741">
        <f t="shared" ref="H16:H18" si="2">ROUND(+A16*1000,0)</f>
        <v>0</v>
      </c>
      <c r="I16" s="741">
        <f t="shared" ref="I16:I18" si="3">ROUND(+B16*1000,0)</f>
        <v>0</v>
      </c>
      <c r="J16" s="643"/>
      <c r="K16" s="645"/>
      <c r="M16" s="161"/>
    </row>
    <row r="17" spans="1:13" s="147" customFormat="1">
      <c r="A17" s="743">
        <f>[2]WPs!$Y$38</f>
        <v>0</v>
      </c>
      <c r="B17" s="105">
        <f>[2]WPs!$I$38+[2]WPs!$M$38</f>
        <v>0</v>
      </c>
      <c r="C17" s="812"/>
      <c r="D17" s="252" t="s">
        <v>461</v>
      </c>
      <c r="E17" s="743"/>
      <c r="F17" s="376" t="s">
        <v>463</v>
      </c>
      <c r="G17" s="646"/>
      <c r="H17" s="741">
        <f t="shared" si="2"/>
        <v>0</v>
      </c>
      <c r="I17" s="741">
        <f t="shared" si="3"/>
        <v>0</v>
      </c>
      <c r="J17" s="643"/>
      <c r="K17" s="645"/>
      <c r="M17" s="161"/>
    </row>
    <row r="18" spans="1:13" s="147" customFormat="1">
      <c r="A18" s="743">
        <f>[2]WPs!$Y$39</f>
        <v>0</v>
      </c>
      <c r="B18" s="105">
        <f>[2]WPs!$I$39+[2]WPs!$M$39</f>
        <v>0</v>
      </c>
      <c r="C18" s="812"/>
      <c r="D18" s="252" t="s">
        <v>462</v>
      </c>
      <c r="E18" s="743"/>
      <c r="F18" s="376" t="s">
        <v>464</v>
      </c>
      <c r="G18" s="646"/>
      <c r="H18" s="741">
        <f t="shared" si="2"/>
        <v>0</v>
      </c>
      <c r="I18" s="741">
        <f t="shared" si="3"/>
        <v>0</v>
      </c>
      <c r="J18" s="643"/>
      <c r="K18" s="645"/>
      <c r="M18" s="161"/>
    </row>
    <row r="19" spans="1:13" s="147" customFormat="1">
      <c r="A19" s="753">
        <f>SUM(A15:A18)</f>
        <v>0</v>
      </c>
      <c r="B19" s="833">
        <f>SUM(B15:B18)</f>
        <v>0</v>
      </c>
      <c r="C19" s="812"/>
      <c r="D19" s="814" t="s">
        <v>364</v>
      </c>
      <c r="E19" s="743"/>
      <c r="F19" s="814"/>
      <c r="G19" s="646"/>
      <c r="H19" s="753">
        <f>SUM(H15:H18)</f>
        <v>0</v>
      </c>
      <c r="I19" s="753">
        <f>SUM(I15:I18)</f>
        <v>0</v>
      </c>
      <c r="J19" s="648"/>
      <c r="K19" s="645"/>
      <c r="M19" s="161"/>
    </row>
    <row r="20" spans="1:13" s="147" customFormat="1">
      <c r="A20" s="643"/>
      <c r="B20" s="644"/>
      <c r="C20" s="812"/>
      <c r="D20" s="814"/>
      <c r="E20" s="743"/>
      <c r="F20" s="814"/>
      <c r="G20" s="646"/>
      <c r="H20" s="643"/>
      <c r="I20" s="836"/>
      <c r="J20" s="643"/>
      <c r="K20" s="645"/>
      <c r="M20" s="161"/>
    </row>
    <row r="21" spans="1:13" s="147" customFormat="1" ht="15.75">
      <c r="A21" s="643"/>
      <c r="B21" s="650"/>
      <c r="C21" s="812" t="s">
        <v>46</v>
      </c>
      <c r="D21" s="821"/>
      <c r="E21" s="743"/>
      <c r="F21" s="814"/>
      <c r="G21" s="646"/>
      <c r="H21" s="643"/>
      <c r="I21" s="837"/>
      <c r="J21" s="643"/>
      <c r="K21" s="645"/>
      <c r="M21" s="161"/>
    </row>
    <row r="22" spans="1:13" s="147" customFormat="1">
      <c r="A22" s="741">
        <f>[2]WPs!Y45</f>
        <v>0</v>
      </c>
      <c r="B22" s="741">
        <f>[2]WPs!I45+[2]WPs!M45</f>
        <v>0</v>
      </c>
      <c r="C22" s="812"/>
      <c r="D22" s="252" t="s">
        <v>466</v>
      </c>
      <c r="E22" s="743"/>
      <c r="F22" s="400" t="s">
        <v>470</v>
      </c>
      <c r="G22" s="646"/>
      <c r="H22" s="741">
        <f>ROUND(+A22*1000,0)</f>
        <v>0</v>
      </c>
      <c r="I22" s="741">
        <f>ROUND(+B22*1000,0)</f>
        <v>0</v>
      </c>
      <c r="J22" s="743"/>
      <c r="K22" s="645"/>
      <c r="M22" s="161"/>
    </row>
    <row r="23" spans="1:13" s="147" customFormat="1">
      <c r="A23" s="741">
        <f>[2]WPs!Y46</f>
        <v>300930</v>
      </c>
      <c r="B23" s="741">
        <f>[2]WPs!I46+[2]WPs!M46</f>
        <v>0</v>
      </c>
      <c r="C23" s="812"/>
      <c r="D23" s="252" t="s">
        <v>47</v>
      </c>
      <c r="E23" s="743"/>
      <c r="F23" s="401">
        <v>804</v>
      </c>
      <c r="G23" s="646"/>
      <c r="H23" s="741">
        <f t="shared" ref="H23:H32" si="4">ROUND(+A23*1000,0)</f>
        <v>300930000</v>
      </c>
      <c r="I23" s="741">
        <f t="shared" ref="I23:I32" si="5">ROUND(+B23*1000,0)</f>
        <v>0</v>
      </c>
      <c r="J23" s="743"/>
      <c r="K23" s="645"/>
      <c r="M23" s="161"/>
    </row>
    <row r="24" spans="1:13" s="147" customFormat="1">
      <c r="A24" s="741">
        <f>[2]WPs!Y47</f>
        <v>0</v>
      </c>
      <c r="B24" s="741">
        <f>[2]WPs!I47+[2]WPs!M47</f>
        <v>0</v>
      </c>
      <c r="C24" s="812"/>
      <c r="D24" s="252" t="s">
        <v>467</v>
      </c>
      <c r="E24" s="743"/>
      <c r="F24" s="401">
        <v>804.1</v>
      </c>
      <c r="G24" s="646"/>
      <c r="H24" s="741">
        <f t="shared" si="4"/>
        <v>0</v>
      </c>
      <c r="I24" s="741">
        <f t="shared" si="5"/>
        <v>0</v>
      </c>
      <c r="J24" s="743"/>
      <c r="K24" s="645"/>
      <c r="M24" s="161"/>
    </row>
    <row r="25" spans="1:13" s="147" customFormat="1">
      <c r="A25" s="741">
        <f>[2]WPs!Y48</f>
        <v>743</v>
      </c>
      <c r="B25" s="741">
        <f>[2]WPs!I48+[2]WPs!M48</f>
        <v>0</v>
      </c>
      <c r="C25" s="812"/>
      <c r="D25" s="252" t="s">
        <v>48</v>
      </c>
      <c r="E25" s="743"/>
      <c r="F25" s="401">
        <v>805</v>
      </c>
      <c r="G25" s="646"/>
      <c r="H25" s="741">
        <f t="shared" si="4"/>
        <v>743000</v>
      </c>
      <c r="I25" s="741">
        <f t="shared" si="5"/>
        <v>0</v>
      </c>
      <c r="J25" s="743"/>
      <c r="K25" s="645"/>
      <c r="M25" s="161"/>
    </row>
    <row r="26" spans="1:13" s="147" customFormat="1">
      <c r="A26" s="741">
        <f>[2]WPs!Y49</f>
        <v>-74059</v>
      </c>
      <c r="B26" s="741">
        <f>[2]WPs!I49+[2]WPs!M49</f>
        <v>0</v>
      </c>
      <c r="C26" s="812"/>
      <c r="D26" s="252" t="s">
        <v>49</v>
      </c>
      <c r="E26" s="743"/>
      <c r="F26" s="400">
        <v>805.1</v>
      </c>
      <c r="G26" s="646"/>
      <c r="H26" s="741">
        <f t="shared" si="4"/>
        <v>-74059000</v>
      </c>
      <c r="I26" s="741">
        <f t="shared" si="5"/>
        <v>0</v>
      </c>
      <c r="J26" s="743"/>
      <c r="K26" s="645"/>
      <c r="M26" s="161"/>
    </row>
    <row r="27" spans="1:13" s="147" customFormat="1">
      <c r="A27" s="741">
        <f>[2]WPs!Y50</f>
        <v>0</v>
      </c>
      <c r="B27" s="741">
        <f>[2]WPs!I50+[2]WPs!M50</f>
        <v>0</v>
      </c>
      <c r="C27" s="812"/>
      <c r="D27" s="252" t="s">
        <v>468</v>
      </c>
      <c r="E27" s="743"/>
      <c r="F27" s="400">
        <v>806</v>
      </c>
      <c r="G27" s="646"/>
      <c r="H27" s="741">
        <f t="shared" si="4"/>
        <v>0</v>
      </c>
      <c r="I27" s="741">
        <f t="shared" si="5"/>
        <v>0</v>
      </c>
      <c r="J27" s="743"/>
      <c r="K27" s="645"/>
      <c r="M27" s="161"/>
    </row>
    <row r="28" spans="1:13" s="147" customFormat="1">
      <c r="A28" s="741">
        <f>[2]WPs!Y51</f>
        <v>0</v>
      </c>
      <c r="B28" s="741">
        <f>[2]WPs!I51+[2]WPs!M51</f>
        <v>0</v>
      </c>
      <c r="C28" s="812"/>
      <c r="D28" s="252" t="s">
        <v>469</v>
      </c>
      <c r="E28" s="743"/>
      <c r="F28" s="400">
        <v>807</v>
      </c>
      <c r="G28" s="646"/>
      <c r="H28" s="741">
        <f t="shared" si="4"/>
        <v>0</v>
      </c>
      <c r="I28" s="741">
        <f t="shared" si="5"/>
        <v>0</v>
      </c>
      <c r="J28" s="743"/>
      <c r="K28" s="645"/>
      <c r="M28" s="161"/>
    </row>
    <row r="29" spans="1:13" s="147" customFormat="1">
      <c r="A29" s="741">
        <f>[2]WPs!Y52</f>
        <v>33780</v>
      </c>
      <c r="B29" s="741">
        <f>[2]WPs!I52+[2]WPs!M52</f>
        <v>0</v>
      </c>
      <c r="C29" s="812"/>
      <c r="D29" s="252" t="s">
        <v>50</v>
      </c>
      <c r="E29" s="813"/>
      <c r="F29" s="400">
        <v>808.1</v>
      </c>
      <c r="G29" s="646"/>
      <c r="H29" s="741">
        <f t="shared" si="4"/>
        <v>33780000</v>
      </c>
      <c r="I29" s="741">
        <f t="shared" si="5"/>
        <v>0</v>
      </c>
      <c r="J29" s="743"/>
      <c r="K29" s="645"/>
      <c r="M29" s="161"/>
    </row>
    <row r="30" spans="1:13" s="147" customFormat="1">
      <c r="A30" s="741">
        <f>[2]WPs!Y53</f>
        <v>10942</v>
      </c>
      <c r="B30" s="741">
        <f>[2]WPs!I53+[2]WPs!M53</f>
        <v>0</v>
      </c>
      <c r="C30" s="812"/>
      <c r="D30" s="252" t="s">
        <v>300</v>
      </c>
      <c r="E30" s="813"/>
      <c r="F30" s="400">
        <v>808.2</v>
      </c>
      <c r="G30" s="646"/>
      <c r="H30" s="741">
        <f t="shared" si="4"/>
        <v>10942000</v>
      </c>
      <c r="I30" s="741">
        <f t="shared" si="5"/>
        <v>0</v>
      </c>
      <c r="J30" s="743"/>
      <c r="K30" s="645"/>
      <c r="M30" s="161"/>
    </row>
    <row r="31" spans="1:13" s="147" customFormat="1">
      <c r="A31" s="741">
        <f>[2]WPs!Y54</f>
        <v>-836</v>
      </c>
      <c r="B31" s="741">
        <f>[2]WPs!I54+[2]WPs!M54</f>
        <v>0</v>
      </c>
      <c r="C31" s="87"/>
      <c r="D31" s="252" t="s">
        <v>465</v>
      </c>
      <c r="E31" s="87"/>
      <c r="F31" s="400">
        <v>812</v>
      </c>
      <c r="G31" s="641"/>
      <c r="H31" s="741">
        <f t="shared" si="4"/>
        <v>-836000</v>
      </c>
      <c r="I31" s="741">
        <f t="shared" si="5"/>
        <v>0</v>
      </c>
      <c r="J31" s="743"/>
      <c r="K31" s="645"/>
      <c r="M31" s="161"/>
    </row>
    <row r="32" spans="1:13" s="147" customFormat="1">
      <c r="A32" s="741">
        <f>[2]WPs!Y55</f>
        <v>16491</v>
      </c>
      <c r="B32" s="741">
        <f>[2]WPs!I55+[2]WPs!M55</f>
        <v>0</v>
      </c>
      <c r="C32" s="87"/>
      <c r="D32" s="252" t="s">
        <v>224</v>
      </c>
      <c r="E32" s="87"/>
      <c r="F32" s="400">
        <v>813</v>
      </c>
      <c r="G32" s="641"/>
      <c r="H32" s="741">
        <f t="shared" si="4"/>
        <v>16491000</v>
      </c>
      <c r="I32" s="741">
        <f t="shared" si="5"/>
        <v>0</v>
      </c>
      <c r="J32" s="743"/>
      <c r="K32" s="645"/>
      <c r="M32" s="161"/>
    </row>
    <row r="33" spans="1:13" s="147" customFormat="1">
      <c r="A33" s="744">
        <f>SUM(A22:A32)</f>
        <v>287991</v>
      </c>
      <c r="B33" s="744">
        <f>SUM(B22:B32)</f>
        <v>0</v>
      </c>
      <c r="C33" s="87"/>
      <c r="D33" s="811" t="s">
        <v>51</v>
      </c>
      <c r="E33" s="87"/>
      <c r="F33" s="811"/>
      <c r="G33" s="641"/>
      <c r="H33" s="744">
        <f>SUM(H22:H32)</f>
        <v>287991000</v>
      </c>
      <c r="I33" s="744">
        <f>SUM(I22:I32)</f>
        <v>0</v>
      </c>
      <c r="J33" s="744"/>
      <c r="K33" s="645"/>
      <c r="M33" s="161"/>
    </row>
    <row r="34" spans="1:13" s="147" customFormat="1">
      <c r="A34" s="641"/>
      <c r="B34" s="641"/>
      <c r="C34" s="87"/>
      <c r="D34" s="87"/>
      <c r="E34" s="87"/>
      <c r="F34" s="252"/>
      <c r="G34" s="641"/>
      <c r="H34" s="652"/>
      <c r="I34" s="652"/>
      <c r="J34" s="652"/>
      <c r="K34" s="645"/>
      <c r="M34" s="161"/>
    </row>
    <row r="35" spans="1:13" s="147" customFormat="1">
      <c r="A35" s="641"/>
      <c r="B35" s="641"/>
      <c r="C35" s="87" t="s">
        <v>365</v>
      </c>
      <c r="D35" s="87"/>
      <c r="E35" s="87"/>
      <c r="F35" s="252"/>
      <c r="G35" s="641"/>
      <c r="H35" s="652"/>
      <c r="I35" s="652"/>
      <c r="J35" s="652"/>
      <c r="K35" s="645"/>
      <c r="M35" s="161"/>
    </row>
    <row r="36" spans="1:13" s="147" customFormat="1">
      <c r="A36" s="745">
        <f>[2]WPs!Y61</f>
        <v>0</v>
      </c>
      <c r="B36" s="745">
        <f>[2]WPs!I61+[2]WPs!M61</f>
        <v>0</v>
      </c>
      <c r="C36" s="87"/>
      <c r="D36" s="87" t="s">
        <v>366</v>
      </c>
      <c r="E36" s="87"/>
      <c r="F36" s="376" t="s">
        <v>402</v>
      </c>
      <c r="G36" s="641"/>
      <c r="H36" s="741">
        <f>ROUND(+A36*1000,0)</f>
        <v>0</v>
      </c>
      <c r="I36" s="741">
        <f>ROUND(+B36*1000,0)</f>
        <v>0</v>
      </c>
      <c r="J36" s="838"/>
      <c r="K36" s="645"/>
      <c r="M36" s="161"/>
    </row>
    <row r="37" spans="1:13" s="147" customFormat="1">
      <c r="A37" s="745">
        <f>[2]WPs!Y62</f>
        <v>0</v>
      </c>
      <c r="B37" s="745">
        <f>[2]WPs!I62+[2]WPs!M62</f>
        <v>0</v>
      </c>
      <c r="C37" s="87"/>
      <c r="D37" s="87" t="s">
        <v>62</v>
      </c>
      <c r="E37" s="87"/>
      <c r="F37" s="376">
        <v>824</v>
      </c>
      <c r="G37" s="641"/>
      <c r="H37" s="745">
        <f t="shared" ref="H37:H38" si="6">ROUND(+A37*1000,0)</f>
        <v>0</v>
      </c>
      <c r="I37" s="745">
        <f t="shared" ref="I37:I38" si="7">ROUND(+B37*1000,0)</f>
        <v>0</v>
      </c>
      <c r="J37" s="838"/>
      <c r="K37" s="645"/>
      <c r="M37" s="161"/>
    </row>
    <row r="38" spans="1:13" s="147" customFormat="1">
      <c r="A38" s="745">
        <f>[2]WPs!Y63</f>
        <v>0</v>
      </c>
      <c r="B38" s="745">
        <f>[2]WPs!I63+[2]WPs!M63</f>
        <v>0</v>
      </c>
      <c r="C38" s="87"/>
      <c r="D38" s="147" t="s">
        <v>798</v>
      </c>
      <c r="F38" s="376" t="s">
        <v>799</v>
      </c>
      <c r="G38" s="641"/>
      <c r="H38" s="746">
        <f t="shared" si="6"/>
        <v>0</v>
      </c>
      <c r="I38" s="745">
        <f t="shared" si="7"/>
        <v>0</v>
      </c>
      <c r="J38" s="839"/>
      <c r="K38" s="645"/>
      <c r="M38" s="161"/>
    </row>
    <row r="39" spans="1:13" s="147" customFormat="1">
      <c r="A39" s="826">
        <f>SUM(A36:A38)</f>
        <v>0</v>
      </c>
      <c r="B39" s="834">
        <f>SUM(B36:B38)</f>
        <v>0</v>
      </c>
      <c r="C39" s="87"/>
      <c r="D39" s="87"/>
      <c r="E39" s="87"/>
      <c r="F39" s="376"/>
      <c r="G39" s="641"/>
      <c r="H39" s="840">
        <f>SUM(H36:H38)</f>
        <v>0</v>
      </c>
      <c r="I39" s="834">
        <f>SUM(I36:I38)</f>
        <v>0</v>
      </c>
      <c r="J39" s="828"/>
      <c r="K39" s="645"/>
      <c r="M39" s="161"/>
    </row>
    <row r="40" spans="1:13" s="147" customFormat="1">
      <c r="A40" s="827"/>
      <c r="B40" s="667"/>
      <c r="C40" s="262" t="s">
        <v>205</v>
      </c>
      <c r="D40" s="87"/>
      <c r="E40" s="87"/>
      <c r="F40" s="376"/>
      <c r="G40" s="641"/>
      <c r="H40" s="667"/>
      <c r="I40" s="667"/>
      <c r="J40" s="841"/>
      <c r="K40" s="645"/>
      <c r="M40" s="161"/>
    </row>
    <row r="41" spans="1:13" s="147" customFormat="1">
      <c r="A41" s="827">
        <f>[2]WPs!$Y$67</f>
        <v>0</v>
      </c>
      <c r="B41" s="827">
        <f>[2]WPs!$I$67+[2]WPs!$M$67</f>
        <v>0</v>
      </c>
      <c r="C41" s="87"/>
      <c r="D41" s="87" t="s">
        <v>66</v>
      </c>
      <c r="E41" s="87"/>
      <c r="F41" s="376">
        <v>830</v>
      </c>
      <c r="G41" s="641"/>
      <c r="H41" s="840">
        <f>ROUND(+A41*1000,0)</f>
        <v>0</v>
      </c>
      <c r="I41" s="840">
        <f>ROUND(+B41*1000,0)</f>
        <v>0</v>
      </c>
      <c r="J41" s="828"/>
      <c r="K41" s="645"/>
      <c r="M41" s="161"/>
    </row>
    <row r="42" spans="1:13" s="147" customFormat="1">
      <c r="A42" s="827">
        <f>[2]WPs!$Y$68</f>
        <v>0</v>
      </c>
      <c r="B42" s="827">
        <f>[2]WPs!$I$68+[2]WPs!$M$68</f>
        <v>0</v>
      </c>
      <c r="C42" s="87"/>
      <c r="D42" s="87" t="s">
        <v>800</v>
      </c>
      <c r="E42" s="87"/>
      <c r="F42" s="376" t="s">
        <v>801</v>
      </c>
      <c r="G42" s="641"/>
      <c r="H42" s="840">
        <f>ROUND(+A42*1000,0)</f>
        <v>0</v>
      </c>
      <c r="I42" s="840">
        <f>ROUND(+B42*1000,0)</f>
        <v>0</v>
      </c>
      <c r="J42" s="828"/>
      <c r="K42" s="645"/>
      <c r="M42" s="161"/>
    </row>
    <row r="43" spans="1:13" s="147" customFormat="1">
      <c r="A43" s="826">
        <f>SUM(A41:A42)</f>
        <v>0</v>
      </c>
      <c r="B43" s="826">
        <f>SUM(B41:B42)</f>
        <v>0</v>
      </c>
      <c r="C43" s="87"/>
      <c r="D43" s="87"/>
      <c r="E43" s="87"/>
      <c r="F43" s="376"/>
      <c r="G43" s="641"/>
      <c r="H43" s="834">
        <f>SUM(H41:H42)</f>
        <v>0</v>
      </c>
      <c r="I43" s="834">
        <f>SUM(I41:I42)</f>
        <v>0</v>
      </c>
      <c r="J43" s="828"/>
      <c r="K43" s="645"/>
      <c r="M43" s="161"/>
    </row>
    <row r="44" spans="1:13" s="147" customFormat="1">
      <c r="A44" s="667"/>
      <c r="B44" s="641"/>
      <c r="C44" s="87" t="s">
        <v>404</v>
      </c>
      <c r="D44" s="87"/>
      <c r="E44" s="87"/>
      <c r="F44" s="376"/>
      <c r="G44" s="641"/>
      <c r="H44" s="667"/>
      <c r="I44" s="652"/>
      <c r="J44" s="841"/>
      <c r="K44" s="645"/>
      <c r="M44" s="161"/>
    </row>
    <row r="45" spans="1:13" s="147" customFormat="1">
      <c r="A45" s="828">
        <f>[2]WPs!Y88</f>
        <v>0</v>
      </c>
      <c r="B45" s="828">
        <f>[2]WPs!I88+[2]WPs!M88</f>
        <v>0</v>
      </c>
      <c r="C45" s="87"/>
      <c r="D45" s="87" t="s">
        <v>474</v>
      </c>
      <c r="E45" s="87"/>
      <c r="F45" s="401">
        <v>840</v>
      </c>
      <c r="G45" s="641"/>
      <c r="H45" s="763">
        <f>ROUND(+A45*1000,0)*0</f>
        <v>0</v>
      </c>
      <c r="I45" s="763">
        <f>ROUND(+B45*1000,0)*0</f>
        <v>0</v>
      </c>
      <c r="J45" s="838"/>
      <c r="K45" s="645"/>
      <c r="M45" s="161"/>
    </row>
    <row r="46" spans="1:13" s="147" customFormat="1">
      <c r="A46" s="828">
        <f>[2]WPs!Y89</f>
        <v>0</v>
      </c>
      <c r="B46" s="828">
        <f>[2]WPs!I89+[2]WPs!M89</f>
        <v>0</v>
      </c>
      <c r="C46" s="87"/>
      <c r="D46" s="87" t="s">
        <v>475</v>
      </c>
      <c r="E46" s="87"/>
      <c r="F46" s="401">
        <v>841</v>
      </c>
      <c r="G46" s="641"/>
      <c r="H46" s="741">
        <f t="shared" ref="H46:H47" si="8">ROUND(+A46*1000,0)</f>
        <v>0</v>
      </c>
      <c r="I46" s="741">
        <f t="shared" ref="I46:I47" si="9">ROUND(+B46*1000,0)</f>
        <v>0</v>
      </c>
      <c r="J46" s="838"/>
      <c r="K46" s="645"/>
      <c r="M46" s="161"/>
    </row>
    <row r="47" spans="1:13" s="147" customFormat="1">
      <c r="A47" s="828">
        <f>[2]WPs!Y90</f>
        <v>0</v>
      </c>
      <c r="B47" s="828">
        <f>[2]WPs!I90+[2]WPs!M90</f>
        <v>0</v>
      </c>
      <c r="C47" s="87"/>
      <c r="D47" s="87" t="s">
        <v>476</v>
      </c>
      <c r="E47" s="87"/>
      <c r="F47" s="401" t="s">
        <v>477</v>
      </c>
      <c r="G47" s="641"/>
      <c r="H47" s="741">
        <f t="shared" si="8"/>
        <v>0</v>
      </c>
      <c r="I47" s="741">
        <f t="shared" si="9"/>
        <v>0</v>
      </c>
      <c r="J47" s="839"/>
      <c r="K47" s="645"/>
      <c r="M47" s="161"/>
    </row>
    <row r="48" spans="1:13" s="216" customFormat="1">
      <c r="A48" s="829">
        <f>SUM(A45:A47)</f>
        <v>0</v>
      </c>
      <c r="B48" s="829">
        <f>SUM(B45:B47)</f>
        <v>0</v>
      </c>
      <c r="C48" s="252"/>
      <c r="D48" s="252"/>
      <c r="E48" s="252"/>
      <c r="F48" s="376"/>
      <c r="G48" s="641"/>
      <c r="H48" s="829">
        <f>SUM(H45:H47)</f>
        <v>0</v>
      </c>
      <c r="I48" s="829">
        <f>SUM(I45:I47)</f>
        <v>0</v>
      </c>
      <c r="J48" s="828"/>
      <c r="K48" s="657"/>
      <c r="M48" s="241"/>
    </row>
    <row r="49" spans="1:13" s="216" customFormat="1">
      <c r="A49" s="828"/>
      <c r="B49" s="656"/>
      <c r="C49" s="262" t="s">
        <v>205</v>
      </c>
      <c r="D49" s="252"/>
      <c r="E49" s="252"/>
      <c r="F49" s="376"/>
      <c r="G49" s="641"/>
      <c r="H49" s="656"/>
      <c r="I49" s="656"/>
      <c r="J49" s="656"/>
      <c r="K49" s="657"/>
      <c r="M49" s="241"/>
    </row>
    <row r="50" spans="1:13" s="216" customFormat="1">
      <c r="A50" s="828">
        <f>[2]WPs!$Y$94</f>
        <v>0</v>
      </c>
      <c r="B50" s="828">
        <f>[2]WPs!$I$94+[2]WPs!$M$94</f>
        <v>0</v>
      </c>
      <c r="C50" s="252"/>
      <c r="D50" s="252" t="s">
        <v>66</v>
      </c>
      <c r="E50" s="252"/>
      <c r="F50" s="401">
        <v>843.1</v>
      </c>
      <c r="G50" s="641"/>
      <c r="H50" s="741">
        <f>ROUND(+A50*1000,0)*0</f>
        <v>0</v>
      </c>
      <c r="I50" s="741">
        <f>ROUND(+B50*1000,0)*0</f>
        <v>0</v>
      </c>
      <c r="J50" s="838"/>
      <c r="K50" s="657"/>
      <c r="M50" s="241"/>
    </row>
    <row r="51" spans="1:13" s="216" customFormat="1">
      <c r="A51" s="828">
        <f>[2]WPs!$Y$95</f>
        <v>0</v>
      </c>
      <c r="B51" s="828">
        <f>[2]WPs!$I$95+[2]WPs!$M$95</f>
        <v>0</v>
      </c>
      <c r="C51" s="252"/>
      <c r="D51" s="252" t="s">
        <v>67</v>
      </c>
      <c r="E51" s="252"/>
      <c r="F51" s="401">
        <v>843.2</v>
      </c>
      <c r="G51" s="641"/>
      <c r="H51" s="741">
        <f t="shared" ref="H51:H52" si="10">ROUND(+A51*1000,0)</f>
        <v>0</v>
      </c>
      <c r="I51" s="741">
        <f t="shared" ref="I51:I52" si="11">ROUND(+B51*1000,0)</f>
        <v>0</v>
      </c>
      <c r="J51" s="838"/>
      <c r="K51" s="657"/>
      <c r="M51" s="241"/>
    </row>
    <row r="52" spans="1:13" s="216" customFormat="1">
      <c r="A52" s="828">
        <f>[2]WPs!$Y$96</f>
        <v>0</v>
      </c>
      <c r="B52" s="828">
        <f>[2]WPs!$I$96+[2]WPs!$M$96</f>
        <v>0</v>
      </c>
      <c r="C52" s="252"/>
      <c r="D52" s="252" t="s">
        <v>802</v>
      </c>
      <c r="E52" s="252"/>
      <c r="F52" s="401" t="s">
        <v>803</v>
      </c>
      <c r="G52" s="641"/>
      <c r="H52" s="741">
        <f t="shared" si="10"/>
        <v>0</v>
      </c>
      <c r="I52" s="741">
        <f t="shared" si="11"/>
        <v>0</v>
      </c>
      <c r="J52" s="839"/>
      <c r="K52" s="657"/>
      <c r="M52" s="241"/>
    </row>
    <row r="53" spans="1:13" s="216" customFormat="1">
      <c r="A53" s="829">
        <f>-SUM(A50:A52)</f>
        <v>0</v>
      </c>
      <c r="B53" s="829">
        <f>-SUM(B50:B52)</f>
        <v>0</v>
      </c>
      <c r="C53" s="252"/>
      <c r="D53" s="252"/>
      <c r="E53" s="252"/>
      <c r="F53" s="376"/>
      <c r="G53" s="641"/>
      <c r="H53" s="829">
        <f>SUM(H50:H52)</f>
        <v>0</v>
      </c>
      <c r="I53" s="829">
        <f>SUM(I50:I52)</f>
        <v>0</v>
      </c>
      <c r="J53" s="828"/>
      <c r="K53" s="657"/>
      <c r="M53" s="241"/>
    </row>
    <row r="54" spans="1:13" s="216" customFormat="1">
      <c r="A54" s="828"/>
      <c r="B54" s="751"/>
      <c r="C54" s="262" t="s">
        <v>804</v>
      </c>
      <c r="D54" s="252"/>
      <c r="E54" s="252"/>
      <c r="F54" s="376"/>
      <c r="G54" s="641"/>
      <c r="H54" s="656"/>
      <c r="I54" s="656"/>
      <c r="J54" s="656"/>
      <c r="K54" s="657"/>
      <c r="M54" s="241"/>
    </row>
    <row r="55" spans="1:13" s="216" customFormat="1">
      <c r="A55" s="828">
        <f>[2]WPs!$Y$102</f>
        <v>0</v>
      </c>
      <c r="B55" s="828">
        <f>[2]WPs!$I$102+[2]WPs!$M$102</f>
        <v>0</v>
      </c>
      <c r="C55" s="252"/>
      <c r="D55" s="252" t="s">
        <v>805</v>
      </c>
      <c r="E55" s="252"/>
      <c r="F55" s="376" t="s">
        <v>807</v>
      </c>
      <c r="G55" s="641"/>
      <c r="H55" s="840">
        <f>ROUND(+A55*1000,0)</f>
        <v>0</v>
      </c>
      <c r="I55" s="840">
        <f>ROUND(+B55*1000,0)</f>
        <v>0</v>
      </c>
      <c r="J55" s="656"/>
      <c r="K55" s="657"/>
      <c r="M55" s="241"/>
    </row>
    <row r="56" spans="1:13" s="216" customFormat="1">
      <c r="A56" s="828">
        <f>[2]WPs!$Y$103</f>
        <v>0</v>
      </c>
      <c r="B56" s="828">
        <f>[2]WPs!$I$103+[2]WPs!$M$103</f>
        <v>0</v>
      </c>
      <c r="C56" s="252"/>
      <c r="D56" s="252" t="s">
        <v>806</v>
      </c>
      <c r="E56" s="252"/>
      <c r="F56" s="376" t="s">
        <v>808</v>
      </c>
      <c r="G56" s="641"/>
      <c r="H56" s="840">
        <f>ROUND(+A56*1000,0)</f>
        <v>0</v>
      </c>
      <c r="I56" s="840">
        <f>ROUND(+B56*1000,0)</f>
        <v>0</v>
      </c>
      <c r="J56" s="656"/>
      <c r="K56" s="657"/>
      <c r="M56" s="241"/>
    </row>
    <row r="57" spans="1:13" s="216" customFormat="1">
      <c r="A57" s="829">
        <f>SUM(A55:A56)</f>
        <v>0</v>
      </c>
      <c r="B57" s="829">
        <f>SUM(B55:B56)</f>
        <v>0</v>
      </c>
      <c r="C57" s="252"/>
      <c r="D57" s="252"/>
      <c r="E57" s="252"/>
      <c r="F57" s="376"/>
      <c r="G57" s="641"/>
      <c r="H57" s="834">
        <f>SUM(H55:H56)</f>
        <v>0</v>
      </c>
      <c r="I57" s="834">
        <f>SUM(I55:I56)</f>
        <v>0</v>
      </c>
      <c r="J57" s="656"/>
      <c r="K57" s="657"/>
      <c r="M57" s="241"/>
    </row>
    <row r="58" spans="1:13" s="216" customFormat="1">
      <c r="A58" s="828"/>
      <c r="B58" s="656"/>
      <c r="C58" s="252"/>
      <c r="D58" s="252"/>
      <c r="E58" s="252"/>
      <c r="F58" s="376"/>
      <c r="G58" s="641"/>
      <c r="H58" s="656"/>
      <c r="I58" s="656"/>
      <c r="J58" s="656"/>
      <c r="K58" s="657"/>
      <c r="M58" s="241"/>
    </row>
    <row r="59" spans="1:13" s="147" customFormat="1">
      <c r="A59" s="667"/>
      <c r="B59" s="641"/>
      <c r="C59" s="87" t="s">
        <v>367</v>
      </c>
      <c r="D59" s="87"/>
      <c r="E59" s="87"/>
      <c r="F59" s="376"/>
      <c r="G59" s="641"/>
      <c r="H59" s="655"/>
      <c r="I59" s="641"/>
      <c r="J59" s="656"/>
      <c r="K59" s="645"/>
      <c r="M59" s="161"/>
    </row>
    <row r="60" spans="1:13" s="147" customFormat="1">
      <c r="A60" s="828">
        <f>[2]WPs!$Y$107</f>
        <v>0</v>
      </c>
      <c r="B60" s="828">
        <f>[2]WPs!$I$107+[2]WPs!$M$107</f>
        <v>0</v>
      </c>
      <c r="C60" s="87"/>
      <c r="D60" s="87" t="s">
        <v>368</v>
      </c>
      <c r="E60" s="87"/>
      <c r="F60" s="376" t="s">
        <v>405</v>
      </c>
      <c r="G60" s="641"/>
      <c r="H60" s="842">
        <f>ROUND(+A60*1000,0)</f>
        <v>0</v>
      </c>
      <c r="I60" s="842">
        <f>ROUND(+B60*1000,0)</f>
        <v>0</v>
      </c>
      <c r="J60" s="653"/>
      <c r="K60" s="645"/>
      <c r="M60" s="161"/>
    </row>
    <row r="61" spans="1:13" s="147" customFormat="1">
      <c r="A61" s="830">
        <f>[2]WPs!$Y$108</f>
        <v>0</v>
      </c>
      <c r="B61" s="828">
        <f>[2]WPs!$I$108+[2]WPs!$M$108</f>
        <v>0</v>
      </c>
      <c r="C61" s="87"/>
      <c r="D61" s="87" t="s">
        <v>369</v>
      </c>
      <c r="E61" s="87"/>
      <c r="F61" s="376" t="s">
        <v>406</v>
      </c>
      <c r="G61" s="641"/>
      <c r="H61" s="843">
        <f>ROUND(+A61*1000,0)</f>
        <v>0</v>
      </c>
      <c r="I61" s="843">
        <f>ROUND(+B61*1000,0)</f>
        <v>0</v>
      </c>
      <c r="J61" s="654"/>
      <c r="K61" s="645"/>
      <c r="M61" s="161"/>
    </row>
    <row r="62" spans="1:13" s="216" customFormat="1">
      <c r="A62" s="828">
        <f>SUM(A60:A61)</f>
        <v>0</v>
      </c>
      <c r="B62" s="829">
        <f>SUM(B60:B61)</f>
        <v>0</v>
      </c>
      <c r="C62" s="252"/>
      <c r="D62" s="252"/>
      <c r="E62" s="252"/>
      <c r="F62" s="252"/>
      <c r="G62" s="641"/>
      <c r="H62" s="828">
        <f>SUM(H60:H61)</f>
        <v>0</v>
      </c>
      <c r="I62" s="828">
        <f>SUM(I60:I61)</f>
        <v>0</v>
      </c>
      <c r="J62" s="656"/>
      <c r="K62" s="657"/>
      <c r="M62" s="241"/>
    </row>
    <row r="63" spans="1:13" s="147" customFormat="1">
      <c r="A63" s="652"/>
      <c r="B63" s="641"/>
      <c r="C63" s="87" t="s">
        <v>52</v>
      </c>
      <c r="D63" s="87"/>
      <c r="E63" s="87"/>
      <c r="F63" s="252"/>
      <c r="G63" s="641"/>
      <c r="H63" s="641"/>
      <c r="I63" s="641"/>
      <c r="J63" s="641"/>
      <c r="K63" s="645"/>
      <c r="M63" s="161"/>
    </row>
    <row r="64" spans="1:13">
      <c r="A64" s="652"/>
      <c r="B64" s="641"/>
      <c r="C64" s="87" t="s">
        <v>53</v>
      </c>
      <c r="D64" s="87"/>
      <c r="E64" s="87"/>
      <c r="F64" s="252"/>
      <c r="G64" s="641"/>
      <c r="H64" s="641"/>
      <c r="I64" s="641"/>
      <c r="J64" s="641"/>
      <c r="K64" s="645"/>
    </row>
    <row r="65" spans="1:11">
      <c r="A65" s="752">
        <f>[2]WPs!Y113</f>
        <v>14423.010276539992</v>
      </c>
      <c r="B65" s="105">
        <f>[2]WPs!I113+[2]WPs!M113+[2]WPs!$O$113</f>
        <v>12449.010276539992</v>
      </c>
      <c r="C65" s="87"/>
      <c r="D65" s="87" t="s">
        <v>54</v>
      </c>
      <c r="E65" s="87"/>
      <c r="F65" s="811">
        <v>870</v>
      </c>
      <c r="G65" s="641"/>
      <c r="H65" s="741">
        <f>ROUND(+A65*1000,0)</f>
        <v>14423010</v>
      </c>
      <c r="I65" s="741">
        <f>ROUND(+B65*1000,0)</f>
        <v>12449010</v>
      </c>
      <c r="J65" s="404"/>
      <c r="K65" s="645"/>
    </row>
    <row r="66" spans="1:11">
      <c r="A66" s="752">
        <f>[2]WPs!Y114</f>
        <v>2122.8168849936519</v>
      </c>
      <c r="B66" s="105">
        <f>[2]WPs!I114+[2]WPs!M114</f>
        <v>288.81688499365214</v>
      </c>
      <c r="C66" s="87"/>
      <c r="D66" s="87" t="s">
        <v>55</v>
      </c>
      <c r="E66" s="87"/>
      <c r="F66" s="811">
        <v>871</v>
      </c>
      <c r="G66" s="641"/>
      <c r="H66" s="741">
        <f t="shared" ref="H66:H76" si="12">ROUND(+A66*1000,0)</f>
        <v>2122817</v>
      </c>
      <c r="I66" s="741">
        <f t="shared" ref="I66:I76" si="13">ROUND(+B66*1000,0)</f>
        <v>288817</v>
      </c>
      <c r="J66" s="404"/>
      <c r="K66" s="645"/>
    </row>
    <row r="67" spans="1:11">
      <c r="A67" s="752">
        <f>[2]WPs!Y115</f>
        <v>0</v>
      </c>
      <c r="B67" s="105">
        <f>[2]WPs!I115+[2]WPs!M115</f>
        <v>0</v>
      </c>
      <c r="C67" s="87"/>
      <c r="D67" s="87" t="s">
        <v>478</v>
      </c>
      <c r="E67" s="87"/>
      <c r="F67" s="811">
        <v>872</v>
      </c>
      <c r="G67" s="641"/>
      <c r="H67" s="741">
        <f t="shared" si="12"/>
        <v>0</v>
      </c>
      <c r="I67" s="741">
        <f t="shared" si="13"/>
        <v>0</v>
      </c>
      <c r="J67" s="404"/>
      <c r="K67" s="645"/>
    </row>
    <row r="68" spans="1:11">
      <c r="A68" s="752">
        <f>[2]WPs!Y116</f>
        <v>0</v>
      </c>
      <c r="B68" s="105">
        <f>[2]WPs!I116+[2]WPs!M116</f>
        <v>0</v>
      </c>
      <c r="C68" s="87"/>
      <c r="D68" s="87" t="s">
        <v>407</v>
      </c>
      <c r="E68" s="87"/>
      <c r="F68" s="811">
        <v>873</v>
      </c>
      <c r="G68" s="641"/>
      <c r="H68" s="741">
        <f t="shared" si="12"/>
        <v>0</v>
      </c>
      <c r="I68" s="741">
        <f t="shared" si="13"/>
        <v>0</v>
      </c>
      <c r="J68" s="404"/>
      <c r="K68" s="645"/>
    </row>
    <row r="69" spans="1:11">
      <c r="A69" s="752">
        <f>[2]WPs!Y117</f>
        <v>24863.264984822683</v>
      </c>
      <c r="B69" s="105">
        <f>[2]WPs!I117+[2]WPs!M117</f>
        <v>10462.264984822683</v>
      </c>
      <c r="C69" s="87"/>
      <c r="D69" s="87" t="s">
        <v>56</v>
      </c>
      <c r="E69" s="87"/>
      <c r="F69" s="811">
        <v>874</v>
      </c>
      <c r="G69" s="641"/>
      <c r="H69" s="741">
        <f t="shared" si="12"/>
        <v>24863265</v>
      </c>
      <c r="I69" s="741">
        <f t="shared" si="13"/>
        <v>10462265</v>
      </c>
      <c r="J69" s="404"/>
      <c r="K69" s="645"/>
    </row>
    <row r="70" spans="1:11">
      <c r="A70" s="752">
        <f>[2]WPs!Y118</f>
        <v>2098.0844872890393</v>
      </c>
      <c r="B70" s="105">
        <f>[2]WPs!I118+[2]WPs!M118</f>
        <v>1217.0844872890393</v>
      </c>
      <c r="C70" s="87"/>
      <c r="D70" s="87" t="s">
        <v>57</v>
      </c>
      <c r="E70" s="87"/>
      <c r="F70" s="811">
        <v>875</v>
      </c>
      <c r="G70" s="641"/>
      <c r="H70" s="741">
        <f t="shared" si="12"/>
        <v>2098084</v>
      </c>
      <c r="I70" s="741">
        <f t="shared" si="13"/>
        <v>1217084</v>
      </c>
      <c r="J70" s="404"/>
      <c r="K70" s="645"/>
    </row>
    <row r="71" spans="1:11">
      <c r="A71" s="752">
        <f>[2]WPs!Y119</f>
        <v>266.21428126280153</v>
      </c>
      <c r="B71" s="105">
        <f>[2]WPs!I119+[2]WPs!M119</f>
        <v>16.214281262801524</v>
      </c>
      <c r="C71" s="87"/>
      <c r="D71" s="87" t="s">
        <v>58</v>
      </c>
      <c r="E71" s="87"/>
      <c r="F71" s="811">
        <v>876</v>
      </c>
      <c r="G71" s="641"/>
      <c r="H71" s="741">
        <f t="shared" si="12"/>
        <v>266214</v>
      </c>
      <c r="I71" s="741">
        <f t="shared" si="13"/>
        <v>16214</v>
      </c>
      <c r="J71" s="404"/>
      <c r="K71" s="645"/>
    </row>
    <row r="72" spans="1:11">
      <c r="A72" s="752">
        <f>[2]WPs!Y120</f>
        <v>1070.8257095116378</v>
      </c>
      <c r="B72" s="105">
        <f>[2]WPs!I120+[2]WPs!M120</f>
        <v>667.8257095116378</v>
      </c>
      <c r="C72" s="87"/>
      <c r="D72" s="87" t="s">
        <v>59</v>
      </c>
      <c r="E72" s="87"/>
      <c r="F72" s="811">
        <v>877</v>
      </c>
      <c r="G72" s="641"/>
      <c r="H72" s="741">
        <f t="shared" si="12"/>
        <v>1070826</v>
      </c>
      <c r="I72" s="741">
        <f t="shared" si="13"/>
        <v>667826</v>
      </c>
      <c r="J72" s="404"/>
      <c r="K72" s="645"/>
    </row>
    <row r="73" spans="1:11">
      <c r="A73" s="752">
        <f>[2]WPs!Y121</f>
        <v>3687.7536799898435</v>
      </c>
      <c r="B73" s="105">
        <f>[2]WPs!I121+[2]WPs!M121</f>
        <v>2856.7536799898435</v>
      </c>
      <c r="C73" s="87"/>
      <c r="D73" s="87" t="s">
        <v>60</v>
      </c>
      <c r="E73" s="813"/>
      <c r="F73" s="811">
        <v>878</v>
      </c>
      <c r="G73" s="646"/>
      <c r="H73" s="741">
        <f t="shared" si="12"/>
        <v>3687754</v>
      </c>
      <c r="I73" s="741">
        <f t="shared" si="13"/>
        <v>2856754</v>
      </c>
      <c r="J73" s="404"/>
      <c r="K73" s="645"/>
    </row>
    <row r="74" spans="1:11">
      <c r="A74" s="752">
        <f>[2]WPs!Y122</f>
        <v>3091.7584350131187</v>
      </c>
      <c r="B74" s="105">
        <f>[2]WPs!I122+[2]WPs!M122</f>
        <v>1797.758435013119</v>
      </c>
      <c r="C74" s="812"/>
      <c r="D74" s="87" t="s">
        <v>61</v>
      </c>
      <c r="E74" s="813"/>
      <c r="F74" s="811">
        <v>879</v>
      </c>
      <c r="G74" s="646"/>
      <c r="H74" s="741">
        <f t="shared" si="12"/>
        <v>3091758</v>
      </c>
      <c r="I74" s="741">
        <f t="shared" si="13"/>
        <v>1797758</v>
      </c>
      <c r="J74" s="404"/>
      <c r="K74" s="645"/>
    </row>
    <row r="75" spans="1:11">
      <c r="A75" s="752">
        <f>[2]WPs!Y123</f>
        <v>4537.3520895844267</v>
      </c>
      <c r="B75" s="105">
        <f>[2]WPs!I123+[2]WPs!M123</f>
        <v>2145.3520895844267</v>
      </c>
      <c r="C75" s="812"/>
      <c r="D75" s="87" t="s">
        <v>62</v>
      </c>
      <c r="E75" s="813"/>
      <c r="F75" s="811">
        <v>880</v>
      </c>
      <c r="G75" s="646"/>
      <c r="H75" s="741">
        <f t="shared" si="12"/>
        <v>4537352</v>
      </c>
      <c r="I75" s="741">
        <f t="shared" si="13"/>
        <v>2145352</v>
      </c>
      <c r="J75" s="404"/>
      <c r="K75" s="645"/>
    </row>
    <row r="76" spans="1:11">
      <c r="A76" s="752">
        <f>[2]WPs!Y124</f>
        <v>237.04017773677529</v>
      </c>
      <c r="B76" s="105">
        <f>[2]WPs!I124+[2]WPs!M124</f>
        <v>3.0401777367752856</v>
      </c>
      <c r="C76" s="812"/>
      <c r="D76" s="87" t="s">
        <v>63</v>
      </c>
      <c r="E76" s="813"/>
      <c r="F76" s="811">
        <v>881</v>
      </c>
      <c r="G76" s="646"/>
      <c r="H76" s="741">
        <f t="shared" si="12"/>
        <v>237040</v>
      </c>
      <c r="I76" s="741">
        <f t="shared" si="13"/>
        <v>3040</v>
      </c>
      <c r="J76" s="404"/>
      <c r="K76" s="645"/>
    </row>
    <row r="77" spans="1:11">
      <c r="A77" s="744">
        <f>SUM(A65:A76)</f>
        <v>56398.121006743968</v>
      </c>
      <c r="B77" s="744">
        <f>SUM(B65:B76)</f>
        <v>31904.121006743972</v>
      </c>
      <c r="C77" s="812"/>
      <c r="D77" s="811" t="s">
        <v>64</v>
      </c>
      <c r="E77" s="813"/>
      <c r="F77" s="811"/>
      <c r="G77" s="646"/>
      <c r="H77" s="744">
        <f>SUM(H65:H76)</f>
        <v>56398120</v>
      </c>
      <c r="I77" s="744">
        <f>SUM(I65:I76)</f>
        <v>31904120</v>
      </c>
      <c r="J77" s="744"/>
      <c r="K77" s="645"/>
    </row>
    <row r="78" spans="1:11">
      <c r="A78" s="652"/>
      <c r="B78" s="644"/>
      <c r="C78" s="812"/>
      <c r="D78" s="87"/>
      <c r="E78" s="87"/>
      <c r="F78" s="252"/>
      <c r="G78" s="641"/>
      <c r="H78" s="652"/>
      <c r="I78" s="644"/>
      <c r="J78" s="652"/>
      <c r="K78" s="645"/>
    </row>
    <row r="79" spans="1:11" ht="12.75" customHeight="1">
      <c r="A79" s="659"/>
      <c r="B79" s="644"/>
      <c r="C79" s="812" t="s">
        <v>65</v>
      </c>
      <c r="D79" s="87"/>
      <c r="E79" s="743"/>
      <c r="F79" s="811"/>
      <c r="G79" s="646"/>
      <c r="H79" s="659"/>
      <c r="I79" s="644"/>
      <c r="J79" s="659"/>
      <c r="K79" s="645"/>
    </row>
    <row r="80" spans="1:11">
      <c r="A80" s="741">
        <f>[2]WPs!Y127</f>
        <v>3775.066090403724</v>
      </c>
      <c r="B80" s="105">
        <f>[2]WPs!I127+[2]WPs!M127</f>
        <v>3183.066090403724</v>
      </c>
      <c r="C80" s="812"/>
      <c r="D80" s="743" t="s">
        <v>66</v>
      </c>
      <c r="E80" s="743"/>
      <c r="F80" s="814">
        <v>885</v>
      </c>
      <c r="G80" s="646"/>
      <c r="H80" s="741">
        <f>ROUND(+A80*1000,0)</f>
        <v>3775066</v>
      </c>
      <c r="I80" s="741">
        <f>ROUND(+B80*1000,0)</f>
        <v>3183066</v>
      </c>
      <c r="J80" s="404"/>
      <c r="K80" s="645"/>
    </row>
    <row r="81" spans="1:13">
      <c r="A81" s="741">
        <f>[2]WPs!Y128</f>
        <v>404.29901783495558</v>
      </c>
      <c r="B81" s="105">
        <f>[2]WPs!I128+[2]WPs!M128</f>
        <v>325.29901783495558</v>
      </c>
      <c r="C81" s="812"/>
      <c r="D81" s="743" t="s">
        <v>67</v>
      </c>
      <c r="E81" s="743"/>
      <c r="F81" s="814">
        <v>886</v>
      </c>
      <c r="G81" s="646"/>
      <c r="H81" s="741">
        <f t="shared" ref="H81:H90" si="14">ROUND(+A81*1000,0)</f>
        <v>404299</v>
      </c>
      <c r="I81" s="741">
        <f t="shared" ref="I81:I90" si="15">ROUND(+B81*1000,0)</f>
        <v>325299</v>
      </c>
      <c r="J81" s="404"/>
      <c r="K81" s="645"/>
    </row>
    <row r="82" spans="1:13">
      <c r="A82" s="741">
        <f>[2]WPs!Y129</f>
        <v>17616.097256660178</v>
      </c>
      <c r="B82" s="105">
        <f>[2]WPs!I129+[2]WPs!M129</f>
        <v>3488.0972566601777</v>
      </c>
      <c r="C82" s="812"/>
      <c r="D82" s="743" t="s">
        <v>68</v>
      </c>
      <c r="E82" s="743"/>
      <c r="F82" s="814">
        <v>887</v>
      </c>
      <c r="G82" s="646"/>
      <c r="H82" s="741">
        <f t="shared" si="14"/>
        <v>17616097</v>
      </c>
      <c r="I82" s="741">
        <f t="shared" si="15"/>
        <v>3488097</v>
      </c>
      <c r="J82" s="404"/>
      <c r="K82" s="645"/>
    </row>
    <row r="83" spans="1:13">
      <c r="A83" s="741">
        <f>[2]WPs!Y130</f>
        <v>59</v>
      </c>
      <c r="B83" s="105">
        <f>[2]WPs!I130+[2]WPs!M130</f>
        <v>0</v>
      </c>
      <c r="C83" s="812"/>
      <c r="D83" s="743" t="s">
        <v>408</v>
      </c>
      <c r="E83" s="743"/>
      <c r="F83" s="814">
        <v>888</v>
      </c>
      <c r="G83" s="646"/>
      <c r="H83" s="741">
        <f t="shared" si="14"/>
        <v>59000</v>
      </c>
      <c r="I83" s="741">
        <f t="shared" si="15"/>
        <v>0</v>
      </c>
      <c r="J83" s="404"/>
      <c r="K83" s="645"/>
    </row>
    <row r="84" spans="1:13">
      <c r="A84" s="741">
        <f>[2]WPs!Y131</f>
        <v>1577.803305452391</v>
      </c>
      <c r="B84" s="105">
        <f>[2]WPs!I131+[2]WPs!M131</f>
        <v>968.80330545239099</v>
      </c>
      <c r="C84" s="812"/>
      <c r="D84" s="743" t="s">
        <v>69</v>
      </c>
      <c r="E84" s="743"/>
      <c r="F84" s="814">
        <v>889</v>
      </c>
      <c r="G84" s="646"/>
      <c r="H84" s="741">
        <f t="shared" si="14"/>
        <v>1577803</v>
      </c>
      <c r="I84" s="741">
        <f t="shared" si="15"/>
        <v>968803</v>
      </c>
      <c r="J84" s="404"/>
      <c r="K84" s="645"/>
    </row>
    <row r="85" spans="1:13">
      <c r="A85" s="741">
        <f>[2]WPs!Y132</f>
        <v>314.48657626068558</v>
      </c>
      <c r="B85" s="105">
        <f>[2]WPs!I132+[2]WPs!M132</f>
        <v>112.48657626068557</v>
      </c>
      <c r="C85" s="812"/>
      <c r="D85" s="743" t="s">
        <v>70</v>
      </c>
      <c r="E85" s="743"/>
      <c r="F85" s="814">
        <v>890</v>
      </c>
      <c r="G85" s="646"/>
      <c r="H85" s="741">
        <f t="shared" si="14"/>
        <v>314487</v>
      </c>
      <c r="I85" s="741">
        <f t="shared" si="15"/>
        <v>112487</v>
      </c>
      <c r="J85" s="404"/>
      <c r="K85" s="645"/>
    </row>
    <row r="86" spans="1:13">
      <c r="A86" s="741">
        <f>[2]WPs!Y133</f>
        <v>775.27229499788405</v>
      </c>
      <c r="B86" s="105">
        <f>[2]WPs!I133+[2]WPs!M133</f>
        <v>96.272294997884046</v>
      </c>
      <c r="C86" s="812"/>
      <c r="D86" s="743" t="s">
        <v>71</v>
      </c>
      <c r="E86" s="743"/>
      <c r="F86" s="814">
        <v>891</v>
      </c>
      <c r="G86" s="646"/>
      <c r="H86" s="741">
        <f t="shared" si="14"/>
        <v>775272</v>
      </c>
      <c r="I86" s="741">
        <f t="shared" si="15"/>
        <v>96272</v>
      </c>
      <c r="J86" s="404"/>
      <c r="K86" s="645"/>
    </row>
    <row r="87" spans="1:13">
      <c r="A87" s="741">
        <f>[2]WPs!Y134</f>
        <v>1889.8748364079561</v>
      </c>
      <c r="B87" s="105">
        <f>[2]WPs!I134+[2]WPs!M134</f>
        <v>595.87483640795597</v>
      </c>
      <c r="C87" s="812"/>
      <c r="D87" s="743" t="s">
        <v>72</v>
      </c>
      <c r="E87" s="743"/>
      <c r="F87" s="814">
        <v>892</v>
      </c>
      <c r="G87" s="646"/>
      <c r="H87" s="741">
        <f t="shared" si="14"/>
        <v>1889875</v>
      </c>
      <c r="I87" s="741">
        <f t="shared" si="15"/>
        <v>595875</v>
      </c>
      <c r="J87" s="404"/>
      <c r="K87" s="645"/>
    </row>
    <row r="88" spans="1:13">
      <c r="A88" s="741">
        <f>[2]WPs!Y135</f>
        <v>1144.8882289868811</v>
      </c>
      <c r="B88" s="105">
        <f>[2]WPs!I135+[2]WPs!M135</f>
        <v>596.88822898688113</v>
      </c>
      <c r="C88" s="812"/>
      <c r="D88" s="743" t="s">
        <v>73</v>
      </c>
      <c r="E88" s="743"/>
      <c r="F88" s="814">
        <v>893</v>
      </c>
      <c r="G88" s="646"/>
      <c r="H88" s="741">
        <f t="shared" si="14"/>
        <v>1144888</v>
      </c>
      <c r="I88" s="741">
        <f t="shared" si="15"/>
        <v>596888</v>
      </c>
      <c r="J88" s="404"/>
      <c r="K88" s="645"/>
    </row>
    <row r="89" spans="1:13">
      <c r="A89" s="741">
        <f>[2]WPs!Y136</f>
        <v>597.7767695776555</v>
      </c>
      <c r="B89" s="105">
        <f>[2]WPs!I136+[2]WPs!M136</f>
        <v>58.776769577655521</v>
      </c>
      <c r="C89" s="812"/>
      <c r="D89" s="743" t="s">
        <v>74</v>
      </c>
      <c r="E89" s="743"/>
      <c r="F89" s="814">
        <v>894</v>
      </c>
      <c r="G89" s="646"/>
      <c r="H89" s="741">
        <f t="shared" si="14"/>
        <v>597777</v>
      </c>
      <c r="I89" s="741">
        <f t="shared" si="15"/>
        <v>58777</v>
      </c>
      <c r="J89" s="404"/>
      <c r="K89" s="645"/>
    </row>
    <row r="90" spans="1:13">
      <c r="A90" s="741">
        <f>[2]WPs!Y137</f>
        <v>0</v>
      </c>
      <c r="B90" s="105">
        <f>[2]WPs!I137+[2]WPs!M137</f>
        <v>0</v>
      </c>
      <c r="C90" s="812"/>
      <c r="D90" s="743" t="s">
        <v>409</v>
      </c>
      <c r="E90" s="743"/>
      <c r="F90" s="814">
        <v>895</v>
      </c>
      <c r="G90" s="646"/>
      <c r="H90" s="741">
        <f t="shared" si="14"/>
        <v>0</v>
      </c>
      <c r="I90" s="741">
        <f t="shared" si="15"/>
        <v>0</v>
      </c>
      <c r="J90" s="404"/>
      <c r="K90" s="645"/>
    </row>
    <row r="91" spans="1:13">
      <c r="A91" s="753">
        <f>SUM(A80:A90)</f>
        <v>28154.564376582312</v>
      </c>
      <c r="B91" s="753">
        <f>SUM(B80:B90)</f>
        <v>9425.5643765823115</v>
      </c>
      <c r="C91" s="749"/>
      <c r="D91" s="814" t="s">
        <v>75</v>
      </c>
      <c r="E91" s="743"/>
      <c r="F91" s="814"/>
      <c r="G91" s="646"/>
      <c r="H91" s="753">
        <f>SUM(H80:H90)</f>
        <v>28154564</v>
      </c>
      <c r="I91" s="753">
        <f>SUM(I80:I90)</f>
        <v>9425564</v>
      </c>
      <c r="J91" s="753"/>
      <c r="K91" s="645"/>
    </row>
    <row r="92" spans="1:13">
      <c r="A92" s="643"/>
      <c r="B92" s="743"/>
      <c r="C92" s="812"/>
      <c r="D92" s="814"/>
      <c r="E92" s="743"/>
      <c r="F92" s="814"/>
      <c r="G92" s="646"/>
      <c r="H92" s="743"/>
      <c r="I92" s="743"/>
      <c r="J92" s="743"/>
      <c r="K92" s="645"/>
    </row>
    <row r="93" spans="1:13">
      <c r="A93" s="753">
        <f>+A91+A77</f>
        <v>84552.685383326287</v>
      </c>
      <c r="B93" s="753">
        <f>+B91+B77</f>
        <v>41329.685383326287</v>
      </c>
      <c r="C93" s="812"/>
      <c r="D93" s="814" t="s">
        <v>76</v>
      </c>
      <c r="E93" s="743"/>
      <c r="F93" s="814"/>
      <c r="G93" s="646"/>
      <c r="H93" s="753">
        <f>+H91+H77</f>
        <v>84552684</v>
      </c>
      <c r="I93" s="753">
        <f>+I91+I77</f>
        <v>41329684</v>
      </c>
      <c r="J93" s="753"/>
      <c r="K93" s="645"/>
    </row>
    <row r="94" spans="1:13">
      <c r="A94" s="652"/>
      <c r="B94" s="105"/>
      <c r="C94" s="812"/>
      <c r="D94" s="87"/>
      <c r="E94" s="87"/>
      <c r="F94" s="376"/>
      <c r="G94" s="641"/>
      <c r="H94" s="641"/>
      <c r="I94" s="644"/>
      <c r="J94" s="641"/>
      <c r="K94" s="645"/>
    </row>
    <row r="95" spans="1:13">
      <c r="A95" s="643"/>
      <c r="B95" s="644"/>
      <c r="C95" s="812" t="s">
        <v>77</v>
      </c>
      <c r="D95" s="743"/>
      <c r="E95" s="743"/>
      <c r="F95" s="743"/>
      <c r="G95" s="646"/>
      <c r="H95" s="643"/>
      <c r="I95" s="644"/>
      <c r="J95" s="643"/>
      <c r="K95" s="645"/>
    </row>
    <row r="96" spans="1:13" s="104" customFormat="1">
      <c r="A96" s="741">
        <f>[2]WPs!Y157</f>
        <v>430</v>
      </c>
      <c r="B96" s="105">
        <f>[2]WPs!I157+[2]WPs!M157</f>
        <v>0</v>
      </c>
      <c r="C96" s="749"/>
      <c r="D96" s="743" t="s">
        <v>164</v>
      </c>
      <c r="E96" s="743"/>
      <c r="F96" s="814">
        <v>901</v>
      </c>
      <c r="G96" s="646"/>
      <c r="H96" s="741">
        <f>ROUND(+A96*1000,0)</f>
        <v>430000</v>
      </c>
      <c r="I96" s="741">
        <f>ROUND(+B96*1000,0)</f>
        <v>0</v>
      </c>
      <c r="J96" s="404"/>
      <c r="K96" s="657"/>
      <c r="M96" s="124"/>
    </row>
    <row r="97" spans="1:13" s="104" customFormat="1">
      <c r="A97" s="741">
        <f>[2]WPs!Y158</f>
        <v>2740.2985192687261</v>
      </c>
      <c r="B97" s="105">
        <f>[2]WPs!I158+[2]WPs!M158</f>
        <v>2141.2985192687261</v>
      </c>
      <c r="C97" s="749"/>
      <c r="D97" s="743" t="s">
        <v>78</v>
      </c>
      <c r="E97" s="743"/>
      <c r="F97" s="814">
        <v>902</v>
      </c>
      <c r="G97" s="646"/>
      <c r="H97" s="741">
        <f t="shared" ref="H97:H100" si="16">ROUND(+A97*1000,0)</f>
        <v>2740299</v>
      </c>
      <c r="I97" s="741">
        <f t="shared" ref="I97:I100" si="17">ROUND(+B97*1000,0)</f>
        <v>2141299</v>
      </c>
      <c r="J97" s="404"/>
      <c r="K97" s="657"/>
      <c r="M97" s="124"/>
    </row>
    <row r="98" spans="1:13" s="104" customFormat="1">
      <c r="A98" s="741">
        <f>[2]WPs!Y159</f>
        <v>32670.331449151079</v>
      </c>
      <c r="B98" s="105">
        <f>[2]WPs!I159+[2]WPs!M159</f>
        <v>12283.331449151079</v>
      </c>
      <c r="C98" s="749"/>
      <c r="D98" s="743" t="s">
        <v>79</v>
      </c>
      <c r="E98" s="743"/>
      <c r="F98" s="814">
        <v>903</v>
      </c>
      <c r="G98" s="646"/>
      <c r="H98" s="741">
        <f t="shared" si="16"/>
        <v>32670331</v>
      </c>
      <c r="I98" s="741">
        <f t="shared" si="17"/>
        <v>12283331</v>
      </c>
      <c r="J98" s="404"/>
      <c r="K98" s="657"/>
      <c r="M98" s="124"/>
    </row>
    <row r="99" spans="1:13" s="104" customFormat="1">
      <c r="A99" s="741">
        <f>[2]WPs!Y160</f>
        <v>12501.685519999999</v>
      </c>
      <c r="B99" s="105">
        <f>[2]WPs!I160+[2]WPs!M160</f>
        <v>0</v>
      </c>
      <c r="C99" s="749"/>
      <c r="D99" s="743" t="s">
        <v>597</v>
      </c>
      <c r="E99" s="743"/>
      <c r="F99" s="814">
        <v>904</v>
      </c>
      <c r="G99" s="646"/>
      <c r="H99" s="741">
        <f t="shared" si="16"/>
        <v>12501686</v>
      </c>
      <c r="I99" s="741">
        <f t="shared" si="17"/>
        <v>0</v>
      </c>
      <c r="J99" s="404"/>
      <c r="K99" s="657"/>
      <c r="L99" s="124"/>
      <c r="M99" s="124"/>
    </row>
    <row r="100" spans="1:13" s="104" customFormat="1">
      <c r="A100" s="741">
        <f>[2]WPs!Y161</f>
        <v>2053.057577489632</v>
      </c>
      <c r="B100" s="105">
        <f>[2]WPs!I161+[2]WPs!M161</f>
        <v>1669.0575774896317</v>
      </c>
      <c r="C100" s="749"/>
      <c r="D100" s="743" t="s">
        <v>80</v>
      </c>
      <c r="E100" s="743"/>
      <c r="F100" s="814">
        <v>905</v>
      </c>
      <c r="G100" s="646"/>
      <c r="H100" s="741">
        <f t="shared" si="16"/>
        <v>2053058</v>
      </c>
      <c r="I100" s="741">
        <f t="shared" si="17"/>
        <v>1669058</v>
      </c>
      <c r="J100" s="404"/>
      <c r="K100" s="657"/>
      <c r="M100" s="124"/>
    </row>
    <row r="101" spans="1:13" s="104" customFormat="1">
      <c r="A101" s="753">
        <f>SUM(A96:A100)</f>
        <v>50395.373065909436</v>
      </c>
      <c r="B101" s="753">
        <f>SUM(B96:B100)</f>
        <v>16093.687545909437</v>
      </c>
      <c r="C101" s="749"/>
      <c r="D101" s="814" t="s">
        <v>81</v>
      </c>
      <c r="E101" s="743"/>
      <c r="F101" s="814"/>
      <c r="G101" s="646"/>
      <c r="H101" s="753">
        <f>SUM(H96:H100)</f>
        <v>50395374</v>
      </c>
      <c r="I101" s="753">
        <f>SUM(I96:I100)</f>
        <v>16093688</v>
      </c>
      <c r="J101" s="753"/>
      <c r="K101" s="657"/>
      <c r="M101" s="124"/>
    </row>
    <row r="102" spans="1:13" s="104" customFormat="1">
      <c r="A102" s="643"/>
      <c r="B102" s="644"/>
      <c r="C102" s="749"/>
      <c r="D102" s="743"/>
      <c r="E102" s="743"/>
      <c r="F102" s="814"/>
      <c r="G102" s="646"/>
      <c r="H102" s="643"/>
      <c r="I102" s="644"/>
      <c r="J102" s="643"/>
      <c r="K102" s="657"/>
      <c r="M102" s="124"/>
    </row>
    <row r="103" spans="1:13" s="104" customFormat="1">
      <c r="A103" s="643"/>
      <c r="B103" s="644"/>
      <c r="C103" s="749" t="s">
        <v>82</v>
      </c>
      <c r="D103" s="743"/>
      <c r="E103" s="743"/>
      <c r="F103" s="814"/>
      <c r="G103" s="646"/>
      <c r="H103" s="643"/>
      <c r="I103" s="644"/>
      <c r="J103" s="643"/>
      <c r="K103" s="657"/>
      <c r="M103" s="124"/>
    </row>
    <row r="104" spans="1:13" s="104" customFormat="1">
      <c r="A104" s="741">
        <f>[2]WPs!Y165</f>
        <v>223.67851578501904</v>
      </c>
      <c r="B104" s="105">
        <f>[2]WPs!I165+[2]WPs!M165</f>
        <v>202.67851578501904</v>
      </c>
      <c r="C104" s="749"/>
      <c r="D104" s="743" t="s">
        <v>164</v>
      </c>
      <c r="E104" s="743"/>
      <c r="F104" s="814">
        <v>907</v>
      </c>
      <c r="G104" s="646"/>
      <c r="H104" s="741">
        <f>ROUND(+A104*1000,0)</f>
        <v>223679</v>
      </c>
      <c r="I104" s="741">
        <f>ROUND(+B104*1000,0)</f>
        <v>202679</v>
      </c>
      <c r="J104" s="404"/>
      <c r="K104" s="657"/>
      <c r="M104" s="124"/>
    </row>
    <row r="105" spans="1:13" s="104" customFormat="1">
      <c r="A105" s="741">
        <f>[2]WPs!Y166</f>
        <v>2028.4326943410917</v>
      </c>
      <c r="B105" s="105">
        <f>[2]WPs!I166+[2]WPs!M166</f>
        <v>1243.4326943410917</v>
      </c>
      <c r="C105" s="749"/>
      <c r="D105" s="743" t="s">
        <v>83</v>
      </c>
      <c r="E105" s="743"/>
      <c r="F105" s="814">
        <v>908</v>
      </c>
      <c r="G105" s="646"/>
      <c r="H105" s="741">
        <f t="shared" ref="H105:H107" si="18">ROUND(+A105*1000,0)</f>
        <v>2028433</v>
      </c>
      <c r="I105" s="741">
        <f t="shared" ref="I105:I107" si="19">ROUND(+B105*1000,0)</f>
        <v>1243433</v>
      </c>
      <c r="J105" s="404"/>
      <c r="K105" s="657"/>
      <c r="L105" s="112"/>
      <c r="M105" s="124"/>
    </row>
    <row r="106" spans="1:13" s="216" customFormat="1">
      <c r="A106" s="741">
        <f>[2]WPs!Y167</f>
        <v>1143</v>
      </c>
      <c r="B106" s="105">
        <f>[2]WPs!I167+[2]WPs!M167</f>
        <v>0</v>
      </c>
      <c r="C106" s="749"/>
      <c r="D106" s="743" t="s">
        <v>370</v>
      </c>
      <c r="E106" s="743"/>
      <c r="F106" s="814">
        <v>909</v>
      </c>
      <c r="G106" s="646"/>
      <c r="H106" s="741">
        <f t="shared" si="18"/>
        <v>1143000</v>
      </c>
      <c r="I106" s="741">
        <f t="shared" si="19"/>
        <v>0</v>
      </c>
      <c r="J106" s="404"/>
      <c r="K106" s="657"/>
      <c r="L106" s="238"/>
      <c r="M106" s="241"/>
    </row>
    <row r="107" spans="1:13">
      <c r="A107" s="741">
        <f>[2]WPs!Y168</f>
        <v>9115.7811506762591</v>
      </c>
      <c r="B107" s="105">
        <f>[2]WPs!I168+[2]WPs!M168</f>
        <v>361.78115067625902</v>
      </c>
      <c r="C107" s="812"/>
      <c r="D107" s="743" t="s">
        <v>84</v>
      </c>
      <c r="E107" s="743"/>
      <c r="F107" s="814">
        <v>910</v>
      </c>
      <c r="G107" s="646"/>
      <c r="H107" s="741">
        <f t="shared" si="18"/>
        <v>9115781</v>
      </c>
      <c r="I107" s="741">
        <f t="shared" si="19"/>
        <v>361781</v>
      </c>
      <c r="J107" s="404"/>
      <c r="K107" s="645"/>
    </row>
    <row r="108" spans="1:13">
      <c r="A108" s="753">
        <f>SUM(A104:A107)</f>
        <v>12510.892360802369</v>
      </c>
      <c r="B108" s="753">
        <f>SUM(B104:B107)</f>
        <v>1807.8923608023697</v>
      </c>
      <c r="C108" s="812"/>
      <c r="D108" s="814" t="s">
        <v>85</v>
      </c>
      <c r="E108" s="743"/>
      <c r="F108" s="814"/>
      <c r="G108" s="646"/>
      <c r="H108" s="753">
        <f>SUM(H104:H107)</f>
        <v>12510893</v>
      </c>
      <c r="I108" s="753">
        <f>SUM(I104:I107)</f>
        <v>1807893</v>
      </c>
      <c r="J108" s="753"/>
      <c r="K108" s="645"/>
    </row>
    <row r="109" spans="1:13">
      <c r="A109" s="643"/>
      <c r="B109" s="644"/>
      <c r="C109" s="812"/>
      <c r="D109" s="743"/>
      <c r="E109" s="743"/>
      <c r="F109" s="814"/>
      <c r="G109" s="646"/>
      <c r="H109" s="743"/>
      <c r="I109" s="105"/>
      <c r="J109" s="743"/>
      <c r="K109" s="645"/>
    </row>
    <row r="110" spans="1:13" s="104" customFormat="1">
      <c r="A110" s="643"/>
      <c r="B110" s="644"/>
      <c r="C110" s="749" t="s">
        <v>231</v>
      </c>
      <c r="D110" s="743"/>
      <c r="E110" s="743"/>
      <c r="F110" s="814"/>
      <c r="G110" s="646"/>
      <c r="H110" s="743"/>
      <c r="I110" s="105"/>
      <c r="J110" s="743"/>
      <c r="K110" s="657"/>
      <c r="M110" s="124"/>
    </row>
    <row r="111" spans="1:13" s="104" customFormat="1">
      <c r="A111" s="741">
        <f>[2]WPs!Y172</f>
        <v>115.43300594498518</v>
      </c>
      <c r="B111" s="105">
        <f>[2]WPs!I172+[2]WPs!M172</f>
        <v>108.43300594498518</v>
      </c>
      <c r="C111" s="749"/>
      <c r="D111" s="743" t="s">
        <v>164</v>
      </c>
      <c r="E111" s="743"/>
      <c r="F111" s="814">
        <v>911</v>
      </c>
      <c r="G111" s="646"/>
      <c r="H111" s="741">
        <f>ROUND(+A111*1000,0)</f>
        <v>115433</v>
      </c>
      <c r="I111" s="741">
        <f>ROUND(+B111*1000,0)</f>
        <v>108433</v>
      </c>
      <c r="J111" s="404"/>
      <c r="K111" s="657"/>
      <c r="M111" s="124"/>
    </row>
    <row r="112" spans="1:13" s="104" customFormat="1">
      <c r="A112" s="741">
        <f>[2]WPs!Y173</f>
        <v>1307.8926724062633</v>
      </c>
      <c r="B112" s="105">
        <f>[2]WPs!I173+[2]WPs!M173</f>
        <v>672.89267240626327</v>
      </c>
      <c r="C112" s="749"/>
      <c r="D112" s="743" t="s">
        <v>86</v>
      </c>
      <c r="E112" s="743"/>
      <c r="F112" s="814">
        <v>912</v>
      </c>
      <c r="G112" s="646"/>
      <c r="H112" s="741">
        <f t="shared" ref="H112:H116" si="20">ROUND(+A112*1000,0)</f>
        <v>1307893</v>
      </c>
      <c r="I112" s="741">
        <f t="shared" ref="I112:I116" si="21">ROUND(+B112*1000,0)</f>
        <v>672893</v>
      </c>
      <c r="J112" s="404"/>
      <c r="K112" s="657"/>
      <c r="M112" s="124"/>
    </row>
    <row r="113" spans="1:13" s="104" customFormat="1">
      <c r="A113" s="741">
        <f>[2]WPs!Y174</f>
        <v>1069</v>
      </c>
      <c r="B113" s="105">
        <f>[2]WPs!I174+[2]WPs!M174</f>
        <v>0</v>
      </c>
      <c r="C113" s="749"/>
      <c r="D113" s="743" t="s">
        <v>87</v>
      </c>
      <c r="E113" s="743"/>
      <c r="F113" s="814">
        <v>913</v>
      </c>
      <c r="G113" s="646"/>
      <c r="H113" s="741">
        <f t="shared" si="20"/>
        <v>1069000</v>
      </c>
      <c r="I113" s="741">
        <f t="shared" si="21"/>
        <v>0</v>
      </c>
      <c r="J113" s="404"/>
      <c r="K113" s="657"/>
      <c r="M113" s="124"/>
    </row>
    <row r="114" spans="1:13" s="104" customFormat="1">
      <c r="A114" s="741">
        <f>[2]WPs!Y175</f>
        <v>0</v>
      </c>
      <c r="B114" s="105">
        <f>[2]WPs!I175+[2]WPs!M175</f>
        <v>0</v>
      </c>
      <c r="C114" s="749"/>
      <c r="D114" s="832" t="s">
        <v>760</v>
      </c>
      <c r="E114" s="743"/>
      <c r="F114" s="814">
        <v>914</v>
      </c>
      <c r="G114" s="646"/>
      <c r="H114" s="741">
        <f t="shared" si="20"/>
        <v>0</v>
      </c>
      <c r="I114" s="741">
        <f t="shared" si="21"/>
        <v>0</v>
      </c>
      <c r="J114" s="404"/>
      <c r="K114" s="657"/>
      <c r="M114" s="124"/>
    </row>
    <row r="115" spans="1:13" s="104" customFormat="1">
      <c r="A115" s="741">
        <f>[2]WPs!Y176</f>
        <v>0</v>
      </c>
      <c r="B115" s="105">
        <f>[2]WPs!I176+[2]WPs!M176</f>
        <v>0</v>
      </c>
      <c r="C115" s="749"/>
      <c r="D115" s="832" t="s">
        <v>760</v>
      </c>
      <c r="E115" s="743"/>
      <c r="F115" s="814">
        <v>915</v>
      </c>
      <c r="G115" s="646"/>
      <c r="H115" s="741">
        <f t="shared" si="20"/>
        <v>0</v>
      </c>
      <c r="I115" s="741">
        <f t="shared" si="21"/>
        <v>0</v>
      </c>
      <c r="J115" s="404"/>
      <c r="K115" s="657"/>
      <c r="M115" s="124"/>
    </row>
    <row r="116" spans="1:13" s="104" customFormat="1">
      <c r="A116" s="741">
        <f>[2]WPs!Y177</f>
        <v>190</v>
      </c>
      <c r="B116" s="105">
        <f>[2]WPs!I177+[2]WPs!M177</f>
        <v>0</v>
      </c>
      <c r="C116" s="749"/>
      <c r="D116" s="743" t="s">
        <v>88</v>
      </c>
      <c r="E116" s="743"/>
      <c r="F116" s="814">
        <v>916</v>
      </c>
      <c r="G116" s="646"/>
      <c r="H116" s="741">
        <f t="shared" si="20"/>
        <v>190000</v>
      </c>
      <c r="I116" s="741">
        <f t="shared" si="21"/>
        <v>0</v>
      </c>
      <c r="J116" s="404"/>
      <c r="K116" s="657"/>
      <c r="M116" s="124"/>
    </row>
    <row r="117" spans="1:13" s="104" customFormat="1">
      <c r="A117" s="753">
        <f>SUM(A111:A116)</f>
        <v>2682.3256783512484</v>
      </c>
      <c r="B117" s="753">
        <f>SUM(B111:B116)</f>
        <v>781.32567835124848</v>
      </c>
      <c r="C117" s="749"/>
      <c r="D117" s="814" t="s">
        <v>89</v>
      </c>
      <c r="E117" s="743"/>
      <c r="F117" s="814"/>
      <c r="G117" s="646"/>
      <c r="H117" s="753">
        <f>SUM(H111:H116)</f>
        <v>2682326</v>
      </c>
      <c r="I117" s="753">
        <f>SUM(I111:I116)</f>
        <v>781326</v>
      </c>
      <c r="J117" s="753"/>
      <c r="K117" s="657"/>
      <c r="M117" s="124"/>
    </row>
    <row r="118" spans="1:13" s="104" customFormat="1">
      <c r="A118" s="643"/>
      <c r="B118" s="644"/>
      <c r="C118" s="749"/>
      <c r="D118" s="743"/>
      <c r="E118" s="743"/>
      <c r="F118" s="814"/>
      <c r="G118" s="646"/>
      <c r="H118" s="643"/>
      <c r="I118" s="644"/>
      <c r="J118" s="643"/>
      <c r="K118" s="657"/>
      <c r="M118" s="124"/>
    </row>
    <row r="119" spans="1:13" s="104" customFormat="1">
      <c r="A119" s="643"/>
      <c r="B119" s="644"/>
      <c r="C119" s="749" t="s">
        <v>90</v>
      </c>
      <c r="D119" s="743"/>
      <c r="E119" s="743"/>
      <c r="F119" s="814"/>
      <c r="G119" s="646"/>
      <c r="H119" s="643"/>
      <c r="I119" s="644"/>
      <c r="J119" s="643"/>
      <c r="K119" s="657"/>
      <c r="M119" s="124"/>
    </row>
    <row r="120" spans="1:13" s="104" customFormat="1">
      <c r="A120" s="643"/>
      <c r="B120" s="644"/>
      <c r="C120" s="749" t="s">
        <v>202</v>
      </c>
      <c r="D120" s="743"/>
      <c r="E120" s="743"/>
      <c r="F120" s="814"/>
      <c r="G120" s="646"/>
      <c r="H120" s="643"/>
      <c r="I120" s="644"/>
      <c r="J120" s="643"/>
      <c r="K120" s="657"/>
      <c r="M120" s="124"/>
    </row>
    <row r="121" spans="1:13" s="104" customFormat="1">
      <c r="A121" s="752">
        <f>[2]WPs!Y182</f>
        <v>23945.083633442235</v>
      </c>
      <c r="B121" s="105">
        <f>[2]WPs!I182+[2]WPs!M182+[2]WPs!$O$182</f>
        <v>21247.083633442235</v>
      </c>
      <c r="C121" s="749"/>
      <c r="D121" s="743" t="s">
        <v>91</v>
      </c>
      <c r="E121" s="743"/>
      <c r="F121" s="814">
        <v>920</v>
      </c>
      <c r="G121" s="646"/>
      <c r="H121" s="741">
        <f>ROUND(+A121*1000,0)</f>
        <v>23945084</v>
      </c>
      <c r="I121" s="741">
        <f>ROUND(+B121*1000,0)</f>
        <v>21247084</v>
      </c>
      <c r="J121" s="404"/>
      <c r="K121" s="657"/>
      <c r="M121" s="124"/>
    </row>
    <row r="122" spans="1:13" s="104" customFormat="1">
      <c r="A122" s="752">
        <f>[2]WPs!Y183</f>
        <v>27866.526691676681</v>
      </c>
      <c r="B122" s="105">
        <f>[2]WPs!I183+[2]WPs!M183</f>
        <v>342.52669167668216</v>
      </c>
      <c r="C122" s="749"/>
      <c r="D122" s="743" t="s">
        <v>92</v>
      </c>
      <c r="E122" s="743"/>
      <c r="F122" s="814">
        <v>921</v>
      </c>
      <c r="G122" s="646"/>
      <c r="H122" s="741">
        <f t="shared" ref="H122:H133" si="22">ROUND(+A122*1000,0)</f>
        <v>27866527</v>
      </c>
      <c r="I122" s="741">
        <f t="shared" ref="I122:I133" si="23">ROUND(+B122*1000,0)</f>
        <v>342527</v>
      </c>
      <c r="J122" s="404"/>
      <c r="K122" s="657"/>
      <c r="M122" s="124"/>
    </row>
    <row r="123" spans="1:13" s="104" customFormat="1">
      <c r="A123" s="752">
        <f>[2]WPs!Y184</f>
        <v>0</v>
      </c>
      <c r="B123" s="105">
        <f>[2]WPs!I184+[2]WPs!M184</f>
        <v>0</v>
      </c>
      <c r="C123" s="749"/>
      <c r="D123" s="822" t="s">
        <v>761</v>
      </c>
      <c r="E123" s="743"/>
      <c r="F123" s="814">
        <v>922</v>
      </c>
      <c r="G123" s="646"/>
      <c r="H123" s="741">
        <f t="shared" si="22"/>
        <v>0</v>
      </c>
      <c r="I123" s="741">
        <f t="shared" si="23"/>
        <v>0</v>
      </c>
      <c r="J123" s="404"/>
      <c r="K123" s="657"/>
      <c r="M123" s="124"/>
    </row>
    <row r="124" spans="1:13" s="104" customFormat="1">
      <c r="A124" s="752">
        <f>[2]WPs!Y185</f>
        <v>20494.477627101143</v>
      </c>
      <c r="B124" s="105">
        <f>[2]WPs!I185+[2]WPs!M185</f>
        <v>187.47762710114262</v>
      </c>
      <c r="C124" s="749"/>
      <c r="D124" s="743" t="s">
        <v>93</v>
      </c>
      <c r="E124" s="743"/>
      <c r="F124" s="814">
        <v>923</v>
      </c>
      <c r="G124" s="646"/>
      <c r="H124" s="741">
        <f t="shared" si="22"/>
        <v>20494478</v>
      </c>
      <c r="I124" s="741">
        <f t="shared" si="23"/>
        <v>187478</v>
      </c>
      <c r="J124" s="404"/>
      <c r="K124" s="657"/>
      <c r="M124" s="124"/>
    </row>
    <row r="125" spans="1:13" s="104" customFormat="1">
      <c r="A125" s="752">
        <f>[2]WPs!Y186</f>
        <v>265</v>
      </c>
      <c r="B125" s="105">
        <f>[2]WPs!I186+[2]WPs!M186</f>
        <v>0</v>
      </c>
      <c r="C125" s="749"/>
      <c r="D125" s="743" t="s">
        <v>94</v>
      </c>
      <c r="E125" s="743"/>
      <c r="F125" s="814">
        <v>924</v>
      </c>
      <c r="G125" s="646"/>
      <c r="H125" s="741">
        <f t="shared" si="22"/>
        <v>265000</v>
      </c>
      <c r="I125" s="741">
        <f t="shared" si="23"/>
        <v>0</v>
      </c>
      <c r="J125" s="404"/>
      <c r="K125" s="657"/>
      <c r="M125" s="124"/>
    </row>
    <row r="126" spans="1:13" s="104" customFormat="1">
      <c r="A126" s="752">
        <f>[2]WPs!Y187</f>
        <v>9317.1693485027499</v>
      </c>
      <c r="B126" s="105">
        <f>[2]WPs!I187+[2]WPs!M187</f>
        <v>1072.1693485027508</v>
      </c>
      <c r="C126" s="749"/>
      <c r="D126" s="743" t="s">
        <v>95</v>
      </c>
      <c r="E126" s="743"/>
      <c r="F126" s="814">
        <v>925</v>
      </c>
      <c r="G126" s="646"/>
      <c r="H126" s="741">
        <f t="shared" si="22"/>
        <v>9317169</v>
      </c>
      <c r="I126" s="741">
        <f t="shared" si="23"/>
        <v>1072169</v>
      </c>
      <c r="J126" s="404"/>
      <c r="K126" s="657"/>
      <c r="M126" s="124"/>
    </row>
    <row r="127" spans="1:13" s="104" customFormat="1">
      <c r="A127" s="752">
        <f>[2]WPs!Y188</f>
        <v>27854.83783948201</v>
      </c>
      <c r="B127" s="105">
        <f>[2]WPs!I188+[2]WPs!M188</f>
        <v>2015.6378394820144</v>
      </c>
      <c r="C127" s="749"/>
      <c r="D127" s="743" t="s">
        <v>96</v>
      </c>
      <c r="E127" s="743"/>
      <c r="F127" s="814">
        <v>926</v>
      </c>
      <c r="G127" s="646"/>
      <c r="H127" s="741">
        <f t="shared" si="22"/>
        <v>27854838</v>
      </c>
      <c r="I127" s="741">
        <f t="shared" si="23"/>
        <v>2015638</v>
      </c>
      <c r="J127" s="404"/>
      <c r="K127" s="657"/>
      <c r="M127" s="124"/>
    </row>
    <row r="128" spans="1:13" s="104" customFormat="1">
      <c r="A128" s="752">
        <f>[2]WPs!Y189</f>
        <v>0</v>
      </c>
      <c r="B128" s="105">
        <f>[2]WPs!I189+[2]WPs!M189</f>
        <v>0</v>
      </c>
      <c r="C128" s="749"/>
      <c r="D128" s="823" t="s">
        <v>762</v>
      </c>
      <c r="E128" s="743"/>
      <c r="F128" s="814">
        <v>927</v>
      </c>
      <c r="G128" s="646"/>
      <c r="H128" s="741">
        <f t="shared" si="22"/>
        <v>0</v>
      </c>
      <c r="I128" s="741">
        <f t="shared" si="23"/>
        <v>0</v>
      </c>
      <c r="J128" s="404"/>
      <c r="K128" s="657"/>
      <c r="M128" s="124"/>
    </row>
    <row r="129" spans="1:13" s="104" customFormat="1">
      <c r="A129" s="752">
        <f>[2]WPs!Y190</f>
        <v>1677</v>
      </c>
      <c r="B129" s="105">
        <f>[2]WPs!I190+[2]WPs!M190</f>
        <v>0</v>
      </c>
      <c r="C129" s="749"/>
      <c r="D129" s="743" t="s">
        <v>97</v>
      </c>
      <c r="E129" s="743"/>
      <c r="F129" s="814">
        <v>928</v>
      </c>
      <c r="G129" s="646"/>
      <c r="H129" s="741">
        <f t="shared" si="22"/>
        <v>1677000</v>
      </c>
      <c r="I129" s="741">
        <f t="shared" si="23"/>
        <v>0</v>
      </c>
      <c r="J129" s="404"/>
      <c r="K129" s="657"/>
      <c r="M129" s="124"/>
    </row>
    <row r="130" spans="1:13" s="104" customFormat="1">
      <c r="A130" s="752">
        <f>[2]WPs!Y191</f>
        <v>0</v>
      </c>
      <c r="B130" s="105">
        <f>[2]WPs!I191+[2]WPs!M191</f>
        <v>0</v>
      </c>
      <c r="C130" s="749"/>
      <c r="D130" s="823" t="s">
        <v>763</v>
      </c>
      <c r="E130" s="743"/>
      <c r="F130" s="814">
        <v>929</v>
      </c>
      <c r="G130" s="646"/>
      <c r="H130" s="741">
        <f t="shared" si="22"/>
        <v>0</v>
      </c>
      <c r="I130" s="741">
        <f t="shared" si="23"/>
        <v>0</v>
      </c>
      <c r="J130" s="404"/>
      <c r="K130" s="657"/>
      <c r="M130" s="124"/>
    </row>
    <row r="131" spans="1:13" s="104" customFormat="1">
      <c r="A131" s="752">
        <f>[2]WPs!Y192</f>
        <v>998</v>
      </c>
      <c r="B131" s="105">
        <f>[2]WPs!I192+[2]WPs!M192</f>
        <v>0</v>
      </c>
      <c r="C131" s="749"/>
      <c r="D131" s="743" t="s">
        <v>98</v>
      </c>
      <c r="E131" s="743"/>
      <c r="F131" s="814">
        <v>930.1</v>
      </c>
      <c r="G131" s="646"/>
      <c r="H131" s="741">
        <f t="shared" si="22"/>
        <v>998000</v>
      </c>
      <c r="I131" s="741">
        <f t="shared" si="23"/>
        <v>0</v>
      </c>
      <c r="J131" s="404"/>
      <c r="K131" s="657"/>
      <c r="M131" s="124"/>
    </row>
    <row r="132" spans="1:13" s="104" customFormat="1">
      <c r="A132" s="752">
        <f>[2]WPs!Y193</f>
        <v>5644.9240879458312</v>
      </c>
      <c r="B132" s="105">
        <f>[2]WPs!I193+[2]WPs!M193</f>
        <v>69.924087945831573</v>
      </c>
      <c r="C132" s="749"/>
      <c r="D132" s="743" t="s">
        <v>99</v>
      </c>
      <c r="E132" s="743"/>
      <c r="F132" s="814">
        <v>930.2</v>
      </c>
      <c r="G132" s="646"/>
      <c r="H132" s="741">
        <f t="shared" si="22"/>
        <v>5644924</v>
      </c>
      <c r="I132" s="741">
        <f t="shared" si="23"/>
        <v>69924</v>
      </c>
      <c r="J132" s="404"/>
      <c r="K132" s="657"/>
      <c r="M132" s="124"/>
    </row>
    <row r="133" spans="1:13" s="104" customFormat="1">
      <c r="A133" s="752">
        <f>[2]WPs!Y194</f>
        <v>254</v>
      </c>
      <c r="B133" s="105">
        <f>[2]WPs!I194+[2]WPs!M194</f>
        <v>0</v>
      </c>
      <c r="C133" s="749"/>
      <c r="D133" s="743" t="s">
        <v>63</v>
      </c>
      <c r="E133" s="743"/>
      <c r="F133" s="814">
        <v>931</v>
      </c>
      <c r="G133" s="646"/>
      <c r="H133" s="741">
        <f t="shared" si="22"/>
        <v>254000</v>
      </c>
      <c r="I133" s="741">
        <f t="shared" si="23"/>
        <v>0</v>
      </c>
      <c r="J133" s="404"/>
      <c r="K133" s="657"/>
      <c r="M133" s="124"/>
    </row>
    <row r="134" spans="1:13" s="104" customFormat="1">
      <c r="A134" s="753">
        <f>SUM(A121:A133)</f>
        <v>118317.01922815066</v>
      </c>
      <c r="B134" s="753">
        <f>SUM(B121:B133)</f>
        <v>24934.819228150653</v>
      </c>
      <c r="C134" s="749"/>
      <c r="D134" s="814" t="s">
        <v>100</v>
      </c>
      <c r="E134" s="743"/>
      <c r="F134" s="814"/>
      <c r="G134" s="646"/>
      <c r="H134" s="753">
        <f>SUM(H121:H133)</f>
        <v>118317020</v>
      </c>
      <c r="I134" s="753">
        <f>SUM(I121:I133)</f>
        <v>24934820</v>
      </c>
      <c r="J134" s="753"/>
      <c r="K134" s="657"/>
      <c r="M134" s="124"/>
    </row>
    <row r="135" spans="1:13" s="104" customFormat="1">
      <c r="A135" s="647"/>
      <c r="B135" s="644"/>
      <c r="C135" s="749"/>
      <c r="D135" s="743"/>
      <c r="E135" s="743"/>
      <c r="F135" s="824"/>
      <c r="G135" s="646"/>
      <c r="H135" s="741"/>
      <c r="I135" s="105"/>
      <c r="J135" s="741"/>
      <c r="K135" s="657"/>
      <c r="M135" s="124"/>
    </row>
    <row r="136" spans="1:13" s="104" customFormat="1">
      <c r="A136" s="643"/>
      <c r="B136" s="644"/>
      <c r="C136" s="749" t="s">
        <v>205</v>
      </c>
      <c r="D136" s="743"/>
      <c r="E136" s="743"/>
      <c r="F136" s="815"/>
      <c r="G136" s="646"/>
      <c r="H136" s="743"/>
      <c r="I136" s="105"/>
      <c r="J136" s="743"/>
      <c r="K136" s="657"/>
      <c r="M136" s="124"/>
    </row>
    <row r="137" spans="1:13" s="104" customFormat="1">
      <c r="A137" s="752">
        <f>[2]WPs!$Y$198</f>
        <v>3541</v>
      </c>
      <c r="B137" s="105">
        <f>[2]WPs!$I$198+[2]WPs!$M$198</f>
        <v>622</v>
      </c>
      <c r="C137" s="749"/>
      <c r="D137" s="749" t="s">
        <v>101</v>
      </c>
      <c r="E137" s="743"/>
      <c r="F137" s="814">
        <v>932</v>
      </c>
      <c r="G137" s="646"/>
      <c r="H137" s="741">
        <f>ROUND(+A137*1000,0)</f>
        <v>3541000</v>
      </c>
      <c r="I137" s="741">
        <f>ROUND(+B137*1000,0)</f>
        <v>622000</v>
      </c>
      <c r="J137" s="404"/>
      <c r="K137" s="657"/>
      <c r="M137" s="124"/>
    </row>
    <row r="138" spans="1:13" s="104" customFormat="1">
      <c r="A138" s="752">
        <f>[2]WPs!$Y$199</f>
        <v>1152</v>
      </c>
      <c r="B138" s="105">
        <f>[2]WPs!$I$199+[2]WPs!$M$199</f>
        <v>0</v>
      </c>
      <c r="C138" s="749"/>
      <c r="D138" s="749" t="s">
        <v>101</v>
      </c>
      <c r="E138" s="743"/>
      <c r="F138" s="814">
        <v>935</v>
      </c>
      <c r="G138" s="646"/>
      <c r="H138" s="741">
        <f>ROUND(+A138*1000,0)</f>
        <v>1152000</v>
      </c>
      <c r="I138" s="741">
        <f>ROUND(+B138*1000,0)</f>
        <v>0</v>
      </c>
      <c r="J138" s="404"/>
      <c r="K138" s="657"/>
      <c r="M138" s="124"/>
    </row>
    <row r="139" spans="1:13" s="104" customFormat="1">
      <c r="A139" s="753">
        <f>SUM(A134:A138)</f>
        <v>123010.01922815066</v>
      </c>
      <c r="B139" s="753">
        <f>SUM(B134:B138)</f>
        <v>25556.819228150653</v>
      </c>
      <c r="C139" s="749"/>
      <c r="D139" s="111" t="s">
        <v>102</v>
      </c>
      <c r="E139" s="743"/>
      <c r="F139" s="814"/>
      <c r="G139" s="646"/>
      <c r="H139" s="753">
        <f>SUM(H134:H138)</f>
        <v>123010020</v>
      </c>
      <c r="I139" s="753">
        <f>SUM(I134:I138)</f>
        <v>25556820</v>
      </c>
      <c r="J139" s="753"/>
      <c r="K139" s="657"/>
      <c r="M139" s="124"/>
    </row>
    <row r="140" spans="1:13" s="104" customFormat="1">
      <c r="A140" s="741"/>
      <c r="B140" s="647"/>
      <c r="C140" s="749"/>
      <c r="D140" s="743"/>
      <c r="E140" s="743"/>
      <c r="F140" s="815"/>
      <c r="G140" s="646"/>
      <c r="H140" s="741"/>
      <c r="I140" s="741"/>
      <c r="J140" s="741"/>
      <c r="K140" s="657"/>
      <c r="M140" s="124"/>
    </row>
    <row r="141" spans="1:13" s="104" customFormat="1">
      <c r="A141" s="753">
        <f>+A139+A117+A108+A101+A93+A33+A12+A19+A48+A62</f>
        <v>567952.96238320658</v>
      </c>
      <c r="B141" s="753">
        <f>+B139+B117+B108+B101+B93+B33+B12+B19+B48+B62</f>
        <v>85569.41019653999</v>
      </c>
      <c r="C141" s="749"/>
      <c r="D141" s="111" t="s">
        <v>103</v>
      </c>
      <c r="E141" s="743"/>
      <c r="F141" s="825"/>
      <c r="G141" s="662"/>
      <c r="H141" s="753">
        <f>+H139+H117+H108+H101+H93+H33+H12+H19+H48+H62</f>
        <v>567952964</v>
      </c>
      <c r="I141" s="753">
        <f>+I139+I117+I108+I101+I93+I33+I12+I19+I48+I62</f>
        <v>85569411</v>
      </c>
      <c r="J141" s="753"/>
      <c r="K141" s="657"/>
      <c r="M141" s="124"/>
    </row>
    <row r="142" spans="1:13" s="104" customFormat="1">
      <c r="A142" s="652"/>
      <c r="B142" s="663"/>
      <c r="C142" s="660"/>
      <c r="D142" s="641"/>
      <c r="E142" s="641"/>
      <c r="F142" s="649"/>
      <c r="G142" s="641"/>
      <c r="H142" s="641"/>
      <c r="I142" s="663">
        <f>(+[2]WPs!$I$205+[2]WPs!$M$205+[2]WPs!$O$205)*1000</f>
        <v>85569410.196539983</v>
      </c>
      <c r="J142" s="641"/>
      <c r="K142" s="657"/>
      <c r="L142" s="256">
        <f>+K142-K141</f>
        <v>0</v>
      </c>
      <c r="M142" s="124"/>
    </row>
    <row r="143" spans="1:13" s="104" customFormat="1">
      <c r="A143" s="652"/>
      <c r="B143" s="663"/>
      <c r="C143" s="660"/>
      <c r="D143" s="641"/>
      <c r="E143" s="641"/>
      <c r="F143" s="649"/>
      <c r="G143" s="641"/>
      <c r="H143" s="641"/>
      <c r="I143" s="663"/>
      <c r="J143" s="641"/>
      <c r="K143" s="657"/>
      <c r="L143" s="256"/>
      <c r="M143" s="124"/>
    </row>
    <row r="144" spans="1:13" s="104" customFormat="1" ht="15.75">
      <c r="A144" s="745"/>
      <c r="B144" s="747"/>
      <c r="C144" s="748" t="s">
        <v>507</v>
      </c>
      <c r="D144" s="252"/>
      <c r="E144" s="252"/>
      <c r="F144" s="376"/>
      <c r="G144" s="252"/>
      <c r="H144" s="252"/>
      <c r="I144" s="663"/>
      <c r="J144" s="641"/>
      <c r="K144" s="657"/>
      <c r="L144" s="256"/>
      <c r="M144" s="124"/>
    </row>
    <row r="145" spans="1:13" s="104" customFormat="1">
      <c r="A145" s="831">
        <f>'[2]D-31'!$M$15</f>
        <v>756</v>
      </c>
      <c r="B145" s="747"/>
      <c r="C145" s="252"/>
      <c r="D145" s="749" t="s">
        <v>508</v>
      </c>
      <c r="E145" s="252"/>
      <c r="F145" s="376"/>
      <c r="G145" s="252"/>
      <c r="H145" s="741">
        <f>ROUND(+A145*1000,0)</f>
        <v>756000</v>
      </c>
      <c r="I145" s="647"/>
      <c r="J145" s="641"/>
      <c r="K145" s="657"/>
      <c r="L145" s="256"/>
      <c r="M145" s="124"/>
    </row>
    <row r="146" spans="1:13" s="104" customFormat="1">
      <c r="A146" s="831">
        <f>'[2]D-31'!$M$17</f>
        <v>0</v>
      </c>
      <c r="B146" s="747"/>
      <c r="C146" s="252"/>
      <c r="D146" s="749" t="s">
        <v>509</v>
      </c>
      <c r="E146" s="252"/>
      <c r="F146" s="376"/>
      <c r="G146" s="252"/>
      <c r="H146" s="741">
        <f t="shared" ref="H146:H151" si="24">ROUND(+A146*1000,0)</f>
        <v>0</v>
      </c>
      <c r="I146" s="647"/>
      <c r="J146" s="641"/>
      <c r="K146" s="657"/>
      <c r="L146" s="256"/>
      <c r="M146" s="124"/>
    </row>
    <row r="147" spans="1:13" s="104" customFormat="1">
      <c r="A147" s="831">
        <f>'[2]D-31'!$M$19</f>
        <v>957</v>
      </c>
      <c r="B147" s="747"/>
      <c r="C147" s="252"/>
      <c r="D147" s="749" t="s">
        <v>510</v>
      </c>
      <c r="E147" s="252"/>
      <c r="F147" s="376"/>
      <c r="G147" s="252"/>
      <c r="H147" s="741">
        <f t="shared" si="24"/>
        <v>957000</v>
      </c>
      <c r="I147" s="647"/>
      <c r="J147" s="641"/>
      <c r="K147" s="657"/>
      <c r="L147" s="256"/>
      <c r="M147" s="124"/>
    </row>
    <row r="148" spans="1:13" s="104" customFormat="1">
      <c r="A148" s="831">
        <f>'[2]D-31'!$M$21</f>
        <v>5851.3</v>
      </c>
      <c r="B148" s="747"/>
      <c r="C148" s="252"/>
      <c r="D148" s="749" t="s">
        <v>511</v>
      </c>
      <c r="E148" s="252"/>
      <c r="F148" s="376"/>
      <c r="G148" s="252"/>
      <c r="H148" s="741">
        <f t="shared" si="24"/>
        <v>5851300</v>
      </c>
      <c r="I148" s="647"/>
      <c r="J148" s="641"/>
      <c r="K148" s="657"/>
      <c r="L148" s="256"/>
      <c r="M148" s="124"/>
    </row>
    <row r="149" spans="1:13" s="104" customFormat="1">
      <c r="A149" s="831">
        <f>'[2]D-31'!$M$23</f>
        <v>49</v>
      </c>
      <c r="B149" s="747"/>
      <c r="C149" s="252"/>
      <c r="D149" s="749" t="s">
        <v>512</v>
      </c>
      <c r="E149" s="252"/>
      <c r="F149" s="376"/>
      <c r="G149" s="252"/>
      <c r="H149" s="741">
        <f t="shared" si="24"/>
        <v>49000</v>
      </c>
      <c r="I149" s="647"/>
      <c r="J149" s="641"/>
      <c r="K149" s="657"/>
      <c r="L149" s="256"/>
      <c r="M149" s="124"/>
    </row>
    <row r="150" spans="1:13" s="104" customFormat="1">
      <c r="A150" s="831">
        <f>'[2]D-31'!$M$25</f>
        <v>426.8</v>
      </c>
      <c r="B150" s="747"/>
      <c r="C150" s="252"/>
      <c r="D150" s="749" t="s">
        <v>513</v>
      </c>
      <c r="E150" s="252"/>
      <c r="F150" s="376"/>
      <c r="G150" s="252"/>
      <c r="H150" s="741">
        <f t="shared" si="24"/>
        <v>426800</v>
      </c>
      <c r="I150" s="647"/>
      <c r="J150" s="641"/>
      <c r="K150" s="657"/>
      <c r="L150" s="256"/>
      <c r="M150" s="124"/>
    </row>
    <row r="151" spans="1:13" s="104" customFormat="1">
      <c r="A151" s="830">
        <f>'[2]D-31'!$M$27</f>
        <v>3540</v>
      </c>
      <c r="B151" s="747"/>
      <c r="C151" s="252"/>
      <c r="D151" s="1" t="s">
        <v>514</v>
      </c>
      <c r="E151" s="252"/>
      <c r="F151" s="376"/>
      <c r="G151" s="252"/>
      <c r="H151" s="750">
        <f t="shared" si="24"/>
        <v>3540000</v>
      </c>
      <c r="I151" s="647"/>
      <c r="J151" s="641"/>
      <c r="K151" s="657"/>
      <c r="L151" s="256"/>
      <c r="M151" s="124"/>
    </row>
    <row r="152" spans="1:13" s="104" customFormat="1" ht="7.9" customHeight="1">
      <c r="A152" s="745"/>
      <c r="B152" s="747"/>
      <c r="C152" s="749"/>
      <c r="D152" s="252"/>
      <c r="E152" s="252"/>
      <c r="F152" s="376"/>
      <c r="G152" s="252"/>
      <c r="H152" s="252"/>
      <c r="I152" s="663"/>
      <c r="J152" s="641"/>
      <c r="K152" s="657"/>
      <c r="L152" s="256"/>
      <c r="M152" s="124"/>
    </row>
    <row r="153" spans="1:13" s="104" customFormat="1">
      <c r="A153" s="745">
        <f>SUM(A145:A152)</f>
        <v>11580.1</v>
      </c>
      <c r="B153" s="747"/>
      <c r="C153" s="252"/>
      <c r="D153" s="749" t="s">
        <v>516</v>
      </c>
      <c r="E153" s="252"/>
      <c r="F153" s="376"/>
      <c r="G153" s="252"/>
      <c r="H153" s="379">
        <f>SUM(H145:H152)</f>
        <v>11580100</v>
      </c>
      <c r="I153" s="663"/>
      <c r="J153" s="641"/>
      <c r="K153" s="657"/>
      <c r="L153" s="256"/>
      <c r="M153" s="124"/>
    </row>
    <row r="154" spans="1:13" s="104" customFormat="1">
      <c r="A154" s="661"/>
      <c r="B154" s="641"/>
      <c r="C154" s="660"/>
      <c r="D154" s="641"/>
      <c r="E154" s="641"/>
      <c r="F154" s="649"/>
      <c r="G154" s="641"/>
      <c r="H154" s="641"/>
      <c r="I154" s="663"/>
      <c r="J154" s="641"/>
      <c r="K154" s="657"/>
      <c r="L154" s="256"/>
      <c r="M154" s="124"/>
    </row>
    <row r="155" spans="1:13" s="265" customFormat="1" ht="15.75">
      <c r="A155" s="668"/>
      <c r="B155" s="655"/>
      <c r="C155" s="655"/>
      <c r="D155" s="655"/>
      <c r="E155" s="655"/>
      <c r="F155" s="651"/>
      <c r="G155" s="655"/>
      <c r="H155" s="1083"/>
      <c r="I155" s="1083"/>
      <c r="J155" s="655"/>
      <c r="K155" s="656"/>
      <c r="L155" s="687"/>
      <c r="M155" s="184"/>
    </row>
    <row r="156" spans="1:13" s="265" customFormat="1" ht="15.75">
      <c r="A156" s="688"/>
      <c r="B156" s="689"/>
      <c r="C156" s="690"/>
      <c r="D156" s="664"/>
      <c r="E156" s="665"/>
      <c r="F156" s="666"/>
      <c r="G156" s="666"/>
      <c r="H156" s="691"/>
      <c r="I156" s="692"/>
      <c r="J156" s="655"/>
      <c r="K156" s="656"/>
      <c r="M156" s="184"/>
    </row>
    <row r="157" spans="1:13" s="265" customFormat="1">
      <c r="A157" s="655"/>
      <c r="B157" s="667"/>
      <c r="C157" s="693"/>
      <c r="D157" s="681"/>
      <c r="E157" s="665"/>
      <c r="F157" s="666"/>
      <c r="G157" s="666"/>
      <c r="H157" s="667"/>
      <c r="I157" s="656"/>
      <c r="J157" s="665"/>
      <c r="K157" s="656"/>
      <c r="M157" s="184"/>
    </row>
    <row r="158" spans="1:13" s="265" customFormat="1">
      <c r="A158" s="667"/>
      <c r="B158" s="667"/>
      <c r="C158" s="694"/>
      <c r="D158" s="695"/>
      <c r="E158" s="655"/>
      <c r="F158" s="651"/>
      <c r="G158" s="655"/>
      <c r="H158" s="667"/>
      <c r="I158" s="667"/>
      <c r="J158" s="655"/>
      <c r="K158" s="656"/>
      <c r="M158" s="184"/>
    </row>
    <row r="159" spans="1:13" s="265" customFormat="1">
      <c r="A159" s="667"/>
      <c r="B159" s="667"/>
      <c r="C159" s="696"/>
      <c r="D159" s="695"/>
      <c r="E159" s="665"/>
      <c r="F159" s="668"/>
      <c r="G159" s="666"/>
      <c r="H159" s="667"/>
      <c r="I159" s="667"/>
      <c r="J159" s="669"/>
      <c r="K159" s="656"/>
      <c r="M159" s="184"/>
    </row>
    <row r="160" spans="1:13" s="265" customFormat="1">
      <c r="A160" s="667"/>
      <c r="B160" s="667"/>
      <c r="C160" s="696"/>
      <c r="D160" s="695"/>
      <c r="E160" s="665"/>
      <c r="F160" s="668"/>
      <c r="G160" s="666"/>
      <c r="H160" s="667"/>
      <c r="I160" s="667"/>
      <c r="J160" s="669"/>
      <c r="K160" s="656"/>
      <c r="M160" s="184"/>
    </row>
    <row r="161" spans="1:13" s="265" customFormat="1">
      <c r="A161" s="667"/>
      <c r="B161" s="667"/>
      <c r="C161" s="694"/>
      <c r="D161" s="695"/>
      <c r="E161" s="665"/>
      <c r="F161" s="668"/>
      <c r="G161" s="666"/>
      <c r="H161" s="667"/>
      <c r="I161" s="667"/>
      <c r="J161" s="669"/>
      <c r="K161" s="656"/>
      <c r="M161" s="184"/>
    </row>
    <row r="162" spans="1:13" s="265" customFormat="1">
      <c r="A162" s="667"/>
      <c r="B162" s="667"/>
      <c r="C162" s="694"/>
      <c r="D162" s="695"/>
      <c r="E162" s="665"/>
      <c r="F162" s="668"/>
      <c r="G162" s="666"/>
      <c r="H162" s="667"/>
      <c r="I162" s="667"/>
      <c r="J162" s="664"/>
      <c r="K162" s="656"/>
      <c r="M162" s="184"/>
    </row>
    <row r="163" spans="1:13" s="265" customFormat="1">
      <c r="A163" s="667"/>
      <c r="B163" s="667"/>
      <c r="C163" s="696"/>
      <c r="D163" s="695"/>
      <c r="E163" s="665"/>
      <c r="F163" s="668"/>
      <c r="G163" s="666"/>
      <c r="H163" s="667"/>
      <c r="I163" s="667"/>
      <c r="J163" s="664"/>
      <c r="K163" s="656"/>
      <c r="M163" s="184"/>
    </row>
    <row r="164" spans="1:13" s="265" customFormat="1">
      <c r="A164" s="667"/>
      <c r="B164" s="667"/>
      <c r="C164" s="696"/>
      <c r="D164" s="695"/>
      <c r="E164" s="665"/>
      <c r="F164" s="668"/>
      <c r="G164" s="666"/>
      <c r="H164" s="667"/>
      <c r="I164" s="667"/>
      <c r="J164" s="669"/>
      <c r="K164" s="656"/>
      <c r="M164" s="184"/>
    </row>
    <row r="165" spans="1:13" s="265" customFormat="1">
      <c r="A165" s="667"/>
      <c r="B165" s="667"/>
      <c r="C165" s="694"/>
      <c r="D165" s="695"/>
      <c r="E165" s="665"/>
      <c r="F165" s="668"/>
      <c r="G165" s="666"/>
      <c r="H165" s="667"/>
      <c r="I165" s="667"/>
      <c r="J165" s="664"/>
      <c r="K165" s="656"/>
      <c r="M165" s="184"/>
    </row>
    <row r="166" spans="1:13" s="265" customFormat="1">
      <c r="A166" s="667"/>
      <c r="B166" s="667"/>
      <c r="C166" s="696"/>
      <c r="D166" s="695"/>
      <c r="E166" s="665"/>
      <c r="F166" s="668"/>
      <c r="G166" s="666"/>
      <c r="H166" s="667"/>
      <c r="I166" s="667"/>
      <c r="J166" s="664"/>
      <c r="K166" s="656"/>
      <c r="M166" s="184"/>
    </row>
    <row r="167" spans="1:13" s="239" customFormat="1">
      <c r="A167" s="667"/>
      <c r="B167" s="667"/>
      <c r="C167" s="694"/>
      <c r="D167" s="695"/>
      <c r="E167" s="665"/>
      <c r="F167" s="668"/>
      <c r="G167" s="666"/>
      <c r="H167" s="667"/>
      <c r="I167" s="667"/>
      <c r="J167" s="664"/>
      <c r="K167" s="656"/>
      <c r="M167" s="240"/>
    </row>
    <row r="168" spans="1:13" s="239" customFormat="1">
      <c r="A168" s="667"/>
      <c r="B168" s="667"/>
      <c r="C168" s="694"/>
      <c r="D168" s="695"/>
      <c r="E168" s="665"/>
      <c r="F168" s="670"/>
      <c r="G168" s="666"/>
      <c r="H168" s="667"/>
      <c r="I168" s="667"/>
      <c r="J168" s="664"/>
      <c r="K168" s="656"/>
      <c r="M168" s="240"/>
    </row>
    <row r="169" spans="1:13" s="239" customFormat="1">
      <c r="A169" s="667"/>
      <c r="B169" s="667"/>
      <c r="C169" s="694"/>
      <c r="D169" s="695"/>
      <c r="E169" s="665"/>
      <c r="F169" s="670"/>
      <c r="G169" s="666"/>
      <c r="H169" s="667"/>
      <c r="I169" s="667"/>
      <c r="J169" s="664"/>
      <c r="K169" s="656"/>
      <c r="M169" s="240"/>
    </row>
    <row r="170" spans="1:13" s="239" customFormat="1">
      <c r="A170" s="667"/>
      <c r="B170" s="667"/>
      <c r="C170" s="694"/>
      <c r="D170" s="695"/>
      <c r="E170" s="665"/>
      <c r="F170" s="670"/>
      <c r="G170" s="666"/>
      <c r="H170" s="667"/>
      <c r="I170" s="667"/>
      <c r="J170" s="664"/>
      <c r="K170" s="656"/>
      <c r="M170" s="240"/>
    </row>
    <row r="171" spans="1:13" s="265" customFormat="1">
      <c r="A171" s="667"/>
      <c r="B171" s="667"/>
      <c r="C171" s="697"/>
      <c r="D171" s="681"/>
      <c r="E171" s="665"/>
      <c r="F171" s="668"/>
      <c r="G171" s="666"/>
      <c r="H171" s="667"/>
      <c r="I171" s="667"/>
      <c r="J171" s="664"/>
      <c r="K171" s="656"/>
      <c r="M171" s="184"/>
    </row>
    <row r="172" spans="1:13" s="265" customFormat="1" ht="15.75">
      <c r="A172" s="671"/>
      <c r="B172" s="671"/>
      <c r="C172" s="698"/>
      <c r="D172" s="681"/>
      <c r="E172" s="665"/>
      <c r="F172" s="668"/>
      <c r="G172" s="666"/>
      <c r="H172" s="664"/>
      <c r="I172" s="664"/>
      <c r="J172" s="664"/>
      <c r="K172" s="656"/>
      <c r="M172" s="184"/>
    </row>
    <row r="173" spans="1:13" s="265" customFormat="1">
      <c r="A173" s="668"/>
      <c r="B173" s="681"/>
      <c r="C173" s="681"/>
      <c r="D173" s="681"/>
      <c r="E173" s="665"/>
      <c r="F173" s="668"/>
      <c r="G173" s="666"/>
      <c r="H173" s="664"/>
      <c r="I173" s="664"/>
      <c r="J173" s="664"/>
      <c r="K173" s="656"/>
      <c r="M173" s="184"/>
    </row>
    <row r="174" spans="1:13" s="265" customFormat="1" ht="15.75">
      <c r="A174" s="668"/>
      <c r="B174" s="699"/>
      <c r="C174" s="698"/>
      <c r="D174" s="681"/>
      <c r="E174" s="665"/>
      <c r="F174" s="668"/>
      <c r="G174" s="666"/>
      <c r="H174" s="664"/>
      <c r="I174" s="656"/>
      <c r="J174" s="664"/>
      <c r="K174" s="656"/>
      <c r="M174" s="184"/>
    </row>
    <row r="175" spans="1:13" s="265" customFormat="1">
      <c r="A175" s="667"/>
      <c r="B175" s="667"/>
      <c r="C175" s="694"/>
      <c r="D175" s="655"/>
      <c r="E175" s="665"/>
      <c r="F175" s="668"/>
      <c r="G175" s="666"/>
      <c r="H175" s="667"/>
      <c r="I175" s="667"/>
      <c r="J175" s="664"/>
      <c r="K175" s="656"/>
      <c r="M175" s="184"/>
    </row>
    <row r="176" spans="1:13" s="265" customFormat="1">
      <c r="A176" s="667"/>
      <c r="B176" s="667"/>
      <c r="C176" s="696"/>
      <c r="D176" s="695"/>
      <c r="E176" s="665"/>
      <c r="F176" s="668"/>
      <c r="G176" s="666"/>
      <c r="H176" s="667"/>
      <c r="I176" s="667"/>
      <c r="J176" s="664"/>
      <c r="K176" s="656"/>
      <c r="M176" s="184"/>
    </row>
    <row r="177" spans="1:13" s="265" customFormat="1">
      <c r="A177" s="667"/>
      <c r="B177" s="667"/>
      <c r="C177" s="696"/>
      <c r="D177" s="695"/>
      <c r="E177" s="665"/>
      <c r="F177" s="668"/>
      <c r="G177" s="666"/>
      <c r="H177" s="667"/>
      <c r="I177" s="667"/>
      <c r="J177" s="664"/>
      <c r="K177" s="656"/>
      <c r="M177" s="184"/>
    </row>
    <row r="178" spans="1:13" s="265" customFormat="1">
      <c r="A178" s="667"/>
      <c r="B178" s="667"/>
      <c r="C178" s="696"/>
      <c r="D178" s="695"/>
      <c r="E178" s="665"/>
      <c r="F178" s="668"/>
      <c r="G178" s="666"/>
      <c r="H178" s="667"/>
      <c r="I178" s="667"/>
      <c r="J178" s="664"/>
      <c r="K178" s="656"/>
      <c r="M178" s="184"/>
    </row>
    <row r="179" spans="1:13" s="265" customFormat="1">
      <c r="A179" s="667"/>
      <c r="B179" s="667"/>
      <c r="C179" s="700"/>
      <c r="D179" s="695"/>
      <c r="E179" s="665"/>
      <c r="F179" s="668"/>
      <c r="G179" s="666"/>
      <c r="H179" s="667"/>
      <c r="I179" s="667"/>
      <c r="J179" s="669"/>
      <c r="K179" s="656"/>
      <c r="M179" s="184"/>
    </row>
    <row r="180" spans="1:13" s="265" customFormat="1">
      <c r="A180" s="667"/>
      <c r="B180" s="667"/>
      <c r="C180" s="700"/>
      <c r="D180" s="695"/>
      <c r="E180" s="665"/>
      <c r="F180" s="668"/>
      <c r="G180" s="666"/>
      <c r="H180" s="667"/>
      <c r="I180" s="667"/>
      <c r="J180" s="669"/>
      <c r="K180" s="656"/>
      <c r="M180" s="184"/>
    </row>
    <row r="181" spans="1:13" s="265" customFormat="1">
      <c r="A181" s="667"/>
      <c r="B181" s="667"/>
      <c r="C181" s="694"/>
      <c r="D181" s="695"/>
      <c r="E181" s="665"/>
      <c r="F181" s="668"/>
      <c r="G181" s="666"/>
      <c r="H181" s="667"/>
      <c r="I181" s="667"/>
      <c r="J181" s="669"/>
      <c r="K181" s="656"/>
      <c r="M181" s="184"/>
    </row>
    <row r="182" spans="1:13" s="265" customFormat="1">
      <c r="A182" s="667"/>
      <c r="B182" s="667"/>
      <c r="C182" s="694"/>
      <c r="D182" s="695"/>
      <c r="E182" s="665"/>
      <c r="F182" s="668"/>
      <c r="G182" s="666"/>
      <c r="H182" s="667"/>
      <c r="I182" s="667"/>
      <c r="J182" s="669"/>
      <c r="K182" s="656"/>
      <c r="M182" s="184"/>
    </row>
    <row r="183" spans="1:13" s="265" customFormat="1">
      <c r="A183" s="667"/>
      <c r="B183" s="667"/>
      <c r="C183" s="694"/>
      <c r="D183" s="695"/>
      <c r="E183" s="665"/>
      <c r="F183" s="668"/>
      <c r="G183" s="666"/>
      <c r="H183" s="667"/>
      <c r="I183" s="667"/>
      <c r="J183" s="669"/>
      <c r="K183" s="656"/>
      <c r="M183" s="184"/>
    </row>
    <row r="184" spans="1:13" s="265" customFormat="1">
      <c r="A184" s="667"/>
      <c r="B184" s="667"/>
      <c r="C184" s="694"/>
      <c r="D184" s="695"/>
      <c r="E184" s="665"/>
      <c r="F184" s="668"/>
      <c r="G184" s="666"/>
      <c r="H184" s="667"/>
      <c r="I184" s="667"/>
      <c r="J184" s="669"/>
      <c r="K184" s="656"/>
      <c r="M184" s="184"/>
    </row>
    <row r="185" spans="1:13" s="265" customFormat="1">
      <c r="A185" s="667"/>
      <c r="B185" s="667"/>
      <c r="C185" s="694"/>
      <c r="D185" s="695"/>
      <c r="E185" s="665"/>
      <c r="F185" s="668"/>
      <c r="G185" s="666"/>
      <c r="H185" s="667"/>
      <c r="I185" s="667"/>
      <c r="J185" s="669"/>
      <c r="K185" s="656"/>
      <c r="M185" s="184"/>
    </row>
    <row r="186" spans="1:13" s="265" customFormat="1">
      <c r="A186" s="667"/>
      <c r="B186" s="667"/>
      <c r="C186" s="696"/>
      <c r="D186" s="695"/>
      <c r="E186" s="665"/>
      <c r="F186" s="668"/>
      <c r="G186" s="666"/>
      <c r="H186" s="667"/>
      <c r="I186" s="667"/>
      <c r="J186" s="669"/>
      <c r="K186" s="656"/>
      <c r="M186" s="184"/>
    </row>
    <row r="187" spans="1:13" s="265" customFormat="1">
      <c r="A187" s="667"/>
      <c r="B187" s="667"/>
      <c r="C187" s="694"/>
      <c r="D187" s="695"/>
      <c r="E187" s="665"/>
      <c r="F187" s="668"/>
      <c r="G187" s="666"/>
      <c r="H187" s="667"/>
      <c r="I187" s="667"/>
      <c r="J187" s="669"/>
      <c r="K187" s="656"/>
      <c r="M187" s="184"/>
    </row>
    <row r="188" spans="1:13" s="265" customFormat="1">
      <c r="A188" s="672"/>
      <c r="B188" s="667"/>
      <c r="C188" s="694"/>
      <c r="D188" s="695"/>
      <c r="E188" s="665"/>
      <c r="F188" s="668"/>
      <c r="G188" s="666"/>
      <c r="H188" s="667"/>
      <c r="I188" s="667"/>
      <c r="J188" s="673"/>
      <c r="K188" s="656"/>
      <c r="M188" s="184"/>
    </row>
    <row r="189" spans="1:13" s="265" customFormat="1" ht="15.75">
      <c r="A189" s="671"/>
      <c r="B189" s="671"/>
      <c r="C189" s="698"/>
      <c r="D189" s="681"/>
      <c r="E189" s="665"/>
      <c r="F189" s="668"/>
      <c r="G189" s="666"/>
      <c r="H189" s="658"/>
      <c r="I189" s="658"/>
      <c r="J189" s="669"/>
      <c r="K189" s="656"/>
      <c r="M189" s="184"/>
    </row>
    <row r="190" spans="1:13" s="265" customFormat="1">
      <c r="A190" s="668"/>
      <c r="B190" s="681"/>
      <c r="C190" s="681"/>
      <c r="D190" s="681"/>
      <c r="E190" s="665"/>
      <c r="F190" s="668"/>
      <c r="G190" s="666"/>
      <c r="H190" s="658"/>
      <c r="I190" s="658"/>
      <c r="J190" s="669"/>
      <c r="K190" s="656"/>
      <c r="M190" s="184"/>
    </row>
    <row r="191" spans="1:13" s="265" customFormat="1" ht="15.75">
      <c r="A191" s="671"/>
      <c r="B191" s="671"/>
      <c r="C191" s="698"/>
      <c r="D191" s="681"/>
      <c r="E191" s="665"/>
      <c r="F191" s="668"/>
      <c r="G191" s="666"/>
      <c r="H191" s="658"/>
      <c r="I191" s="658"/>
      <c r="J191" s="669"/>
      <c r="K191" s="656"/>
      <c r="M191" s="184"/>
    </row>
    <row r="192" spans="1:13" s="265" customFormat="1">
      <c r="A192" s="668"/>
      <c r="B192" s="681"/>
      <c r="C192" s="681"/>
      <c r="D192" s="681"/>
      <c r="E192" s="665"/>
      <c r="F192" s="668"/>
      <c r="G192" s="666"/>
      <c r="H192" s="658"/>
      <c r="I192" s="656"/>
      <c r="J192" s="669"/>
      <c r="K192" s="656"/>
      <c r="M192" s="184"/>
    </row>
    <row r="193" spans="1:13" s="265" customFormat="1" ht="15.75">
      <c r="A193" s="668"/>
      <c r="B193" s="699"/>
      <c r="C193" s="698"/>
      <c r="D193" s="699"/>
      <c r="E193" s="665"/>
      <c r="F193" s="668"/>
      <c r="G193" s="666"/>
      <c r="H193" s="658"/>
      <c r="I193" s="656"/>
      <c r="J193" s="669"/>
      <c r="K193" s="656"/>
      <c r="M193" s="184"/>
    </row>
    <row r="194" spans="1:13" s="265" customFormat="1">
      <c r="A194" s="674"/>
      <c r="B194" s="699"/>
      <c r="C194" s="694"/>
      <c r="D194" s="695"/>
      <c r="E194" s="665"/>
      <c r="F194" s="668"/>
      <c r="G194" s="666"/>
      <c r="H194" s="667"/>
      <c r="I194" s="667"/>
      <c r="J194" s="669"/>
      <c r="K194" s="656"/>
      <c r="M194" s="184"/>
    </row>
    <row r="195" spans="1:13" s="265" customFormat="1">
      <c r="A195" s="668"/>
      <c r="B195" s="699"/>
      <c r="C195" s="694"/>
      <c r="D195" s="695"/>
      <c r="E195" s="665"/>
      <c r="F195" s="668"/>
      <c r="G195" s="666"/>
      <c r="H195" s="667"/>
      <c r="I195" s="667"/>
      <c r="J195" s="669"/>
      <c r="K195" s="656"/>
      <c r="M195" s="184"/>
    </row>
    <row r="196" spans="1:13" s="265" customFormat="1">
      <c r="A196" s="668"/>
      <c r="B196" s="699"/>
      <c r="C196" s="696"/>
      <c r="D196" s="695"/>
      <c r="E196" s="665"/>
      <c r="F196" s="668"/>
      <c r="G196" s="666"/>
      <c r="H196" s="667"/>
      <c r="I196" s="667"/>
      <c r="J196" s="664"/>
      <c r="K196" s="656"/>
      <c r="M196" s="184"/>
    </row>
    <row r="197" spans="1:13" s="265" customFormat="1">
      <c r="A197" s="655"/>
      <c r="B197" s="699"/>
      <c r="C197" s="696"/>
      <c r="D197" s="695"/>
      <c r="E197" s="655"/>
      <c r="F197" s="651"/>
      <c r="G197" s="655"/>
      <c r="H197" s="667"/>
      <c r="I197" s="667"/>
      <c r="J197" s="655"/>
      <c r="K197" s="656"/>
      <c r="M197" s="184"/>
    </row>
    <row r="198" spans="1:13" s="265" customFormat="1">
      <c r="A198" s="655"/>
      <c r="B198" s="699"/>
      <c r="C198" s="696"/>
      <c r="D198" s="695"/>
      <c r="E198" s="665"/>
      <c r="F198" s="668"/>
      <c r="G198" s="666"/>
      <c r="H198" s="667"/>
      <c r="I198" s="667"/>
      <c r="J198" s="664"/>
      <c r="K198" s="656"/>
      <c r="M198" s="184"/>
    </row>
    <row r="199" spans="1:13" s="265" customFormat="1" ht="15.75">
      <c r="A199" s="668"/>
      <c r="B199" s="699"/>
      <c r="C199" s="698"/>
      <c r="D199" s="699"/>
      <c r="E199" s="665"/>
      <c r="F199" s="668"/>
      <c r="G199" s="666"/>
      <c r="H199" s="658"/>
      <c r="I199" s="658"/>
      <c r="J199" s="669"/>
      <c r="K199" s="656"/>
      <c r="M199" s="184"/>
    </row>
    <row r="200" spans="1:13" s="265" customFormat="1" ht="15.75">
      <c r="A200" s="668"/>
      <c r="B200" s="698"/>
      <c r="C200" s="699"/>
      <c r="D200" s="699"/>
      <c r="E200" s="665"/>
      <c r="F200" s="668"/>
      <c r="G200" s="666"/>
      <c r="H200" s="658"/>
      <c r="I200" s="656"/>
      <c r="J200" s="669"/>
      <c r="K200" s="656"/>
      <c r="M200" s="184"/>
    </row>
    <row r="201" spans="1:13" s="265" customFormat="1" ht="15.75">
      <c r="A201" s="668"/>
      <c r="B201" s="655"/>
      <c r="C201" s="698"/>
      <c r="D201" s="699"/>
      <c r="E201" s="665"/>
      <c r="F201" s="668"/>
      <c r="G201" s="666"/>
      <c r="H201" s="658"/>
      <c r="I201" s="658"/>
      <c r="J201" s="669"/>
      <c r="K201" s="656"/>
      <c r="M201" s="184"/>
    </row>
    <row r="202" spans="1:13" s="265" customFormat="1" ht="15.75">
      <c r="A202" s="668"/>
      <c r="B202" s="655"/>
      <c r="C202" s="698"/>
      <c r="D202" s="699"/>
      <c r="E202" s="665"/>
      <c r="F202" s="668"/>
      <c r="G202" s="666"/>
      <c r="H202" s="658"/>
      <c r="I202" s="656"/>
      <c r="J202" s="669"/>
      <c r="K202" s="656"/>
      <c r="M202" s="184"/>
    </row>
    <row r="203" spans="1:13" s="265" customFormat="1" ht="15.75">
      <c r="A203" s="668"/>
      <c r="B203" s="655"/>
      <c r="C203" s="701"/>
      <c r="D203" s="681"/>
      <c r="E203" s="665"/>
      <c r="F203" s="668"/>
      <c r="G203" s="666"/>
      <c r="H203" s="658"/>
      <c r="I203" s="656"/>
      <c r="J203" s="669"/>
      <c r="K203" s="656"/>
      <c r="M203" s="184"/>
    </row>
    <row r="204" spans="1:13" s="265" customFormat="1" ht="15.75">
      <c r="A204" s="668"/>
      <c r="B204" s="698"/>
      <c r="C204" s="702"/>
      <c r="D204" s="681"/>
      <c r="E204" s="665"/>
      <c r="F204" s="668"/>
      <c r="G204" s="666"/>
      <c r="H204" s="658"/>
      <c r="I204" s="656"/>
      <c r="J204" s="669"/>
      <c r="K204" s="656"/>
      <c r="M204" s="184"/>
    </row>
    <row r="205" spans="1:13" s="265" customFormat="1" ht="15.75">
      <c r="A205" s="668"/>
      <c r="B205" s="699"/>
      <c r="C205" s="698"/>
      <c r="D205" s="681"/>
      <c r="E205" s="665"/>
      <c r="F205" s="668"/>
      <c r="G205" s="666"/>
      <c r="H205" s="658"/>
      <c r="I205" s="656"/>
      <c r="J205" s="669"/>
      <c r="K205" s="656"/>
      <c r="M205" s="184"/>
    </row>
    <row r="206" spans="1:13" s="265" customFormat="1" ht="15.75">
      <c r="A206" s="668"/>
      <c r="B206" s="698"/>
      <c r="C206" s="702"/>
      <c r="D206" s="681"/>
      <c r="E206" s="665"/>
      <c r="F206" s="668"/>
      <c r="G206" s="666"/>
      <c r="H206" s="667"/>
      <c r="I206" s="667"/>
      <c r="J206" s="669"/>
      <c r="K206" s="656"/>
      <c r="M206" s="184"/>
    </row>
    <row r="207" spans="1:13" s="265" customFormat="1" ht="15.75">
      <c r="A207" s="668"/>
      <c r="B207" s="698"/>
      <c r="C207" s="702"/>
      <c r="D207" s="681"/>
      <c r="E207" s="665"/>
      <c r="F207" s="668"/>
      <c r="G207" s="666"/>
      <c r="H207" s="667"/>
      <c r="I207" s="667"/>
      <c r="J207" s="664"/>
      <c r="K207" s="656"/>
      <c r="M207" s="184"/>
    </row>
    <row r="208" spans="1:13" s="265" customFormat="1" ht="15.75">
      <c r="A208" s="668"/>
      <c r="B208" s="698"/>
      <c r="C208" s="702"/>
      <c r="D208" s="703"/>
      <c r="E208" s="655"/>
      <c r="F208" s="651"/>
      <c r="G208" s="655"/>
      <c r="H208" s="667"/>
      <c r="I208" s="667"/>
      <c r="J208" s="655"/>
      <c r="K208" s="656"/>
      <c r="M208" s="184"/>
    </row>
    <row r="209" spans="1:13" s="265" customFormat="1" ht="15.75">
      <c r="A209" s="668"/>
      <c r="B209" s="698"/>
      <c r="C209" s="704"/>
      <c r="D209" s="703"/>
      <c r="E209" s="655"/>
      <c r="F209" s="655"/>
      <c r="G209" s="655"/>
      <c r="H209" s="667"/>
      <c r="I209" s="667"/>
      <c r="J209" s="664"/>
      <c r="K209" s="656"/>
      <c r="M209" s="184"/>
    </row>
    <row r="210" spans="1:13" s="265" customFormat="1" ht="15.75">
      <c r="A210" s="668"/>
      <c r="B210" s="698"/>
      <c r="C210" s="702"/>
      <c r="D210" s="681"/>
      <c r="E210" s="655"/>
      <c r="F210" s="655"/>
      <c r="G210" s="655"/>
      <c r="H210" s="667"/>
      <c r="I210" s="667"/>
      <c r="J210" s="664"/>
      <c r="K210" s="656"/>
      <c r="M210" s="184"/>
    </row>
    <row r="211" spans="1:13" s="265" customFormat="1" ht="15.75">
      <c r="A211" s="668"/>
      <c r="B211" s="698"/>
      <c r="C211" s="697"/>
      <c r="D211" s="681"/>
      <c r="E211" s="655"/>
      <c r="F211" s="655"/>
      <c r="G211" s="655"/>
      <c r="H211" s="667"/>
      <c r="I211" s="667"/>
      <c r="J211" s="664"/>
      <c r="K211" s="656"/>
      <c r="M211" s="184"/>
    </row>
    <row r="212" spans="1:13" s="265" customFormat="1" ht="15.75">
      <c r="A212" s="668"/>
      <c r="B212" s="698"/>
      <c r="C212" s="702"/>
      <c r="D212" s="681"/>
      <c r="E212" s="655"/>
      <c r="F212" s="655"/>
      <c r="G212" s="655"/>
      <c r="H212" s="667"/>
      <c r="I212" s="667"/>
      <c r="J212" s="664"/>
      <c r="K212" s="656"/>
      <c r="L212" s="267"/>
      <c r="M212" s="184"/>
    </row>
    <row r="213" spans="1:13" s="265" customFormat="1" ht="15.75">
      <c r="A213" s="668"/>
      <c r="B213" s="699"/>
      <c r="C213" s="698"/>
      <c r="D213" s="681"/>
      <c r="E213" s="655"/>
      <c r="F213" s="655"/>
      <c r="G213" s="655"/>
      <c r="H213" s="667"/>
      <c r="I213" s="667"/>
      <c r="J213" s="669"/>
      <c r="K213" s="675"/>
      <c r="M213" s="184"/>
    </row>
    <row r="214" spans="1:13" s="265" customFormat="1" ht="15.75">
      <c r="A214" s="668"/>
      <c r="B214" s="699"/>
      <c r="C214" s="698"/>
      <c r="D214" s="681"/>
      <c r="E214" s="655"/>
      <c r="F214" s="655"/>
      <c r="G214" s="655"/>
      <c r="H214" s="667"/>
      <c r="I214" s="667"/>
      <c r="J214" s="669"/>
      <c r="K214" s="665"/>
      <c r="M214" s="184"/>
    </row>
    <row r="215" spans="1:13" s="265" customFormat="1" ht="15.75">
      <c r="A215" s="668"/>
      <c r="B215" s="699"/>
      <c r="C215" s="698"/>
      <c r="D215" s="681"/>
      <c r="E215" s="655"/>
      <c r="F215" s="676"/>
      <c r="G215" s="655"/>
      <c r="H215" s="667"/>
      <c r="I215" s="667"/>
      <c r="J215" s="664"/>
      <c r="K215" s="656"/>
      <c r="M215" s="184"/>
    </row>
    <row r="216" spans="1:13" s="265" customFormat="1" ht="15.75">
      <c r="A216" s="668"/>
      <c r="B216" s="698"/>
      <c r="C216" s="702"/>
      <c r="D216" s="681"/>
      <c r="E216" s="655"/>
      <c r="F216" s="655"/>
      <c r="G216" s="655"/>
      <c r="H216" s="664"/>
      <c r="I216" s="664"/>
      <c r="J216" s="664"/>
      <c r="K216" s="656"/>
      <c r="M216" s="184"/>
    </row>
    <row r="217" spans="1:13" s="265" customFormat="1" ht="15.75">
      <c r="A217" s="668"/>
      <c r="B217" s="699"/>
      <c r="C217" s="698"/>
      <c r="D217" s="681"/>
      <c r="E217" s="655"/>
      <c r="F217" s="655"/>
      <c r="G217" s="655"/>
      <c r="H217" s="664"/>
      <c r="I217" s="664"/>
      <c r="J217" s="664"/>
      <c r="K217" s="656"/>
      <c r="M217" s="184"/>
    </row>
    <row r="218" spans="1:13" s="265" customFormat="1" ht="15.75">
      <c r="A218" s="668"/>
      <c r="B218" s="698"/>
      <c r="C218" s="693"/>
      <c r="D218" s="705"/>
      <c r="E218" s="665"/>
      <c r="F218" s="677"/>
      <c r="G218" s="677"/>
      <c r="H218" s="667"/>
      <c r="I218" s="667"/>
      <c r="J218" s="665"/>
      <c r="K218" s="656"/>
      <c r="M218" s="184"/>
    </row>
    <row r="219" spans="1:13" s="265" customFormat="1" ht="15.75">
      <c r="A219" s="668"/>
      <c r="B219" s="698"/>
      <c r="C219" s="706"/>
      <c r="D219" s="705"/>
      <c r="E219" s="678"/>
      <c r="F219" s="677"/>
      <c r="G219" s="677"/>
      <c r="H219" s="667"/>
      <c r="I219" s="667"/>
      <c r="J219" s="665"/>
      <c r="K219" s="656"/>
      <c r="M219" s="184"/>
    </row>
    <row r="220" spans="1:13" s="265" customFormat="1">
      <c r="A220" s="668"/>
      <c r="B220" s="707"/>
      <c r="C220" s="706"/>
      <c r="D220" s="705"/>
      <c r="E220" s="665"/>
      <c r="F220" s="677"/>
      <c r="G220" s="677"/>
      <c r="H220" s="667"/>
      <c r="I220" s="667"/>
      <c r="J220" s="669"/>
      <c r="K220" s="656"/>
      <c r="M220" s="184"/>
    </row>
    <row r="221" spans="1:13" s="265" customFormat="1">
      <c r="A221" s="668"/>
      <c r="B221" s="707"/>
      <c r="C221" s="706"/>
      <c r="D221" s="705"/>
      <c r="E221" s="665"/>
      <c r="F221" s="677"/>
      <c r="G221" s="677"/>
      <c r="H221" s="667"/>
      <c r="I221" s="667"/>
      <c r="J221" s="669"/>
      <c r="K221" s="656"/>
      <c r="M221" s="184"/>
    </row>
    <row r="222" spans="1:13" s="265" customFormat="1" ht="15.75">
      <c r="A222" s="668"/>
      <c r="B222" s="698"/>
      <c r="C222" s="708"/>
      <c r="D222" s="709"/>
      <c r="E222" s="665"/>
      <c r="F222" s="677"/>
      <c r="G222" s="677"/>
      <c r="H222" s="667"/>
      <c r="I222" s="667"/>
      <c r="J222" s="669"/>
      <c r="K222" s="656"/>
      <c r="M222" s="184"/>
    </row>
    <row r="223" spans="1:13" s="265" customFormat="1" ht="15.75">
      <c r="A223" s="668"/>
      <c r="B223" s="698"/>
      <c r="C223" s="708"/>
      <c r="D223" s="709"/>
      <c r="E223" s="665"/>
      <c r="F223" s="677"/>
      <c r="G223" s="677"/>
      <c r="H223" s="667"/>
      <c r="I223" s="667"/>
      <c r="J223" s="669"/>
      <c r="K223" s="656"/>
      <c r="M223" s="184"/>
    </row>
    <row r="224" spans="1:13" s="265" customFormat="1" ht="15.75">
      <c r="A224" s="668"/>
      <c r="B224" s="698"/>
      <c r="C224" s="706"/>
      <c r="D224" s="705"/>
      <c r="E224" s="665"/>
      <c r="F224" s="677"/>
      <c r="G224" s="677"/>
      <c r="H224" s="667"/>
      <c r="I224" s="667"/>
      <c r="J224" s="669"/>
      <c r="K224" s="656"/>
      <c r="M224" s="184"/>
    </row>
    <row r="225" spans="1:4577" s="265" customFormat="1" ht="15.75">
      <c r="A225" s="668"/>
      <c r="B225" s="699"/>
      <c r="C225" s="698"/>
      <c r="D225" s="681"/>
      <c r="E225" s="665"/>
      <c r="F225" s="677"/>
      <c r="G225" s="677"/>
      <c r="H225" s="658"/>
      <c r="I225" s="658"/>
      <c r="J225" s="658"/>
      <c r="K225" s="656"/>
      <c r="L225" s="184"/>
      <c r="M225" s="184"/>
    </row>
    <row r="226" spans="1:4577" s="265" customFormat="1" ht="15.75">
      <c r="A226" s="655"/>
      <c r="B226" s="699"/>
      <c r="C226" s="698"/>
      <c r="D226" s="681"/>
      <c r="E226" s="678"/>
      <c r="F226" s="677"/>
      <c r="G226" s="677"/>
      <c r="H226" s="658"/>
      <c r="I226" s="658"/>
      <c r="J226" s="658"/>
      <c r="K226" s="656"/>
      <c r="L226" s="184"/>
      <c r="M226" s="184"/>
    </row>
    <row r="227" spans="1:4577" s="710" customFormat="1" ht="15.75">
      <c r="A227" s="679"/>
      <c r="B227" s="699"/>
      <c r="C227" s="698"/>
      <c r="D227" s="681"/>
      <c r="E227" s="678"/>
      <c r="F227" s="680"/>
      <c r="G227" s="677"/>
      <c r="H227" s="667"/>
      <c r="I227" s="667"/>
      <c r="J227" s="669"/>
      <c r="K227" s="656"/>
      <c r="L227" s="184"/>
      <c r="M227" s="184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  <c r="AJ227" s="265"/>
      <c r="AK227" s="265"/>
      <c r="AL227" s="265"/>
      <c r="AM227" s="265"/>
      <c r="AN227" s="265"/>
      <c r="AO227" s="265"/>
      <c r="AP227" s="265"/>
      <c r="AQ227" s="265"/>
      <c r="AR227" s="265"/>
      <c r="AS227" s="265"/>
      <c r="AT227" s="265"/>
      <c r="AU227" s="265"/>
      <c r="AV227" s="265"/>
      <c r="AW227" s="265"/>
      <c r="AX227" s="265"/>
      <c r="AY227" s="265"/>
      <c r="AZ227" s="265"/>
      <c r="BA227" s="265"/>
      <c r="BB227" s="265"/>
      <c r="BC227" s="265"/>
      <c r="BD227" s="265"/>
      <c r="BE227" s="265"/>
      <c r="BF227" s="265"/>
      <c r="BG227" s="265"/>
      <c r="BH227" s="265"/>
      <c r="BI227" s="265"/>
      <c r="BJ227" s="265"/>
      <c r="BK227" s="265"/>
      <c r="BL227" s="265"/>
      <c r="BM227" s="265"/>
      <c r="BN227" s="265"/>
      <c r="BO227" s="265"/>
      <c r="BP227" s="265"/>
      <c r="BQ227" s="265"/>
      <c r="BR227" s="265"/>
      <c r="BS227" s="265"/>
      <c r="BT227" s="265"/>
      <c r="BU227" s="265"/>
      <c r="BV227" s="265"/>
      <c r="BW227" s="265"/>
      <c r="BX227" s="265"/>
      <c r="BY227" s="265"/>
      <c r="BZ227" s="265"/>
      <c r="CA227" s="265"/>
      <c r="CB227" s="265"/>
      <c r="CC227" s="265"/>
      <c r="CD227" s="265"/>
      <c r="CE227" s="265"/>
      <c r="CF227" s="265"/>
      <c r="CG227" s="265"/>
      <c r="CH227" s="265"/>
      <c r="CI227" s="265"/>
      <c r="CJ227" s="265"/>
      <c r="CK227" s="265"/>
      <c r="CL227" s="265"/>
      <c r="CM227" s="265"/>
      <c r="CN227" s="265"/>
      <c r="CO227" s="265"/>
      <c r="CP227" s="265"/>
      <c r="CQ227" s="265"/>
      <c r="CR227" s="265"/>
      <c r="CS227" s="265"/>
      <c r="CT227" s="265"/>
      <c r="CU227" s="265"/>
      <c r="CV227" s="265"/>
      <c r="CW227" s="265"/>
      <c r="CX227" s="265"/>
      <c r="CY227" s="265"/>
      <c r="CZ227" s="265"/>
      <c r="DA227" s="265"/>
      <c r="DB227" s="265"/>
      <c r="DC227" s="265"/>
      <c r="DD227" s="265"/>
      <c r="DE227" s="265"/>
      <c r="DF227" s="265"/>
      <c r="DG227" s="265"/>
      <c r="DH227" s="265"/>
      <c r="DI227" s="265"/>
      <c r="DJ227" s="265"/>
      <c r="DK227" s="265"/>
      <c r="DL227" s="265"/>
      <c r="DM227" s="265"/>
      <c r="DN227" s="265"/>
      <c r="DO227" s="265"/>
      <c r="DP227" s="265"/>
      <c r="DQ227" s="265"/>
      <c r="DR227" s="265"/>
      <c r="DS227" s="265"/>
      <c r="DT227" s="265"/>
      <c r="DU227" s="265"/>
      <c r="DV227" s="265"/>
      <c r="DW227" s="265"/>
      <c r="DX227" s="265"/>
      <c r="DY227" s="265"/>
      <c r="DZ227" s="265"/>
      <c r="EA227" s="265"/>
      <c r="EB227" s="265"/>
      <c r="EC227" s="265"/>
      <c r="ED227" s="265"/>
      <c r="EE227" s="265"/>
      <c r="EF227" s="265"/>
      <c r="EG227" s="265"/>
      <c r="EH227" s="265"/>
      <c r="EI227" s="265"/>
      <c r="EJ227" s="265"/>
      <c r="EK227" s="265"/>
      <c r="EL227" s="265"/>
      <c r="EM227" s="265"/>
      <c r="EN227" s="265"/>
      <c r="EO227" s="265"/>
      <c r="EP227" s="265"/>
      <c r="EQ227" s="265"/>
      <c r="ER227" s="265"/>
      <c r="ES227" s="265"/>
      <c r="ET227" s="265"/>
      <c r="EU227" s="265"/>
      <c r="EV227" s="265"/>
      <c r="EW227" s="265"/>
      <c r="EX227" s="265"/>
      <c r="EY227" s="265"/>
      <c r="EZ227" s="265"/>
      <c r="FA227" s="265"/>
      <c r="FB227" s="265"/>
      <c r="FC227" s="265"/>
      <c r="FD227" s="265"/>
      <c r="FE227" s="265"/>
      <c r="FF227" s="265"/>
      <c r="FG227" s="265"/>
      <c r="FH227" s="265"/>
      <c r="FI227" s="265"/>
      <c r="FJ227" s="265"/>
      <c r="FK227" s="265"/>
      <c r="FL227" s="265"/>
      <c r="FM227" s="265"/>
      <c r="FN227" s="265"/>
      <c r="FO227" s="265"/>
      <c r="FP227" s="265"/>
      <c r="FQ227" s="265"/>
      <c r="FR227" s="265"/>
      <c r="FS227" s="265"/>
      <c r="FT227" s="265"/>
      <c r="FU227" s="265"/>
      <c r="FV227" s="265"/>
      <c r="FW227" s="265"/>
      <c r="FX227" s="265"/>
      <c r="FY227" s="265"/>
      <c r="FZ227" s="265"/>
      <c r="GA227" s="265"/>
      <c r="GB227" s="265"/>
      <c r="GC227" s="265"/>
      <c r="GD227" s="265"/>
      <c r="GE227" s="265"/>
      <c r="GF227" s="265"/>
      <c r="GG227" s="265"/>
      <c r="GH227" s="265"/>
      <c r="GI227" s="265"/>
      <c r="GJ227" s="265"/>
      <c r="GK227" s="265"/>
      <c r="GL227" s="265"/>
      <c r="GM227" s="265"/>
      <c r="GN227" s="265"/>
      <c r="GO227" s="265"/>
      <c r="GP227" s="265"/>
      <c r="GQ227" s="265"/>
      <c r="GR227" s="265"/>
      <c r="GS227" s="265"/>
      <c r="GT227" s="265"/>
      <c r="GU227" s="265"/>
      <c r="GV227" s="265"/>
      <c r="GW227" s="265"/>
      <c r="GX227" s="265"/>
      <c r="GY227" s="265"/>
      <c r="GZ227" s="265"/>
      <c r="HA227" s="265"/>
      <c r="HB227" s="265"/>
      <c r="HC227" s="265"/>
      <c r="HD227" s="265"/>
      <c r="HE227" s="265"/>
      <c r="HF227" s="265"/>
      <c r="HG227" s="265"/>
      <c r="HH227" s="265"/>
      <c r="HI227" s="265"/>
      <c r="HJ227" s="265"/>
      <c r="HK227" s="265"/>
      <c r="HL227" s="265"/>
      <c r="HM227" s="265"/>
      <c r="HN227" s="265"/>
      <c r="HO227" s="265"/>
      <c r="HP227" s="265"/>
      <c r="HQ227" s="265"/>
      <c r="HR227" s="265"/>
      <c r="HS227" s="265"/>
      <c r="HT227" s="265"/>
      <c r="HU227" s="265"/>
      <c r="HV227" s="265"/>
      <c r="HW227" s="265"/>
      <c r="HX227" s="265"/>
      <c r="HY227" s="265"/>
      <c r="HZ227" s="265"/>
      <c r="IA227" s="265"/>
      <c r="IB227" s="265"/>
      <c r="IC227" s="265"/>
      <c r="ID227" s="265"/>
      <c r="IE227" s="265"/>
      <c r="IF227" s="265"/>
      <c r="IG227" s="265"/>
      <c r="IH227" s="265"/>
      <c r="II227" s="265"/>
      <c r="IJ227" s="265"/>
      <c r="IK227" s="265"/>
      <c r="IL227" s="265"/>
      <c r="IM227" s="265"/>
      <c r="IN227" s="265"/>
      <c r="IO227" s="265"/>
      <c r="IP227" s="265"/>
      <c r="IQ227" s="265"/>
      <c r="IR227" s="265"/>
      <c r="IS227" s="265"/>
      <c r="IT227" s="265"/>
      <c r="IU227" s="265"/>
      <c r="IV227" s="265"/>
      <c r="IW227" s="265"/>
      <c r="IX227" s="265"/>
      <c r="IY227" s="265"/>
      <c r="IZ227" s="265"/>
      <c r="JA227" s="265"/>
      <c r="JB227" s="265"/>
      <c r="JC227" s="265"/>
      <c r="JD227" s="265"/>
      <c r="JE227" s="265"/>
      <c r="JF227" s="265"/>
      <c r="JG227" s="265"/>
      <c r="JH227" s="265"/>
      <c r="JI227" s="265"/>
      <c r="JJ227" s="265"/>
      <c r="JK227" s="265"/>
      <c r="JL227" s="265"/>
      <c r="JM227" s="265"/>
      <c r="JN227" s="265"/>
      <c r="JO227" s="265"/>
      <c r="JP227" s="265"/>
      <c r="JQ227" s="265"/>
      <c r="JR227" s="265"/>
      <c r="JS227" s="265"/>
      <c r="JT227" s="265"/>
      <c r="JU227" s="265"/>
      <c r="JV227" s="265"/>
      <c r="JW227" s="265"/>
      <c r="JX227" s="265"/>
      <c r="JY227" s="265"/>
      <c r="JZ227" s="265"/>
      <c r="KA227" s="265"/>
      <c r="KB227" s="265"/>
      <c r="KC227" s="265"/>
      <c r="KD227" s="265"/>
      <c r="KE227" s="265"/>
      <c r="KF227" s="265"/>
      <c r="KG227" s="265"/>
      <c r="KH227" s="265"/>
      <c r="KI227" s="265"/>
      <c r="KJ227" s="265"/>
      <c r="KK227" s="265"/>
      <c r="KL227" s="265"/>
      <c r="KM227" s="265"/>
      <c r="KN227" s="265"/>
      <c r="KO227" s="265"/>
      <c r="KP227" s="265"/>
      <c r="KQ227" s="265"/>
      <c r="KR227" s="265"/>
      <c r="KS227" s="265"/>
      <c r="KT227" s="265"/>
      <c r="KU227" s="265"/>
      <c r="KV227" s="265"/>
      <c r="KW227" s="265"/>
      <c r="KX227" s="265"/>
      <c r="KY227" s="265"/>
      <c r="KZ227" s="265"/>
      <c r="LA227" s="265"/>
      <c r="LB227" s="265"/>
      <c r="LC227" s="265"/>
      <c r="LD227" s="265"/>
      <c r="LE227" s="265"/>
      <c r="LF227" s="265"/>
      <c r="LG227" s="265"/>
      <c r="LH227" s="265"/>
      <c r="LI227" s="265"/>
      <c r="LJ227" s="265"/>
      <c r="LK227" s="265"/>
      <c r="LL227" s="265"/>
      <c r="LM227" s="265"/>
      <c r="LN227" s="265"/>
      <c r="LO227" s="265"/>
      <c r="LP227" s="265"/>
      <c r="LQ227" s="265"/>
      <c r="LR227" s="265"/>
      <c r="LS227" s="265"/>
      <c r="LT227" s="265"/>
      <c r="LU227" s="265"/>
      <c r="LV227" s="265"/>
      <c r="LW227" s="265"/>
      <c r="LX227" s="265"/>
      <c r="LY227" s="265"/>
      <c r="LZ227" s="265"/>
      <c r="MA227" s="265"/>
      <c r="MB227" s="265"/>
      <c r="MC227" s="265"/>
      <c r="MD227" s="265"/>
      <c r="ME227" s="265"/>
      <c r="MF227" s="265"/>
      <c r="MG227" s="265"/>
      <c r="MH227" s="265"/>
      <c r="MI227" s="265"/>
      <c r="MJ227" s="265"/>
      <c r="MK227" s="265"/>
      <c r="ML227" s="265"/>
      <c r="MM227" s="265"/>
      <c r="MN227" s="265"/>
      <c r="MO227" s="265"/>
      <c r="MP227" s="265"/>
      <c r="MQ227" s="265"/>
      <c r="MR227" s="265"/>
      <c r="MS227" s="265"/>
      <c r="MT227" s="265"/>
      <c r="MU227" s="265"/>
      <c r="MV227" s="265"/>
      <c r="MW227" s="265"/>
      <c r="MX227" s="265"/>
      <c r="MY227" s="265"/>
      <c r="MZ227" s="265"/>
      <c r="NA227" s="265"/>
      <c r="NB227" s="265"/>
      <c r="NC227" s="265"/>
      <c r="ND227" s="265"/>
      <c r="NE227" s="265"/>
      <c r="NF227" s="265"/>
      <c r="NG227" s="265"/>
      <c r="NH227" s="265"/>
      <c r="NI227" s="265"/>
      <c r="NJ227" s="265"/>
      <c r="NK227" s="265"/>
      <c r="NL227" s="265"/>
      <c r="NM227" s="265"/>
      <c r="NN227" s="265"/>
      <c r="NO227" s="265"/>
      <c r="NP227" s="265"/>
      <c r="NQ227" s="265"/>
      <c r="NR227" s="265"/>
      <c r="NS227" s="265"/>
      <c r="NT227" s="265"/>
      <c r="NU227" s="265"/>
      <c r="NV227" s="265"/>
      <c r="NW227" s="265"/>
      <c r="NX227" s="265"/>
      <c r="NY227" s="265"/>
      <c r="NZ227" s="265"/>
      <c r="OA227" s="265"/>
      <c r="OB227" s="265"/>
      <c r="OC227" s="265"/>
      <c r="OD227" s="265"/>
      <c r="OE227" s="265"/>
      <c r="OF227" s="265"/>
      <c r="OG227" s="265"/>
      <c r="OH227" s="265"/>
      <c r="OI227" s="265"/>
      <c r="OJ227" s="265"/>
      <c r="OK227" s="265"/>
      <c r="OL227" s="265"/>
      <c r="OM227" s="265"/>
      <c r="ON227" s="265"/>
      <c r="OO227" s="265"/>
      <c r="OP227" s="265"/>
      <c r="OQ227" s="265"/>
      <c r="OR227" s="265"/>
      <c r="OS227" s="265"/>
      <c r="OT227" s="265"/>
      <c r="OU227" s="265"/>
      <c r="OV227" s="265"/>
      <c r="OW227" s="265"/>
      <c r="OX227" s="265"/>
      <c r="OY227" s="265"/>
      <c r="OZ227" s="265"/>
      <c r="PA227" s="265"/>
      <c r="PB227" s="265"/>
      <c r="PC227" s="265"/>
      <c r="PD227" s="265"/>
      <c r="PE227" s="265"/>
      <c r="PF227" s="265"/>
      <c r="PG227" s="265"/>
      <c r="PH227" s="265"/>
      <c r="PI227" s="265"/>
      <c r="PJ227" s="265"/>
      <c r="PK227" s="265"/>
      <c r="PL227" s="265"/>
      <c r="PM227" s="265"/>
      <c r="PN227" s="265"/>
      <c r="PO227" s="265"/>
      <c r="PP227" s="265"/>
      <c r="PQ227" s="265"/>
      <c r="PR227" s="265"/>
      <c r="PS227" s="265"/>
      <c r="PT227" s="265"/>
      <c r="PU227" s="265"/>
      <c r="PV227" s="265"/>
      <c r="PW227" s="265"/>
      <c r="PX227" s="265"/>
      <c r="PY227" s="265"/>
      <c r="PZ227" s="265"/>
      <c r="QA227" s="265"/>
      <c r="QB227" s="265"/>
      <c r="QC227" s="265"/>
      <c r="QD227" s="265"/>
      <c r="QE227" s="265"/>
      <c r="QF227" s="265"/>
      <c r="QG227" s="265"/>
      <c r="QH227" s="265"/>
      <c r="QI227" s="265"/>
      <c r="QJ227" s="265"/>
      <c r="QK227" s="265"/>
      <c r="QL227" s="265"/>
      <c r="QM227" s="265"/>
      <c r="QN227" s="265"/>
      <c r="QO227" s="265"/>
      <c r="QP227" s="265"/>
      <c r="QQ227" s="265"/>
      <c r="QR227" s="265"/>
      <c r="QS227" s="265"/>
      <c r="QT227" s="265"/>
      <c r="QU227" s="265"/>
      <c r="QV227" s="265"/>
      <c r="QW227" s="265"/>
      <c r="QX227" s="265"/>
      <c r="QY227" s="265"/>
      <c r="QZ227" s="265"/>
      <c r="RA227" s="265"/>
      <c r="RB227" s="265"/>
      <c r="RC227" s="265"/>
      <c r="RD227" s="265"/>
      <c r="RE227" s="265"/>
      <c r="RF227" s="265"/>
      <c r="RG227" s="265"/>
      <c r="RH227" s="265"/>
      <c r="RI227" s="265"/>
      <c r="RJ227" s="265"/>
      <c r="RK227" s="265"/>
      <c r="RL227" s="265"/>
      <c r="RM227" s="265"/>
      <c r="RN227" s="265"/>
      <c r="RO227" s="265"/>
      <c r="RP227" s="265"/>
      <c r="RQ227" s="265"/>
      <c r="RR227" s="265"/>
      <c r="RS227" s="265"/>
      <c r="RT227" s="265"/>
      <c r="RU227" s="265"/>
      <c r="RV227" s="265"/>
      <c r="RW227" s="265"/>
      <c r="RX227" s="265"/>
      <c r="RY227" s="265"/>
      <c r="RZ227" s="265"/>
      <c r="SA227" s="265"/>
      <c r="SB227" s="265"/>
      <c r="SC227" s="265"/>
      <c r="SD227" s="265"/>
      <c r="SE227" s="265"/>
      <c r="SF227" s="265"/>
      <c r="SG227" s="265"/>
      <c r="SH227" s="265"/>
      <c r="SI227" s="265"/>
      <c r="SJ227" s="265"/>
      <c r="SK227" s="265"/>
      <c r="SL227" s="265"/>
      <c r="SM227" s="265"/>
      <c r="SN227" s="265"/>
      <c r="SO227" s="265"/>
      <c r="SP227" s="265"/>
      <c r="SQ227" s="265"/>
      <c r="SR227" s="265"/>
      <c r="SS227" s="265"/>
      <c r="ST227" s="265"/>
      <c r="SU227" s="265"/>
      <c r="SV227" s="265"/>
      <c r="SW227" s="265"/>
      <c r="SX227" s="265"/>
      <c r="SY227" s="265"/>
      <c r="SZ227" s="265"/>
      <c r="TA227" s="265"/>
      <c r="TB227" s="265"/>
      <c r="TC227" s="265"/>
      <c r="TD227" s="265"/>
      <c r="TE227" s="265"/>
      <c r="TF227" s="265"/>
      <c r="TG227" s="265"/>
      <c r="TH227" s="265"/>
      <c r="TI227" s="265"/>
      <c r="TJ227" s="265"/>
      <c r="TK227" s="265"/>
      <c r="TL227" s="265"/>
      <c r="TM227" s="265"/>
      <c r="TN227" s="265"/>
      <c r="TO227" s="265"/>
      <c r="TP227" s="265"/>
      <c r="TQ227" s="265"/>
      <c r="TR227" s="265"/>
      <c r="TS227" s="265"/>
      <c r="TT227" s="265"/>
      <c r="TU227" s="265"/>
      <c r="TV227" s="265"/>
      <c r="TW227" s="265"/>
      <c r="TX227" s="265"/>
      <c r="TY227" s="265"/>
      <c r="TZ227" s="265"/>
      <c r="UA227" s="265"/>
      <c r="UB227" s="265"/>
      <c r="UC227" s="265"/>
      <c r="UD227" s="265"/>
      <c r="UE227" s="265"/>
      <c r="UF227" s="265"/>
      <c r="UG227" s="265"/>
      <c r="UH227" s="265"/>
      <c r="UI227" s="265"/>
      <c r="UJ227" s="265"/>
      <c r="UK227" s="265"/>
      <c r="UL227" s="265"/>
      <c r="UM227" s="265"/>
      <c r="UN227" s="265"/>
      <c r="UO227" s="265"/>
      <c r="UP227" s="265"/>
      <c r="UQ227" s="265"/>
      <c r="UR227" s="265"/>
      <c r="US227" s="265"/>
      <c r="UT227" s="265"/>
      <c r="UU227" s="265"/>
      <c r="UV227" s="265"/>
      <c r="UW227" s="265"/>
      <c r="UX227" s="265"/>
      <c r="UY227" s="265"/>
      <c r="UZ227" s="265"/>
      <c r="VA227" s="265"/>
      <c r="VB227" s="265"/>
      <c r="VC227" s="265"/>
      <c r="VD227" s="265"/>
      <c r="VE227" s="265"/>
      <c r="VF227" s="265"/>
      <c r="VG227" s="265"/>
      <c r="VH227" s="265"/>
      <c r="VI227" s="265"/>
      <c r="VJ227" s="265"/>
      <c r="VK227" s="265"/>
      <c r="VL227" s="265"/>
      <c r="VM227" s="265"/>
      <c r="VN227" s="265"/>
      <c r="VO227" s="265"/>
      <c r="VP227" s="265"/>
      <c r="VQ227" s="265"/>
      <c r="VR227" s="265"/>
      <c r="VS227" s="265"/>
      <c r="VT227" s="265"/>
      <c r="VU227" s="265"/>
      <c r="VV227" s="265"/>
      <c r="VW227" s="265"/>
      <c r="VX227" s="265"/>
      <c r="VY227" s="265"/>
      <c r="VZ227" s="265"/>
      <c r="WA227" s="265"/>
      <c r="WB227" s="265"/>
      <c r="WC227" s="265"/>
      <c r="WD227" s="265"/>
      <c r="WE227" s="265"/>
      <c r="WF227" s="265"/>
      <c r="WG227" s="265"/>
      <c r="WH227" s="265"/>
      <c r="WI227" s="265"/>
      <c r="WJ227" s="265"/>
      <c r="WK227" s="265"/>
      <c r="WL227" s="265"/>
      <c r="WM227" s="265"/>
      <c r="WN227" s="265"/>
      <c r="WO227" s="265"/>
      <c r="WP227" s="265"/>
      <c r="WQ227" s="265"/>
      <c r="WR227" s="265"/>
      <c r="WS227" s="265"/>
      <c r="WT227" s="265"/>
      <c r="WU227" s="265"/>
      <c r="WV227" s="265"/>
      <c r="WW227" s="265"/>
      <c r="WX227" s="265"/>
      <c r="WY227" s="265"/>
      <c r="WZ227" s="265"/>
      <c r="XA227" s="265"/>
      <c r="XB227" s="265"/>
      <c r="XC227" s="265"/>
      <c r="XD227" s="265"/>
      <c r="XE227" s="265"/>
      <c r="XF227" s="265"/>
      <c r="XG227" s="265"/>
      <c r="XH227" s="265"/>
      <c r="XI227" s="265"/>
      <c r="XJ227" s="265"/>
      <c r="XK227" s="265"/>
      <c r="XL227" s="265"/>
      <c r="XM227" s="265"/>
      <c r="XN227" s="265"/>
      <c r="XO227" s="265"/>
      <c r="XP227" s="265"/>
      <c r="XQ227" s="265"/>
      <c r="XR227" s="265"/>
      <c r="XS227" s="265"/>
      <c r="XT227" s="265"/>
      <c r="XU227" s="265"/>
      <c r="XV227" s="265"/>
      <c r="XW227" s="265"/>
      <c r="XX227" s="265"/>
      <c r="XY227" s="265"/>
      <c r="XZ227" s="265"/>
      <c r="YA227" s="265"/>
      <c r="YB227" s="265"/>
      <c r="YC227" s="265"/>
      <c r="YD227" s="265"/>
      <c r="YE227" s="265"/>
      <c r="YF227" s="265"/>
      <c r="YG227" s="265"/>
      <c r="YH227" s="265"/>
      <c r="YI227" s="265"/>
      <c r="YJ227" s="265"/>
      <c r="YK227" s="265"/>
      <c r="YL227" s="265"/>
      <c r="YM227" s="265"/>
      <c r="YN227" s="265"/>
      <c r="YO227" s="265"/>
      <c r="YP227" s="265"/>
      <c r="YQ227" s="265"/>
      <c r="YR227" s="265"/>
      <c r="YS227" s="265"/>
      <c r="YT227" s="265"/>
      <c r="YU227" s="265"/>
      <c r="YV227" s="265"/>
      <c r="YW227" s="265"/>
      <c r="YX227" s="265"/>
      <c r="YY227" s="265"/>
      <c r="YZ227" s="265"/>
      <c r="ZA227" s="265"/>
      <c r="ZB227" s="265"/>
      <c r="ZC227" s="265"/>
      <c r="ZD227" s="265"/>
      <c r="ZE227" s="265"/>
      <c r="ZF227" s="265"/>
      <c r="ZG227" s="265"/>
      <c r="ZH227" s="265"/>
      <c r="ZI227" s="265"/>
      <c r="ZJ227" s="265"/>
      <c r="ZK227" s="265"/>
      <c r="ZL227" s="265"/>
      <c r="ZM227" s="265"/>
      <c r="ZN227" s="265"/>
      <c r="ZO227" s="265"/>
      <c r="ZP227" s="265"/>
      <c r="ZQ227" s="265"/>
      <c r="ZR227" s="265"/>
      <c r="ZS227" s="265"/>
      <c r="ZT227" s="265"/>
      <c r="ZU227" s="265"/>
      <c r="ZV227" s="265"/>
      <c r="ZW227" s="265"/>
      <c r="ZX227" s="265"/>
      <c r="ZY227" s="265"/>
      <c r="ZZ227" s="265"/>
      <c r="AAA227" s="265"/>
      <c r="AAB227" s="265"/>
      <c r="AAC227" s="265"/>
      <c r="AAD227" s="265"/>
      <c r="AAE227" s="265"/>
      <c r="AAF227" s="265"/>
      <c r="AAG227" s="265"/>
      <c r="AAH227" s="265"/>
      <c r="AAI227" s="265"/>
      <c r="AAJ227" s="265"/>
      <c r="AAK227" s="265"/>
      <c r="AAL227" s="265"/>
      <c r="AAM227" s="265"/>
      <c r="AAN227" s="265"/>
      <c r="AAO227" s="265"/>
      <c r="AAP227" s="265"/>
      <c r="AAQ227" s="265"/>
      <c r="AAR227" s="265"/>
      <c r="AAS227" s="265"/>
      <c r="AAT227" s="265"/>
      <c r="AAU227" s="265"/>
      <c r="AAV227" s="265"/>
      <c r="AAW227" s="265"/>
      <c r="AAX227" s="265"/>
      <c r="AAY227" s="265"/>
      <c r="AAZ227" s="265"/>
      <c r="ABA227" s="265"/>
      <c r="ABB227" s="265"/>
      <c r="ABC227" s="265"/>
      <c r="ABD227" s="265"/>
      <c r="ABE227" s="265"/>
      <c r="ABF227" s="265"/>
      <c r="ABG227" s="265"/>
      <c r="ABH227" s="265"/>
      <c r="ABI227" s="265"/>
      <c r="ABJ227" s="265"/>
      <c r="ABK227" s="265"/>
      <c r="ABL227" s="265"/>
      <c r="ABM227" s="265"/>
      <c r="ABN227" s="265"/>
      <c r="ABO227" s="265"/>
      <c r="ABP227" s="265"/>
      <c r="ABQ227" s="265"/>
      <c r="ABR227" s="265"/>
      <c r="ABS227" s="265"/>
      <c r="ABT227" s="265"/>
      <c r="ABU227" s="265"/>
      <c r="ABV227" s="265"/>
      <c r="ABW227" s="265"/>
      <c r="ABX227" s="265"/>
      <c r="ABY227" s="265"/>
      <c r="ABZ227" s="265"/>
      <c r="ACA227" s="265"/>
      <c r="ACB227" s="265"/>
      <c r="ACC227" s="265"/>
      <c r="ACD227" s="265"/>
      <c r="ACE227" s="265"/>
      <c r="ACF227" s="265"/>
      <c r="ACG227" s="265"/>
      <c r="ACH227" s="265"/>
      <c r="ACI227" s="265"/>
      <c r="ACJ227" s="265"/>
      <c r="ACK227" s="265"/>
      <c r="ACL227" s="265"/>
      <c r="ACM227" s="265"/>
      <c r="ACN227" s="265"/>
      <c r="ACO227" s="265"/>
      <c r="ACP227" s="265"/>
      <c r="ACQ227" s="265"/>
      <c r="ACR227" s="265"/>
      <c r="ACS227" s="265"/>
      <c r="ACT227" s="265"/>
      <c r="ACU227" s="265"/>
      <c r="ACV227" s="265"/>
      <c r="ACW227" s="265"/>
      <c r="ACX227" s="265"/>
      <c r="ACY227" s="265"/>
      <c r="ACZ227" s="265"/>
      <c r="ADA227" s="265"/>
      <c r="ADB227" s="265"/>
      <c r="ADC227" s="265"/>
      <c r="ADD227" s="265"/>
      <c r="ADE227" s="265"/>
      <c r="ADF227" s="265"/>
      <c r="ADG227" s="265"/>
      <c r="ADH227" s="265"/>
      <c r="ADI227" s="265"/>
      <c r="ADJ227" s="265"/>
      <c r="ADK227" s="265"/>
      <c r="ADL227" s="265"/>
      <c r="ADM227" s="265"/>
      <c r="ADN227" s="265"/>
      <c r="ADO227" s="265"/>
      <c r="ADP227" s="265"/>
      <c r="ADQ227" s="265"/>
      <c r="ADR227" s="265"/>
      <c r="ADS227" s="265"/>
      <c r="ADT227" s="265"/>
      <c r="ADU227" s="265"/>
      <c r="ADV227" s="265"/>
      <c r="ADW227" s="265"/>
      <c r="ADX227" s="265"/>
      <c r="ADY227" s="265"/>
      <c r="ADZ227" s="265"/>
      <c r="AEA227" s="265"/>
      <c r="AEB227" s="265"/>
      <c r="AEC227" s="265"/>
      <c r="AED227" s="265"/>
      <c r="AEE227" s="265"/>
      <c r="AEF227" s="265"/>
      <c r="AEG227" s="265"/>
      <c r="AEH227" s="265"/>
      <c r="AEI227" s="265"/>
      <c r="AEJ227" s="265"/>
      <c r="AEK227" s="265"/>
      <c r="AEL227" s="265"/>
      <c r="AEM227" s="265"/>
      <c r="AEN227" s="265"/>
      <c r="AEO227" s="265"/>
      <c r="AEP227" s="265"/>
      <c r="AEQ227" s="265"/>
      <c r="AER227" s="265"/>
      <c r="AES227" s="265"/>
      <c r="AET227" s="265"/>
      <c r="AEU227" s="265"/>
      <c r="AEV227" s="265"/>
      <c r="AEW227" s="265"/>
      <c r="AEX227" s="265"/>
      <c r="AEY227" s="265"/>
      <c r="AEZ227" s="265"/>
      <c r="AFA227" s="265"/>
      <c r="AFB227" s="265"/>
      <c r="AFC227" s="265"/>
      <c r="AFD227" s="265"/>
      <c r="AFE227" s="265"/>
      <c r="AFF227" s="265"/>
      <c r="AFG227" s="265"/>
      <c r="AFH227" s="265"/>
      <c r="AFI227" s="265"/>
      <c r="AFJ227" s="265"/>
      <c r="AFK227" s="265"/>
      <c r="AFL227" s="265"/>
      <c r="AFM227" s="265"/>
      <c r="AFN227" s="265"/>
      <c r="AFO227" s="265"/>
      <c r="AFP227" s="265"/>
      <c r="AFQ227" s="265"/>
      <c r="AFR227" s="265"/>
      <c r="AFS227" s="265"/>
      <c r="AFT227" s="265"/>
      <c r="AFU227" s="265"/>
      <c r="AFV227" s="265"/>
      <c r="AFW227" s="265"/>
      <c r="AFX227" s="265"/>
      <c r="AFY227" s="265"/>
      <c r="AFZ227" s="265"/>
      <c r="AGA227" s="265"/>
      <c r="AGB227" s="265"/>
      <c r="AGC227" s="265"/>
      <c r="AGD227" s="265"/>
      <c r="AGE227" s="265"/>
      <c r="AGF227" s="265"/>
      <c r="AGG227" s="265"/>
      <c r="AGH227" s="265"/>
      <c r="AGI227" s="265"/>
      <c r="AGJ227" s="265"/>
      <c r="AGK227" s="265"/>
      <c r="AGL227" s="265"/>
      <c r="AGM227" s="265"/>
      <c r="AGN227" s="265"/>
      <c r="AGO227" s="265"/>
      <c r="AGP227" s="265"/>
      <c r="AGQ227" s="265"/>
      <c r="AGR227" s="265"/>
      <c r="AGS227" s="265"/>
      <c r="AGT227" s="265"/>
      <c r="AGU227" s="265"/>
      <c r="AGV227" s="265"/>
      <c r="AGW227" s="265"/>
      <c r="AGX227" s="265"/>
      <c r="AGY227" s="265"/>
      <c r="AGZ227" s="265"/>
      <c r="AHA227" s="265"/>
      <c r="AHB227" s="265"/>
      <c r="AHC227" s="265"/>
      <c r="AHD227" s="265"/>
      <c r="AHE227" s="265"/>
      <c r="AHF227" s="265"/>
      <c r="AHG227" s="265"/>
      <c r="AHH227" s="265"/>
      <c r="AHI227" s="265"/>
      <c r="AHJ227" s="265"/>
      <c r="AHK227" s="265"/>
      <c r="AHL227" s="265"/>
      <c r="AHM227" s="265"/>
      <c r="AHN227" s="265"/>
      <c r="AHO227" s="265"/>
      <c r="AHP227" s="265"/>
      <c r="AHQ227" s="265"/>
      <c r="AHR227" s="265"/>
      <c r="AHS227" s="265"/>
      <c r="AHT227" s="265"/>
      <c r="AHU227" s="265"/>
      <c r="AHV227" s="265"/>
      <c r="AHW227" s="265"/>
      <c r="AHX227" s="265"/>
      <c r="AHY227" s="265"/>
      <c r="AHZ227" s="265"/>
      <c r="AIA227" s="265"/>
      <c r="AIB227" s="265"/>
      <c r="AIC227" s="265"/>
      <c r="AID227" s="265"/>
      <c r="AIE227" s="265"/>
      <c r="AIF227" s="265"/>
      <c r="AIG227" s="265"/>
      <c r="AIH227" s="265"/>
      <c r="AII227" s="265"/>
      <c r="AIJ227" s="265"/>
      <c r="AIK227" s="265"/>
      <c r="AIL227" s="265"/>
      <c r="AIM227" s="265"/>
      <c r="AIN227" s="265"/>
      <c r="AIO227" s="265"/>
      <c r="AIP227" s="265"/>
      <c r="AIQ227" s="265"/>
      <c r="AIR227" s="265"/>
      <c r="AIS227" s="265"/>
      <c r="AIT227" s="265"/>
      <c r="AIU227" s="265"/>
      <c r="AIV227" s="265"/>
      <c r="AIW227" s="265"/>
      <c r="AIX227" s="265"/>
      <c r="AIY227" s="265"/>
      <c r="AIZ227" s="265"/>
      <c r="AJA227" s="265"/>
      <c r="AJB227" s="265"/>
      <c r="AJC227" s="265"/>
      <c r="AJD227" s="265"/>
      <c r="AJE227" s="265"/>
      <c r="AJF227" s="265"/>
      <c r="AJG227" s="265"/>
      <c r="AJH227" s="265"/>
      <c r="AJI227" s="265"/>
      <c r="AJJ227" s="265"/>
      <c r="AJK227" s="265"/>
      <c r="AJL227" s="265"/>
      <c r="AJM227" s="265"/>
      <c r="AJN227" s="265"/>
      <c r="AJO227" s="265"/>
      <c r="AJP227" s="265"/>
      <c r="AJQ227" s="265"/>
      <c r="AJR227" s="265"/>
      <c r="AJS227" s="265"/>
      <c r="AJT227" s="265"/>
      <c r="AJU227" s="265"/>
      <c r="AJV227" s="265"/>
      <c r="AJW227" s="265"/>
      <c r="AJX227" s="265"/>
      <c r="AJY227" s="265"/>
      <c r="AJZ227" s="265"/>
      <c r="AKA227" s="265"/>
      <c r="AKB227" s="265"/>
      <c r="AKC227" s="265"/>
      <c r="AKD227" s="265"/>
      <c r="AKE227" s="265"/>
      <c r="AKF227" s="265"/>
      <c r="AKG227" s="265"/>
      <c r="AKH227" s="265"/>
      <c r="AKI227" s="265"/>
      <c r="AKJ227" s="265"/>
      <c r="AKK227" s="265"/>
      <c r="AKL227" s="265"/>
      <c r="AKM227" s="265"/>
      <c r="AKN227" s="265"/>
      <c r="AKO227" s="265"/>
      <c r="AKP227" s="265"/>
      <c r="AKQ227" s="265"/>
      <c r="AKR227" s="265"/>
      <c r="AKS227" s="265"/>
      <c r="AKT227" s="265"/>
      <c r="AKU227" s="265"/>
      <c r="AKV227" s="265"/>
      <c r="AKW227" s="265"/>
      <c r="AKX227" s="265"/>
      <c r="AKY227" s="265"/>
      <c r="AKZ227" s="265"/>
      <c r="ALA227" s="265"/>
      <c r="ALB227" s="265"/>
      <c r="ALC227" s="265"/>
      <c r="ALD227" s="265"/>
      <c r="ALE227" s="265"/>
      <c r="ALF227" s="265"/>
      <c r="ALG227" s="265"/>
      <c r="ALH227" s="265"/>
      <c r="ALI227" s="265"/>
      <c r="ALJ227" s="265"/>
      <c r="ALK227" s="265"/>
      <c r="ALL227" s="265"/>
      <c r="ALM227" s="265"/>
      <c r="ALN227" s="265"/>
      <c r="ALO227" s="265"/>
      <c r="ALP227" s="265"/>
      <c r="ALQ227" s="265"/>
      <c r="ALR227" s="265"/>
      <c r="ALS227" s="265"/>
      <c r="ALT227" s="265"/>
      <c r="ALU227" s="265"/>
      <c r="ALV227" s="265"/>
      <c r="ALW227" s="265"/>
      <c r="ALX227" s="265"/>
      <c r="ALY227" s="265"/>
      <c r="ALZ227" s="265"/>
      <c r="AMA227" s="265"/>
      <c r="AMB227" s="265"/>
      <c r="AMC227" s="265"/>
      <c r="AMD227" s="265"/>
      <c r="AME227" s="265"/>
      <c r="AMF227" s="265"/>
      <c r="AMG227" s="265"/>
      <c r="AMH227" s="265"/>
      <c r="AMI227" s="265"/>
      <c r="AMJ227" s="265"/>
      <c r="AMK227" s="265"/>
      <c r="AML227" s="265"/>
      <c r="AMM227" s="265"/>
      <c r="AMN227" s="265"/>
      <c r="AMO227" s="265"/>
      <c r="AMP227" s="265"/>
      <c r="AMQ227" s="265"/>
      <c r="AMR227" s="265"/>
      <c r="AMS227" s="265"/>
      <c r="AMT227" s="265"/>
      <c r="AMU227" s="265"/>
      <c r="AMV227" s="265"/>
      <c r="AMW227" s="265"/>
      <c r="AMX227" s="265"/>
      <c r="AMY227" s="265"/>
      <c r="AMZ227" s="265"/>
      <c r="ANA227" s="265"/>
      <c r="ANB227" s="265"/>
      <c r="ANC227" s="265"/>
      <c r="AND227" s="265"/>
      <c r="ANE227" s="265"/>
      <c r="ANF227" s="265"/>
      <c r="ANG227" s="265"/>
      <c r="ANH227" s="265"/>
      <c r="ANI227" s="265"/>
      <c r="ANJ227" s="265"/>
      <c r="ANK227" s="265"/>
      <c r="ANL227" s="265"/>
      <c r="ANM227" s="265"/>
      <c r="ANN227" s="265"/>
      <c r="ANO227" s="265"/>
      <c r="ANP227" s="265"/>
      <c r="ANQ227" s="265"/>
      <c r="ANR227" s="265"/>
      <c r="ANS227" s="265"/>
      <c r="ANT227" s="265"/>
      <c r="ANU227" s="265"/>
      <c r="ANV227" s="265"/>
      <c r="ANW227" s="265"/>
      <c r="ANX227" s="265"/>
      <c r="ANY227" s="265"/>
      <c r="ANZ227" s="265"/>
      <c r="AOA227" s="265"/>
      <c r="AOB227" s="265"/>
      <c r="AOC227" s="265"/>
      <c r="AOD227" s="265"/>
      <c r="AOE227" s="265"/>
      <c r="AOF227" s="265"/>
      <c r="AOG227" s="265"/>
      <c r="AOH227" s="265"/>
      <c r="AOI227" s="265"/>
      <c r="AOJ227" s="265"/>
      <c r="AOK227" s="265"/>
      <c r="AOL227" s="265"/>
      <c r="AOM227" s="265"/>
      <c r="AON227" s="265"/>
      <c r="AOO227" s="265"/>
      <c r="AOP227" s="265"/>
      <c r="AOQ227" s="265"/>
      <c r="AOR227" s="265"/>
      <c r="AOS227" s="265"/>
      <c r="AOT227" s="265"/>
      <c r="AOU227" s="265"/>
      <c r="AOV227" s="265"/>
      <c r="AOW227" s="265"/>
      <c r="AOX227" s="265"/>
      <c r="AOY227" s="265"/>
      <c r="AOZ227" s="265"/>
      <c r="APA227" s="265"/>
      <c r="APB227" s="265"/>
      <c r="APC227" s="265"/>
      <c r="APD227" s="265"/>
      <c r="APE227" s="265"/>
      <c r="APF227" s="265"/>
      <c r="APG227" s="265"/>
      <c r="APH227" s="265"/>
      <c r="API227" s="265"/>
      <c r="APJ227" s="265"/>
      <c r="APK227" s="265"/>
      <c r="APL227" s="265"/>
      <c r="APM227" s="265"/>
      <c r="APN227" s="265"/>
      <c r="APO227" s="265"/>
      <c r="APP227" s="265"/>
      <c r="APQ227" s="265"/>
      <c r="APR227" s="265"/>
      <c r="APS227" s="265"/>
      <c r="APT227" s="265"/>
      <c r="APU227" s="265"/>
      <c r="APV227" s="265"/>
      <c r="APW227" s="265"/>
      <c r="APX227" s="265"/>
      <c r="APY227" s="265"/>
      <c r="APZ227" s="265"/>
      <c r="AQA227" s="265"/>
      <c r="AQB227" s="265"/>
      <c r="AQC227" s="265"/>
      <c r="AQD227" s="265"/>
      <c r="AQE227" s="265"/>
      <c r="AQF227" s="265"/>
      <c r="AQG227" s="265"/>
      <c r="AQH227" s="265"/>
      <c r="AQI227" s="265"/>
      <c r="AQJ227" s="265"/>
      <c r="AQK227" s="265"/>
      <c r="AQL227" s="265"/>
      <c r="AQM227" s="265"/>
      <c r="AQN227" s="265"/>
      <c r="AQO227" s="265"/>
      <c r="AQP227" s="265"/>
      <c r="AQQ227" s="265"/>
      <c r="AQR227" s="265"/>
      <c r="AQS227" s="265"/>
      <c r="AQT227" s="265"/>
      <c r="AQU227" s="265"/>
      <c r="AQV227" s="265"/>
      <c r="AQW227" s="265"/>
      <c r="AQX227" s="265"/>
      <c r="AQY227" s="265"/>
      <c r="AQZ227" s="265"/>
      <c r="ARA227" s="265"/>
      <c r="ARB227" s="265"/>
      <c r="ARC227" s="265"/>
      <c r="ARD227" s="265"/>
      <c r="ARE227" s="265"/>
      <c r="ARF227" s="265"/>
      <c r="ARG227" s="265"/>
      <c r="ARH227" s="265"/>
      <c r="ARI227" s="265"/>
      <c r="ARJ227" s="265"/>
      <c r="ARK227" s="265"/>
      <c r="ARL227" s="265"/>
      <c r="ARM227" s="265"/>
      <c r="ARN227" s="265"/>
      <c r="ARO227" s="265"/>
      <c r="ARP227" s="265"/>
      <c r="ARQ227" s="265"/>
      <c r="ARR227" s="265"/>
      <c r="ARS227" s="265"/>
      <c r="ART227" s="265"/>
      <c r="ARU227" s="265"/>
      <c r="ARV227" s="265"/>
      <c r="ARW227" s="265"/>
      <c r="ARX227" s="265"/>
      <c r="ARY227" s="265"/>
      <c r="ARZ227" s="265"/>
      <c r="ASA227" s="265"/>
      <c r="ASB227" s="265"/>
      <c r="ASC227" s="265"/>
      <c r="ASD227" s="265"/>
      <c r="ASE227" s="265"/>
      <c r="ASF227" s="265"/>
      <c r="ASG227" s="265"/>
      <c r="ASH227" s="265"/>
      <c r="ASI227" s="265"/>
      <c r="ASJ227" s="265"/>
      <c r="ASK227" s="265"/>
      <c r="ASL227" s="265"/>
      <c r="ASM227" s="265"/>
      <c r="ASN227" s="265"/>
      <c r="ASO227" s="265"/>
      <c r="ASP227" s="265"/>
      <c r="ASQ227" s="265"/>
      <c r="ASR227" s="265"/>
      <c r="ASS227" s="265"/>
      <c r="AST227" s="265"/>
      <c r="ASU227" s="265"/>
      <c r="ASV227" s="265"/>
      <c r="ASW227" s="265"/>
      <c r="ASX227" s="265"/>
      <c r="ASY227" s="265"/>
      <c r="ASZ227" s="265"/>
      <c r="ATA227" s="265"/>
      <c r="ATB227" s="265"/>
      <c r="ATC227" s="265"/>
      <c r="ATD227" s="265"/>
      <c r="ATE227" s="265"/>
      <c r="ATF227" s="265"/>
      <c r="ATG227" s="265"/>
      <c r="ATH227" s="265"/>
      <c r="ATI227" s="265"/>
      <c r="ATJ227" s="265"/>
      <c r="ATK227" s="265"/>
      <c r="ATL227" s="265"/>
      <c r="ATM227" s="265"/>
      <c r="ATN227" s="265"/>
      <c r="ATO227" s="265"/>
      <c r="ATP227" s="265"/>
      <c r="ATQ227" s="265"/>
      <c r="ATR227" s="265"/>
      <c r="ATS227" s="265"/>
      <c r="ATT227" s="265"/>
      <c r="ATU227" s="265"/>
      <c r="ATV227" s="265"/>
      <c r="ATW227" s="265"/>
      <c r="ATX227" s="265"/>
      <c r="ATY227" s="265"/>
      <c r="ATZ227" s="265"/>
      <c r="AUA227" s="265"/>
      <c r="AUB227" s="265"/>
      <c r="AUC227" s="265"/>
      <c r="AUD227" s="265"/>
      <c r="AUE227" s="265"/>
      <c r="AUF227" s="265"/>
      <c r="AUG227" s="265"/>
      <c r="AUH227" s="265"/>
      <c r="AUI227" s="265"/>
      <c r="AUJ227" s="265"/>
      <c r="AUK227" s="265"/>
      <c r="AUL227" s="265"/>
      <c r="AUM227" s="265"/>
      <c r="AUN227" s="265"/>
      <c r="AUO227" s="265"/>
      <c r="AUP227" s="265"/>
      <c r="AUQ227" s="265"/>
      <c r="AUR227" s="265"/>
      <c r="AUS227" s="265"/>
      <c r="AUT227" s="265"/>
      <c r="AUU227" s="265"/>
      <c r="AUV227" s="265"/>
      <c r="AUW227" s="265"/>
      <c r="AUX227" s="265"/>
      <c r="AUY227" s="265"/>
      <c r="AUZ227" s="265"/>
      <c r="AVA227" s="265"/>
      <c r="AVB227" s="265"/>
      <c r="AVC227" s="265"/>
      <c r="AVD227" s="265"/>
      <c r="AVE227" s="265"/>
      <c r="AVF227" s="265"/>
      <c r="AVG227" s="265"/>
      <c r="AVH227" s="265"/>
      <c r="AVI227" s="265"/>
      <c r="AVJ227" s="265"/>
      <c r="AVK227" s="265"/>
      <c r="AVL227" s="265"/>
      <c r="AVM227" s="265"/>
      <c r="AVN227" s="265"/>
      <c r="AVO227" s="265"/>
      <c r="AVP227" s="265"/>
      <c r="AVQ227" s="265"/>
      <c r="AVR227" s="265"/>
      <c r="AVS227" s="265"/>
      <c r="AVT227" s="265"/>
      <c r="AVU227" s="265"/>
      <c r="AVV227" s="265"/>
      <c r="AVW227" s="265"/>
      <c r="AVX227" s="265"/>
      <c r="AVY227" s="265"/>
      <c r="AVZ227" s="265"/>
      <c r="AWA227" s="265"/>
      <c r="AWB227" s="265"/>
      <c r="AWC227" s="265"/>
      <c r="AWD227" s="265"/>
      <c r="AWE227" s="265"/>
      <c r="AWF227" s="265"/>
      <c r="AWG227" s="265"/>
      <c r="AWH227" s="265"/>
      <c r="AWI227" s="265"/>
      <c r="AWJ227" s="265"/>
      <c r="AWK227" s="265"/>
      <c r="AWL227" s="265"/>
      <c r="AWM227" s="265"/>
      <c r="AWN227" s="265"/>
      <c r="AWO227" s="265"/>
      <c r="AWP227" s="265"/>
      <c r="AWQ227" s="265"/>
      <c r="AWR227" s="265"/>
      <c r="AWS227" s="265"/>
      <c r="AWT227" s="265"/>
      <c r="AWU227" s="265"/>
      <c r="AWV227" s="265"/>
      <c r="AWW227" s="265"/>
      <c r="AWX227" s="265"/>
      <c r="AWY227" s="265"/>
      <c r="AWZ227" s="265"/>
      <c r="AXA227" s="265"/>
      <c r="AXB227" s="265"/>
      <c r="AXC227" s="265"/>
      <c r="AXD227" s="265"/>
      <c r="AXE227" s="265"/>
      <c r="AXF227" s="265"/>
      <c r="AXG227" s="265"/>
      <c r="AXH227" s="265"/>
      <c r="AXI227" s="265"/>
      <c r="AXJ227" s="265"/>
      <c r="AXK227" s="265"/>
      <c r="AXL227" s="265"/>
      <c r="AXM227" s="265"/>
      <c r="AXN227" s="265"/>
      <c r="AXO227" s="265"/>
      <c r="AXP227" s="265"/>
      <c r="AXQ227" s="265"/>
      <c r="AXR227" s="265"/>
      <c r="AXS227" s="265"/>
      <c r="AXT227" s="265"/>
      <c r="AXU227" s="265"/>
      <c r="AXV227" s="265"/>
      <c r="AXW227" s="265"/>
      <c r="AXX227" s="265"/>
      <c r="AXY227" s="265"/>
      <c r="AXZ227" s="265"/>
      <c r="AYA227" s="265"/>
      <c r="AYB227" s="265"/>
      <c r="AYC227" s="265"/>
      <c r="AYD227" s="265"/>
      <c r="AYE227" s="265"/>
      <c r="AYF227" s="265"/>
      <c r="AYG227" s="265"/>
      <c r="AYH227" s="265"/>
      <c r="AYI227" s="265"/>
      <c r="AYJ227" s="265"/>
      <c r="AYK227" s="265"/>
      <c r="AYL227" s="265"/>
      <c r="AYM227" s="265"/>
      <c r="AYN227" s="265"/>
      <c r="AYO227" s="265"/>
      <c r="AYP227" s="265"/>
      <c r="AYQ227" s="265"/>
      <c r="AYR227" s="265"/>
      <c r="AYS227" s="265"/>
      <c r="AYT227" s="265"/>
      <c r="AYU227" s="265"/>
      <c r="AYV227" s="265"/>
      <c r="AYW227" s="265"/>
      <c r="AYX227" s="265"/>
      <c r="AYY227" s="265"/>
      <c r="AYZ227" s="265"/>
      <c r="AZA227" s="265"/>
      <c r="AZB227" s="265"/>
      <c r="AZC227" s="265"/>
      <c r="AZD227" s="265"/>
      <c r="AZE227" s="265"/>
      <c r="AZF227" s="265"/>
      <c r="AZG227" s="265"/>
      <c r="AZH227" s="265"/>
      <c r="AZI227" s="265"/>
      <c r="AZJ227" s="265"/>
      <c r="AZK227" s="265"/>
      <c r="AZL227" s="265"/>
      <c r="AZM227" s="265"/>
      <c r="AZN227" s="265"/>
      <c r="AZO227" s="265"/>
      <c r="AZP227" s="265"/>
      <c r="AZQ227" s="265"/>
      <c r="AZR227" s="265"/>
      <c r="AZS227" s="265"/>
      <c r="AZT227" s="265"/>
      <c r="AZU227" s="265"/>
      <c r="AZV227" s="265"/>
      <c r="AZW227" s="265"/>
      <c r="AZX227" s="265"/>
      <c r="AZY227" s="265"/>
      <c r="AZZ227" s="265"/>
      <c r="BAA227" s="265"/>
      <c r="BAB227" s="265"/>
      <c r="BAC227" s="265"/>
      <c r="BAD227" s="265"/>
      <c r="BAE227" s="265"/>
      <c r="BAF227" s="265"/>
      <c r="BAG227" s="265"/>
      <c r="BAH227" s="265"/>
      <c r="BAI227" s="265"/>
      <c r="BAJ227" s="265"/>
      <c r="BAK227" s="265"/>
      <c r="BAL227" s="265"/>
      <c r="BAM227" s="265"/>
      <c r="BAN227" s="265"/>
      <c r="BAO227" s="265"/>
      <c r="BAP227" s="265"/>
      <c r="BAQ227" s="265"/>
      <c r="BAR227" s="265"/>
      <c r="BAS227" s="265"/>
      <c r="BAT227" s="265"/>
      <c r="BAU227" s="265"/>
      <c r="BAV227" s="265"/>
      <c r="BAW227" s="265"/>
      <c r="BAX227" s="265"/>
      <c r="BAY227" s="265"/>
      <c r="BAZ227" s="265"/>
      <c r="BBA227" s="265"/>
      <c r="BBB227" s="265"/>
      <c r="BBC227" s="265"/>
      <c r="BBD227" s="265"/>
      <c r="BBE227" s="265"/>
      <c r="BBF227" s="265"/>
      <c r="BBG227" s="265"/>
      <c r="BBH227" s="265"/>
      <c r="BBI227" s="265"/>
      <c r="BBJ227" s="265"/>
      <c r="BBK227" s="265"/>
      <c r="BBL227" s="265"/>
      <c r="BBM227" s="265"/>
      <c r="BBN227" s="265"/>
      <c r="BBO227" s="265"/>
      <c r="BBP227" s="265"/>
      <c r="BBQ227" s="265"/>
      <c r="BBR227" s="265"/>
      <c r="BBS227" s="265"/>
      <c r="BBT227" s="265"/>
      <c r="BBU227" s="265"/>
      <c r="BBV227" s="265"/>
      <c r="BBW227" s="265"/>
      <c r="BBX227" s="265"/>
      <c r="BBY227" s="265"/>
      <c r="BBZ227" s="265"/>
      <c r="BCA227" s="265"/>
      <c r="BCB227" s="265"/>
      <c r="BCC227" s="265"/>
      <c r="BCD227" s="265"/>
      <c r="BCE227" s="265"/>
      <c r="BCF227" s="265"/>
      <c r="BCG227" s="265"/>
      <c r="BCH227" s="265"/>
      <c r="BCI227" s="265"/>
      <c r="BCJ227" s="265"/>
      <c r="BCK227" s="265"/>
      <c r="BCL227" s="265"/>
      <c r="BCM227" s="265"/>
      <c r="BCN227" s="265"/>
      <c r="BCO227" s="265"/>
      <c r="BCP227" s="265"/>
      <c r="BCQ227" s="265"/>
      <c r="BCR227" s="265"/>
      <c r="BCS227" s="265"/>
      <c r="BCT227" s="265"/>
      <c r="BCU227" s="265"/>
      <c r="BCV227" s="265"/>
      <c r="BCW227" s="265"/>
      <c r="BCX227" s="265"/>
      <c r="BCY227" s="265"/>
      <c r="BCZ227" s="265"/>
      <c r="BDA227" s="265"/>
      <c r="BDB227" s="265"/>
      <c r="BDC227" s="265"/>
      <c r="BDD227" s="265"/>
      <c r="BDE227" s="265"/>
      <c r="BDF227" s="265"/>
      <c r="BDG227" s="265"/>
      <c r="BDH227" s="265"/>
      <c r="BDI227" s="265"/>
      <c r="BDJ227" s="265"/>
      <c r="BDK227" s="265"/>
      <c r="BDL227" s="265"/>
      <c r="BDM227" s="265"/>
      <c r="BDN227" s="265"/>
      <c r="BDO227" s="265"/>
      <c r="BDP227" s="265"/>
      <c r="BDQ227" s="265"/>
      <c r="BDR227" s="265"/>
      <c r="BDS227" s="265"/>
      <c r="BDT227" s="265"/>
      <c r="BDU227" s="265"/>
      <c r="BDV227" s="265"/>
      <c r="BDW227" s="265"/>
      <c r="BDX227" s="265"/>
      <c r="BDY227" s="265"/>
      <c r="BDZ227" s="265"/>
      <c r="BEA227" s="265"/>
      <c r="BEB227" s="265"/>
      <c r="BEC227" s="265"/>
      <c r="BED227" s="265"/>
      <c r="BEE227" s="265"/>
      <c r="BEF227" s="265"/>
      <c r="BEG227" s="265"/>
      <c r="BEH227" s="265"/>
      <c r="BEI227" s="265"/>
      <c r="BEJ227" s="265"/>
      <c r="BEK227" s="265"/>
      <c r="BEL227" s="265"/>
      <c r="BEM227" s="265"/>
      <c r="BEN227" s="265"/>
      <c r="BEO227" s="265"/>
      <c r="BEP227" s="265"/>
      <c r="BEQ227" s="265"/>
      <c r="BER227" s="265"/>
      <c r="BES227" s="265"/>
      <c r="BET227" s="265"/>
      <c r="BEU227" s="265"/>
      <c r="BEV227" s="265"/>
      <c r="BEW227" s="265"/>
      <c r="BEX227" s="265"/>
      <c r="BEY227" s="265"/>
      <c r="BEZ227" s="265"/>
      <c r="BFA227" s="265"/>
      <c r="BFB227" s="265"/>
      <c r="BFC227" s="265"/>
      <c r="BFD227" s="265"/>
      <c r="BFE227" s="265"/>
      <c r="BFF227" s="265"/>
      <c r="BFG227" s="265"/>
      <c r="BFH227" s="265"/>
      <c r="BFI227" s="265"/>
      <c r="BFJ227" s="265"/>
      <c r="BFK227" s="265"/>
      <c r="BFL227" s="265"/>
      <c r="BFM227" s="265"/>
      <c r="BFN227" s="265"/>
      <c r="BFO227" s="265"/>
      <c r="BFP227" s="265"/>
      <c r="BFQ227" s="265"/>
      <c r="BFR227" s="265"/>
      <c r="BFS227" s="265"/>
      <c r="BFT227" s="265"/>
      <c r="BFU227" s="265"/>
      <c r="BFV227" s="265"/>
      <c r="BFW227" s="265"/>
      <c r="BFX227" s="265"/>
      <c r="BFY227" s="265"/>
      <c r="BFZ227" s="265"/>
      <c r="BGA227" s="265"/>
      <c r="BGB227" s="265"/>
      <c r="BGC227" s="265"/>
      <c r="BGD227" s="265"/>
      <c r="BGE227" s="265"/>
      <c r="BGF227" s="265"/>
      <c r="BGG227" s="265"/>
      <c r="BGH227" s="265"/>
      <c r="BGI227" s="265"/>
      <c r="BGJ227" s="265"/>
      <c r="BGK227" s="265"/>
      <c r="BGL227" s="265"/>
      <c r="BGM227" s="265"/>
      <c r="BGN227" s="265"/>
      <c r="BGO227" s="265"/>
      <c r="BGP227" s="265"/>
      <c r="BGQ227" s="265"/>
      <c r="BGR227" s="265"/>
      <c r="BGS227" s="265"/>
      <c r="BGT227" s="265"/>
      <c r="BGU227" s="265"/>
      <c r="BGV227" s="265"/>
      <c r="BGW227" s="265"/>
      <c r="BGX227" s="265"/>
      <c r="BGY227" s="265"/>
      <c r="BGZ227" s="265"/>
      <c r="BHA227" s="265"/>
      <c r="BHB227" s="265"/>
      <c r="BHC227" s="265"/>
      <c r="BHD227" s="265"/>
      <c r="BHE227" s="265"/>
      <c r="BHF227" s="265"/>
      <c r="BHG227" s="265"/>
      <c r="BHH227" s="265"/>
      <c r="BHI227" s="265"/>
      <c r="BHJ227" s="265"/>
      <c r="BHK227" s="265"/>
      <c r="BHL227" s="265"/>
      <c r="BHM227" s="265"/>
      <c r="BHN227" s="265"/>
      <c r="BHO227" s="265"/>
      <c r="BHP227" s="265"/>
      <c r="BHQ227" s="265"/>
      <c r="BHR227" s="265"/>
      <c r="BHS227" s="265"/>
      <c r="BHT227" s="265"/>
      <c r="BHU227" s="265"/>
      <c r="BHV227" s="265"/>
      <c r="BHW227" s="265"/>
      <c r="BHX227" s="265"/>
      <c r="BHY227" s="265"/>
      <c r="BHZ227" s="265"/>
      <c r="BIA227" s="265"/>
      <c r="BIB227" s="265"/>
      <c r="BIC227" s="265"/>
      <c r="BID227" s="265"/>
      <c r="BIE227" s="265"/>
      <c r="BIF227" s="265"/>
      <c r="BIG227" s="265"/>
      <c r="BIH227" s="265"/>
      <c r="BII227" s="265"/>
      <c r="BIJ227" s="265"/>
      <c r="BIK227" s="265"/>
      <c r="BIL227" s="265"/>
      <c r="BIM227" s="265"/>
      <c r="BIN227" s="265"/>
      <c r="BIO227" s="265"/>
      <c r="BIP227" s="265"/>
      <c r="BIQ227" s="265"/>
      <c r="BIR227" s="265"/>
      <c r="BIS227" s="265"/>
      <c r="BIT227" s="265"/>
      <c r="BIU227" s="265"/>
      <c r="BIV227" s="265"/>
      <c r="BIW227" s="265"/>
      <c r="BIX227" s="265"/>
      <c r="BIY227" s="265"/>
      <c r="BIZ227" s="265"/>
      <c r="BJA227" s="265"/>
      <c r="BJB227" s="265"/>
      <c r="BJC227" s="265"/>
      <c r="BJD227" s="265"/>
      <c r="BJE227" s="265"/>
      <c r="BJF227" s="265"/>
      <c r="BJG227" s="265"/>
      <c r="BJH227" s="265"/>
      <c r="BJI227" s="265"/>
      <c r="BJJ227" s="265"/>
      <c r="BJK227" s="265"/>
      <c r="BJL227" s="265"/>
      <c r="BJM227" s="265"/>
      <c r="BJN227" s="265"/>
      <c r="BJO227" s="265"/>
      <c r="BJP227" s="265"/>
      <c r="BJQ227" s="265"/>
      <c r="BJR227" s="265"/>
      <c r="BJS227" s="265"/>
      <c r="BJT227" s="265"/>
      <c r="BJU227" s="265"/>
      <c r="BJV227" s="265"/>
      <c r="BJW227" s="265"/>
      <c r="BJX227" s="265"/>
      <c r="BJY227" s="265"/>
      <c r="BJZ227" s="265"/>
      <c r="BKA227" s="265"/>
      <c r="BKB227" s="265"/>
      <c r="BKC227" s="265"/>
      <c r="BKD227" s="265"/>
      <c r="BKE227" s="265"/>
      <c r="BKF227" s="265"/>
      <c r="BKG227" s="265"/>
      <c r="BKH227" s="265"/>
      <c r="BKI227" s="265"/>
      <c r="BKJ227" s="265"/>
      <c r="BKK227" s="265"/>
      <c r="BKL227" s="265"/>
      <c r="BKM227" s="265"/>
      <c r="BKN227" s="265"/>
      <c r="BKO227" s="265"/>
      <c r="BKP227" s="265"/>
      <c r="BKQ227" s="265"/>
      <c r="BKR227" s="265"/>
      <c r="BKS227" s="265"/>
      <c r="BKT227" s="265"/>
      <c r="BKU227" s="265"/>
      <c r="BKV227" s="265"/>
      <c r="BKW227" s="265"/>
      <c r="BKX227" s="265"/>
      <c r="BKY227" s="265"/>
      <c r="BKZ227" s="265"/>
      <c r="BLA227" s="265"/>
      <c r="BLB227" s="265"/>
      <c r="BLC227" s="265"/>
      <c r="BLD227" s="265"/>
      <c r="BLE227" s="265"/>
      <c r="BLF227" s="265"/>
      <c r="BLG227" s="265"/>
      <c r="BLH227" s="265"/>
      <c r="BLI227" s="265"/>
      <c r="BLJ227" s="265"/>
      <c r="BLK227" s="265"/>
      <c r="BLL227" s="265"/>
      <c r="BLM227" s="265"/>
      <c r="BLN227" s="265"/>
      <c r="BLO227" s="265"/>
      <c r="BLP227" s="265"/>
      <c r="BLQ227" s="265"/>
      <c r="BLR227" s="265"/>
      <c r="BLS227" s="265"/>
      <c r="BLT227" s="265"/>
      <c r="BLU227" s="265"/>
      <c r="BLV227" s="265"/>
      <c r="BLW227" s="265"/>
      <c r="BLX227" s="265"/>
      <c r="BLY227" s="265"/>
      <c r="BLZ227" s="265"/>
      <c r="BMA227" s="265"/>
      <c r="BMB227" s="265"/>
      <c r="BMC227" s="265"/>
      <c r="BMD227" s="265"/>
      <c r="BME227" s="265"/>
      <c r="BMF227" s="265"/>
      <c r="BMG227" s="265"/>
      <c r="BMH227" s="265"/>
      <c r="BMI227" s="265"/>
      <c r="BMJ227" s="265"/>
      <c r="BMK227" s="265"/>
      <c r="BML227" s="265"/>
      <c r="BMM227" s="265"/>
      <c r="BMN227" s="265"/>
      <c r="BMO227" s="265"/>
      <c r="BMP227" s="265"/>
      <c r="BMQ227" s="265"/>
      <c r="BMR227" s="265"/>
      <c r="BMS227" s="265"/>
      <c r="BMT227" s="265"/>
      <c r="BMU227" s="265"/>
      <c r="BMV227" s="265"/>
      <c r="BMW227" s="265"/>
      <c r="BMX227" s="265"/>
      <c r="BMY227" s="265"/>
      <c r="BMZ227" s="265"/>
      <c r="BNA227" s="265"/>
      <c r="BNB227" s="265"/>
      <c r="BNC227" s="265"/>
      <c r="BND227" s="265"/>
      <c r="BNE227" s="265"/>
      <c r="BNF227" s="265"/>
      <c r="BNG227" s="265"/>
      <c r="BNH227" s="265"/>
      <c r="BNI227" s="265"/>
      <c r="BNJ227" s="265"/>
      <c r="BNK227" s="265"/>
      <c r="BNL227" s="265"/>
      <c r="BNM227" s="265"/>
      <c r="BNN227" s="265"/>
      <c r="BNO227" s="265"/>
      <c r="BNP227" s="265"/>
      <c r="BNQ227" s="265"/>
      <c r="BNR227" s="265"/>
      <c r="BNS227" s="265"/>
      <c r="BNT227" s="265"/>
      <c r="BNU227" s="265"/>
      <c r="BNV227" s="265"/>
      <c r="BNW227" s="265"/>
      <c r="BNX227" s="265"/>
      <c r="BNY227" s="265"/>
      <c r="BNZ227" s="265"/>
      <c r="BOA227" s="265"/>
      <c r="BOB227" s="265"/>
      <c r="BOC227" s="265"/>
      <c r="BOD227" s="265"/>
      <c r="BOE227" s="265"/>
      <c r="BOF227" s="265"/>
      <c r="BOG227" s="265"/>
      <c r="BOH227" s="265"/>
      <c r="BOI227" s="265"/>
      <c r="BOJ227" s="265"/>
      <c r="BOK227" s="265"/>
      <c r="BOL227" s="265"/>
      <c r="BOM227" s="265"/>
      <c r="BON227" s="265"/>
      <c r="BOO227" s="265"/>
      <c r="BOP227" s="265"/>
      <c r="BOQ227" s="265"/>
      <c r="BOR227" s="265"/>
      <c r="BOS227" s="265"/>
      <c r="BOT227" s="265"/>
      <c r="BOU227" s="265"/>
      <c r="BOV227" s="265"/>
      <c r="BOW227" s="265"/>
      <c r="BOX227" s="265"/>
      <c r="BOY227" s="265"/>
      <c r="BOZ227" s="265"/>
      <c r="BPA227" s="265"/>
      <c r="BPB227" s="265"/>
      <c r="BPC227" s="265"/>
      <c r="BPD227" s="265"/>
      <c r="BPE227" s="265"/>
      <c r="BPF227" s="265"/>
      <c r="BPG227" s="265"/>
      <c r="BPH227" s="265"/>
      <c r="BPI227" s="265"/>
      <c r="BPJ227" s="265"/>
      <c r="BPK227" s="265"/>
      <c r="BPL227" s="265"/>
      <c r="BPM227" s="265"/>
      <c r="BPN227" s="265"/>
      <c r="BPO227" s="265"/>
      <c r="BPP227" s="265"/>
      <c r="BPQ227" s="265"/>
      <c r="BPR227" s="265"/>
      <c r="BPS227" s="265"/>
      <c r="BPT227" s="265"/>
      <c r="BPU227" s="265"/>
      <c r="BPV227" s="265"/>
      <c r="BPW227" s="265"/>
      <c r="BPX227" s="265"/>
      <c r="BPY227" s="265"/>
      <c r="BPZ227" s="265"/>
      <c r="BQA227" s="265"/>
      <c r="BQB227" s="265"/>
      <c r="BQC227" s="265"/>
      <c r="BQD227" s="265"/>
      <c r="BQE227" s="265"/>
      <c r="BQF227" s="265"/>
      <c r="BQG227" s="265"/>
      <c r="BQH227" s="265"/>
      <c r="BQI227" s="265"/>
      <c r="BQJ227" s="265"/>
      <c r="BQK227" s="265"/>
      <c r="BQL227" s="265"/>
      <c r="BQM227" s="265"/>
      <c r="BQN227" s="265"/>
      <c r="BQO227" s="265"/>
      <c r="BQP227" s="265"/>
      <c r="BQQ227" s="265"/>
      <c r="BQR227" s="265"/>
      <c r="BQS227" s="265"/>
      <c r="BQT227" s="265"/>
      <c r="BQU227" s="265"/>
      <c r="BQV227" s="265"/>
      <c r="BQW227" s="265"/>
      <c r="BQX227" s="265"/>
      <c r="BQY227" s="265"/>
      <c r="BQZ227" s="265"/>
      <c r="BRA227" s="265"/>
      <c r="BRB227" s="265"/>
      <c r="BRC227" s="265"/>
      <c r="BRD227" s="265"/>
      <c r="BRE227" s="265"/>
      <c r="BRF227" s="265"/>
      <c r="BRG227" s="265"/>
      <c r="BRH227" s="265"/>
      <c r="BRI227" s="265"/>
      <c r="BRJ227" s="265"/>
      <c r="BRK227" s="265"/>
      <c r="BRL227" s="265"/>
      <c r="BRM227" s="265"/>
      <c r="BRN227" s="265"/>
      <c r="BRO227" s="265"/>
      <c r="BRP227" s="265"/>
      <c r="BRQ227" s="265"/>
      <c r="BRR227" s="265"/>
      <c r="BRS227" s="265"/>
      <c r="BRT227" s="265"/>
      <c r="BRU227" s="265"/>
      <c r="BRV227" s="265"/>
      <c r="BRW227" s="265"/>
      <c r="BRX227" s="265"/>
      <c r="BRY227" s="265"/>
      <c r="BRZ227" s="265"/>
      <c r="BSA227" s="265"/>
      <c r="BSB227" s="265"/>
      <c r="BSC227" s="265"/>
      <c r="BSD227" s="265"/>
      <c r="BSE227" s="265"/>
      <c r="BSF227" s="265"/>
      <c r="BSG227" s="265"/>
      <c r="BSH227" s="265"/>
      <c r="BSI227" s="265"/>
      <c r="BSJ227" s="265"/>
      <c r="BSK227" s="265"/>
      <c r="BSL227" s="265"/>
      <c r="BSM227" s="265"/>
      <c r="BSN227" s="265"/>
      <c r="BSO227" s="265"/>
      <c r="BSP227" s="265"/>
      <c r="BSQ227" s="265"/>
      <c r="BSR227" s="265"/>
      <c r="BSS227" s="265"/>
      <c r="BST227" s="265"/>
      <c r="BSU227" s="265"/>
      <c r="BSV227" s="265"/>
      <c r="BSW227" s="265"/>
      <c r="BSX227" s="265"/>
      <c r="BSY227" s="265"/>
      <c r="BSZ227" s="265"/>
      <c r="BTA227" s="265"/>
      <c r="BTB227" s="265"/>
      <c r="BTC227" s="265"/>
      <c r="BTD227" s="265"/>
      <c r="BTE227" s="265"/>
      <c r="BTF227" s="265"/>
      <c r="BTG227" s="265"/>
      <c r="BTH227" s="265"/>
      <c r="BTI227" s="265"/>
      <c r="BTJ227" s="265"/>
      <c r="BTK227" s="265"/>
      <c r="BTL227" s="265"/>
      <c r="BTM227" s="265"/>
      <c r="BTN227" s="265"/>
      <c r="BTO227" s="265"/>
      <c r="BTP227" s="265"/>
      <c r="BTQ227" s="265"/>
      <c r="BTR227" s="265"/>
      <c r="BTS227" s="265"/>
      <c r="BTT227" s="265"/>
      <c r="BTU227" s="265"/>
      <c r="BTV227" s="265"/>
      <c r="BTW227" s="265"/>
      <c r="BTX227" s="265"/>
      <c r="BTY227" s="265"/>
      <c r="BTZ227" s="265"/>
      <c r="BUA227" s="265"/>
      <c r="BUB227" s="265"/>
      <c r="BUC227" s="265"/>
      <c r="BUD227" s="265"/>
      <c r="BUE227" s="265"/>
      <c r="BUF227" s="265"/>
      <c r="BUG227" s="265"/>
      <c r="BUH227" s="265"/>
      <c r="BUI227" s="265"/>
      <c r="BUJ227" s="265"/>
      <c r="BUK227" s="265"/>
      <c r="BUL227" s="265"/>
      <c r="BUM227" s="265"/>
      <c r="BUN227" s="265"/>
      <c r="BUO227" s="265"/>
      <c r="BUP227" s="265"/>
      <c r="BUQ227" s="265"/>
      <c r="BUR227" s="265"/>
      <c r="BUS227" s="265"/>
      <c r="BUT227" s="265"/>
      <c r="BUU227" s="265"/>
      <c r="BUV227" s="265"/>
      <c r="BUW227" s="265"/>
      <c r="BUX227" s="265"/>
      <c r="BUY227" s="265"/>
      <c r="BUZ227" s="265"/>
      <c r="BVA227" s="265"/>
      <c r="BVB227" s="265"/>
      <c r="BVC227" s="265"/>
      <c r="BVD227" s="265"/>
      <c r="BVE227" s="265"/>
      <c r="BVF227" s="265"/>
      <c r="BVG227" s="265"/>
      <c r="BVH227" s="265"/>
      <c r="BVI227" s="265"/>
      <c r="BVJ227" s="265"/>
      <c r="BVK227" s="265"/>
      <c r="BVL227" s="265"/>
      <c r="BVM227" s="265"/>
      <c r="BVN227" s="265"/>
      <c r="BVO227" s="265"/>
      <c r="BVP227" s="265"/>
      <c r="BVQ227" s="265"/>
      <c r="BVR227" s="265"/>
      <c r="BVS227" s="265"/>
      <c r="BVT227" s="265"/>
      <c r="BVU227" s="265"/>
      <c r="BVV227" s="265"/>
      <c r="BVW227" s="265"/>
      <c r="BVX227" s="265"/>
      <c r="BVY227" s="265"/>
      <c r="BVZ227" s="265"/>
      <c r="BWA227" s="265"/>
      <c r="BWB227" s="265"/>
      <c r="BWC227" s="265"/>
      <c r="BWD227" s="265"/>
      <c r="BWE227" s="265"/>
      <c r="BWF227" s="265"/>
      <c r="BWG227" s="265"/>
      <c r="BWH227" s="265"/>
      <c r="BWI227" s="265"/>
      <c r="BWJ227" s="265"/>
      <c r="BWK227" s="265"/>
      <c r="BWL227" s="265"/>
      <c r="BWM227" s="265"/>
      <c r="BWN227" s="265"/>
      <c r="BWO227" s="265"/>
      <c r="BWP227" s="265"/>
      <c r="BWQ227" s="265"/>
      <c r="BWR227" s="265"/>
      <c r="BWS227" s="265"/>
      <c r="BWT227" s="265"/>
      <c r="BWU227" s="265"/>
      <c r="BWV227" s="265"/>
      <c r="BWW227" s="265"/>
      <c r="BWX227" s="265"/>
      <c r="BWY227" s="265"/>
      <c r="BWZ227" s="265"/>
      <c r="BXA227" s="265"/>
      <c r="BXB227" s="265"/>
      <c r="BXC227" s="265"/>
      <c r="BXD227" s="265"/>
      <c r="BXE227" s="265"/>
      <c r="BXF227" s="265"/>
      <c r="BXG227" s="265"/>
      <c r="BXH227" s="265"/>
      <c r="BXI227" s="265"/>
      <c r="BXJ227" s="265"/>
      <c r="BXK227" s="265"/>
      <c r="BXL227" s="265"/>
      <c r="BXM227" s="265"/>
      <c r="BXN227" s="265"/>
      <c r="BXO227" s="265"/>
      <c r="BXP227" s="265"/>
      <c r="BXQ227" s="265"/>
      <c r="BXR227" s="265"/>
      <c r="BXS227" s="265"/>
      <c r="BXT227" s="265"/>
      <c r="BXU227" s="265"/>
      <c r="BXV227" s="265"/>
      <c r="BXW227" s="265"/>
      <c r="BXX227" s="265"/>
      <c r="BXY227" s="265"/>
      <c r="BXZ227" s="265"/>
      <c r="BYA227" s="265"/>
      <c r="BYB227" s="265"/>
      <c r="BYC227" s="265"/>
      <c r="BYD227" s="265"/>
      <c r="BYE227" s="265"/>
      <c r="BYF227" s="265"/>
      <c r="BYG227" s="265"/>
      <c r="BYH227" s="265"/>
      <c r="BYI227" s="265"/>
      <c r="BYJ227" s="265"/>
      <c r="BYK227" s="265"/>
      <c r="BYL227" s="265"/>
      <c r="BYM227" s="265"/>
      <c r="BYN227" s="265"/>
      <c r="BYO227" s="265"/>
      <c r="BYP227" s="265"/>
      <c r="BYQ227" s="265"/>
      <c r="BYR227" s="265"/>
      <c r="BYS227" s="265"/>
      <c r="BYT227" s="265"/>
      <c r="BYU227" s="265"/>
      <c r="BYV227" s="265"/>
      <c r="BYW227" s="265"/>
      <c r="BYX227" s="265"/>
      <c r="BYY227" s="265"/>
      <c r="BYZ227" s="265"/>
      <c r="BZA227" s="265"/>
      <c r="BZB227" s="265"/>
      <c r="BZC227" s="265"/>
      <c r="BZD227" s="265"/>
      <c r="BZE227" s="265"/>
      <c r="BZF227" s="265"/>
      <c r="BZG227" s="265"/>
      <c r="BZH227" s="265"/>
      <c r="BZI227" s="265"/>
      <c r="BZJ227" s="265"/>
      <c r="BZK227" s="265"/>
      <c r="BZL227" s="265"/>
      <c r="BZM227" s="265"/>
      <c r="BZN227" s="265"/>
      <c r="BZO227" s="265"/>
      <c r="BZP227" s="265"/>
      <c r="BZQ227" s="265"/>
      <c r="BZR227" s="265"/>
      <c r="BZS227" s="265"/>
      <c r="BZT227" s="265"/>
      <c r="BZU227" s="265"/>
      <c r="BZV227" s="265"/>
      <c r="BZW227" s="265"/>
      <c r="BZX227" s="265"/>
      <c r="BZY227" s="265"/>
      <c r="BZZ227" s="265"/>
      <c r="CAA227" s="265"/>
      <c r="CAB227" s="265"/>
      <c r="CAC227" s="265"/>
      <c r="CAD227" s="265"/>
      <c r="CAE227" s="265"/>
      <c r="CAF227" s="265"/>
      <c r="CAG227" s="265"/>
      <c r="CAH227" s="265"/>
      <c r="CAI227" s="265"/>
      <c r="CAJ227" s="265"/>
      <c r="CAK227" s="265"/>
      <c r="CAL227" s="265"/>
      <c r="CAM227" s="265"/>
      <c r="CAN227" s="265"/>
      <c r="CAO227" s="265"/>
      <c r="CAP227" s="265"/>
      <c r="CAQ227" s="265"/>
      <c r="CAR227" s="265"/>
      <c r="CAS227" s="265"/>
      <c r="CAT227" s="265"/>
      <c r="CAU227" s="265"/>
      <c r="CAV227" s="265"/>
      <c r="CAW227" s="265"/>
      <c r="CAX227" s="265"/>
      <c r="CAY227" s="265"/>
      <c r="CAZ227" s="265"/>
      <c r="CBA227" s="265"/>
      <c r="CBB227" s="265"/>
      <c r="CBC227" s="265"/>
      <c r="CBD227" s="265"/>
      <c r="CBE227" s="265"/>
      <c r="CBF227" s="265"/>
      <c r="CBG227" s="265"/>
      <c r="CBH227" s="265"/>
      <c r="CBI227" s="265"/>
      <c r="CBJ227" s="265"/>
      <c r="CBK227" s="265"/>
      <c r="CBL227" s="265"/>
      <c r="CBM227" s="265"/>
      <c r="CBN227" s="265"/>
      <c r="CBO227" s="265"/>
      <c r="CBP227" s="265"/>
      <c r="CBQ227" s="265"/>
      <c r="CBR227" s="265"/>
      <c r="CBS227" s="265"/>
      <c r="CBT227" s="265"/>
      <c r="CBU227" s="265"/>
      <c r="CBV227" s="265"/>
      <c r="CBW227" s="265"/>
      <c r="CBX227" s="265"/>
      <c r="CBY227" s="265"/>
      <c r="CBZ227" s="265"/>
      <c r="CCA227" s="265"/>
      <c r="CCB227" s="265"/>
      <c r="CCC227" s="265"/>
      <c r="CCD227" s="265"/>
      <c r="CCE227" s="265"/>
      <c r="CCF227" s="265"/>
      <c r="CCG227" s="265"/>
      <c r="CCH227" s="265"/>
      <c r="CCI227" s="265"/>
      <c r="CCJ227" s="265"/>
      <c r="CCK227" s="265"/>
      <c r="CCL227" s="265"/>
      <c r="CCM227" s="265"/>
      <c r="CCN227" s="265"/>
      <c r="CCO227" s="265"/>
      <c r="CCP227" s="265"/>
      <c r="CCQ227" s="265"/>
      <c r="CCR227" s="265"/>
      <c r="CCS227" s="265"/>
      <c r="CCT227" s="265"/>
      <c r="CCU227" s="265"/>
      <c r="CCV227" s="265"/>
      <c r="CCW227" s="265"/>
      <c r="CCX227" s="265"/>
      <c r="CCY227" s="265"/>
      <c r="CCZ227" s="265"/>
      <c r="CDA227" s="265"/>
      <c r="CDB227" s="265"/>
      <c r="CDC227" s="265"/>
      <c r="CDD227" s="265"/>
      <c r="CDE227" s="265"/>
      <c r="CDF227" s="265"/>
      <c r="CDG227" s="265"/>
      <c r="CDH227" s="265"/>
      <c r="CDI227" s="265"/>
      <c r="CDJ227" s="265"/>
      <c r="CDK227" s="265"/>
      <c r="CDL227" s="265"/>
      <c r="CDM227" s="265"/>
      <c r="CDN227" s="265"/>
      <c r="CDO227" s="265"/>
      <c r="CDP227" s="265"/>
      <c r="CDQ227" s="265"/>
      <c r="CDR227" s="265"/>
      <c r="CDS227" s="265"/>
      <c r="CDT227" s="265"/>
      <c r="CDU227" s="265"/>
      <c r="CDV227" s="265"/>
      <c r="CDW227" s="265"/>
      <c r="CDX227" s="265"/>
      <c r="CDY227" s="265"/>
      <c r="CDZ227" s="265"/>
      <c r="CEA227" s="265"/>
      <c r="CEB227" s="265"/>
      <c r="CEC227" s="265"/>
      <c r="CED227" s="265"/>
      <c r="CEE227" s="265"/>
      <c r="CEF227" s="265"/>
      <c r="CEG227" s="265"/>
      <c r="CEH227" s="265"/>
      <c r="CEI227" s="265"/>
      <c r="CEJ227" s="265"/>
      <c r="CEK227" s="265"/>
      <c r="CEL227" s="265"/>
      <c r="CEM227" s="265"/>
      <c r="CEN227" s="265"/>
      <c r="CEO227" s="265"/>
      <c r="CEP227" s="265"/>
      <c r="CEQ227" s="265"/>
      <c r="CER227" s="265"/>
      <c r="CES227" s="265"/>
      <c r="CET227" s="265"/>
      <c r="CEU227" s="265"/>
      <c r="CEV227" s="265"/>
      <c r="CEW227" s="265"/>
      <c r="CEX227" s="265"/>
      <c r="CEY227" s="265"/>
      <c r="CEZ227" s="265"/>
      <c r="CFA227" s="265"/>
      <c r="CFB227" s="265"/>
      <c r="CFC227" s="265"/>
      <c r="CFD227" s="265"/>
      <c r="CFE227" s="265"/>
      <c r="CFF227" s="265"/>
      <c r="CFG227" s="265"/>
      <c r="CFH227" s="265"/>
      <c r="CFI227" s="265"/>
      <c r="CFJ227" s="265"/>
      <c r="CFK227" s="265"/>
      <c r="CFL227" s="265"/>
      <c r="CFM227" s="265"/>
      <c r="CFN227" s="265"/>
      <c r="CFO227" s="265"/>
      <c r="CFP227" s="265"/>
      <c r="CFQ227" s="265"/>
      <c r="CFR227" s="265"/>
      <c r="CFS227" s="265"/>
      <c r="CFT227" s="265"/>
      <c r="CFU227" s="265"/>
      <c r="CFV227" s="265"/>
      <c r="CFW227" s="265"/>
      <c r="CFX227" s="265"/>
      <c r="CFY227" s="265"/>
      <c r="CFZ227" s="265"/>
      <c r="CGA227" s="265"/>
      <c r="CGB227" s="265"/>
      <c r="CGC227" s="265"/>
      <c r="CGD227" s="265"/>
      <c r="CGE227" s="265"/>
      <c r="CGF227" s="265"/>
      <c r="CGG227" s="265"/>
      <c r="CGH227" s="265"/>
      <c r="CGI227" s="265"/>
      <c r="CGJ227" s="265"/>
      <c r="CGK227" s="265"/>
      <c r="CGL227" s="265"/>
      <c r="CGM227" s="265"/>
      <c r="CGN227" s="265"/>
      <c r="CGO227" s="265"/>
      <c r="CGP227" s="265"/>
      <c r="CGQ227" s="265"/>
      <c r="CGR227" s="265"/>
      <c r="CGS227" s="265"/>
      <c r="CGT227" s="265"/>
      <c r="CGU227" s="265"/>
      <c r="CGV227" s="265"/>
      <c r="CGW227" s="265"/>
      <c r="CGX227" s="265"/>
      <c r="CGY227" s="265"/>
      <c r="CGZ227" s="265"/>
      <c r="CHA227" s="265"/>
      <c r="CHB227" s="265"/>
      <c r="CHC227" s="265"/>
      <c r="CHD227" s="265"/>
      <c r="CHE227" s="265"/>
      <c r="CHF227" s="265"/>
      <c r="CHG227" s="265"/>
      <c r="CHH227" s="265"/>
      <c r="CHI227" s="265"/>
      <c r="CHJ227" s="265"/>
      <c r="CHK227" s="265"/>
      <c r="CHL227" s="265"/>
      <c r="CHM227" s="265"/>
      <c r="CHN227" s="265"/>
      <c r="CHO227" s="265"/>
      <c r="CHP227" s="265"/>
      <c r="CHQ227" s="265"/>
      <c r="CHR227" s="265"/>
      <c r="CHS227" s="265"/>
      <c r="CHT227" s="265"/>
      <c r="CHU227" s="265"/>
      <c r="CHV227" s="265"/>
      <c r="CHW227" s="265"/>
      <c r="CHX227" s="265"/>
      <c r="CHY227" s="265"/>
      <c r="CHZ227" s="265"/>
      <c r="CIA227" s="265"/>
      <c r="CIB227" s="265"/>
      <c r="CIC227" s="265"/>
      <c r="CID227" s="265"/>
      <c r="CIE227" s="265"/>
      <c r="CIF227" s="265"/>
      <c r="CIG227" s="265"/>
      <c r="CIH227" s="265"/>
      <c r="CII227" s="265"/>
      <c r="CIJ227" s="265"/>
      <c r="CIK227" s="265"/>
      <c r="CIL227" s="265"/>
      <c r="CIM227" s="265"/>
      <c r="CIN227" s="265"/>
      <c r="CIO227" s="265"/>
      <c r="CIP227" s="265"/>
      <c r="CIQ227" s="265"/>
      <c r="CIR227" s="265"/>
      <c r="CIS227" s="265"/>
      <c r="CIT227" s="265"/>
      <c r="CIU227" s="265"/>
      <c r="CIV227" s="265"/>
      <c r="CIW227" s="265"/>
      <c r="CIX227" s="265"/>
      <c r="CIY227" s="265"/>
      <c r="CIZ227" s="265"/>
      <c r="CJA227" s="265"/>
      <c r="CJB227" s="265"/>
      <c r="CJC227" s="265"/>
      <c r="CJD227" s="265"/>
      <c r="CJE227" s="265"/>
      <c r="CJF227" s="265"/>
      <c r="CJG227" s="265"/>
      <c r="CJH227" s="265"/>
      <c r="CJI227" s="265"/>
      <c r="CJJ227" s="265"/>
      <c r="CJK227" s="265"/>
      <c r="CJL227" s="265"/>
      <c r="CJM227" s="265"/>
      <c r="CJN227" s="265"/>
      <c r="CJO227" s="265"/>
      <c r="CJP227" s="265"/>
      <c r="CJQ227" s="265"/>
      <c r="CJR227" s="265"/>
      <c r="CJS227" s="265"/>
      <c r="CJT227" s="265"/>
      <c r="CJU227" s="265"/>
      <c r="CJV227" s="265"/>
      <c r="CJW227" s="265"/>
      <c r="CJX227" s="265"/>
      <c r="CJY227" s="265"/>
      <c r="CJZ227" s="265"/>
      <c r="CKA227" s="265"/>
      <c r="CKB227" s="265"/>
      <c r="CKC227" s="265"/>
      <c r="CKD227" s="265"/>
      <c r="CKE227" s="265"/>
      <c r="CKF227" s="265"/>
      <c r="CKG227" s="265"/>
      <c r="CKH227" s="265"/>
      <c r="CKI227" s="265"/>
      <c r="CKJ227" s="265"/>
      <c r="CKK227" s="265"/>
      <c r="CKL227" s="265"/>
      <c r="CKM227" s="265"/>
      <c r="CKN227" s="265"/>
      <c r="CKO227" s="265"/>
      <c r="CKP227" s="265"/>
      <c r="CKQ227" s="265"/>
      <c r="CKR227" s="265"/>
      <c r="CKS227" s="265"/>
      <c r="CKT227" s="265"/>
      <c r="CKU227" s="265"/>
      <c r="CKV227" s="265"/>
      <c r="CKW227" s="265"/>
      <c r="CKX227" s="265"/>
      <c r="CKY227" s="265"/>
      <c r="CKZ227" s="265"/>
      <c r="CLA227" s="265"/>
      <c r="CLB227" s="265"/>
      <c r="CLC227" s="265"/>
      <c r="CLD227" s="265"/>
      <c r="CLE227" s="265"/>
      <c r="CLF227" s="265"/>
      <c r="CLG227" s="265"/>
      <c r="CLH227" s="265"/>
      <c r="CLI227" s="265"/>
      <c r="CLJ227" s="265"/>
      <c r="CLK227" s="265"/>
      <c r="CLL227" s="265"/>
      <c r="CLM227" s="265"/>
      <c r="CLN227" s="265"/>
      <c r="CLO227" s="265"/>
      <c r="CLP227" s="265"/>
      <c r="CLQ227" s="265"/>
      <c r="CLR227" s="265"/>
      <c r="CLS227" s="265"/>
      <c r="CLT227" s="265"/>
      <c r="CLU227" s="265"/>
      <c r="CLV227" s="265"/>
      <c r="CLW227" s="265"/>
      <c r="CLX227" s="265"/>
      <c r="CLY227" s="265"/>
      <c r="CLZ227" s="265"/>
      <c r="CMA227" s="265"/>
      <c r="CMB227" s="265"/>
      <c r="CMC227" s="265"/>
      <c r="CMD227" s="265"/>
      <c r="CME227" s="265"/>
      <c r="CMF227" s="265"/>
      <c r="CMG227" s="265"/>
      <c r="CMH227" s="265"/>
      <c r="CMI227" s="265"/>
      <c r="CMJ227" s="265"/>
      <c r="CMK227" s="265"/>
      <c r="CML227" s="265"/>
      <c r="CMM227" s="265"/>
      <c r="CMN227" s="265"/>
      <c r="CMO227" s="265"/>
      <c r="CMP227" s="265"/>
      <c r="CMQ227" s="265"/>
      <c r="CMR227" s="265"/>
      <c r="CMS227" s="265"/>
      <c r="CMT227" s="265"/>
      <c r="CMU227" s="265"/>
      <c r="CMV227" s="265"/>
      <c r="CMW227" s="265"/>
      <c r="CMX227" s="265"/>
      <c r="CMY227" s="265"/>
      <c r="CMZ227" s="265"/>
      <c r="CNA227" s="265"/>
      <c r="CNB227" s="265"/>
      <c r="CNC227" s="265"/>
      <c r="CND227" s="265"/>
      <c r="CNE227" s="265"/>
      <c r="CNF227" s="265"/>
      <c r="CNG227" s="265"/>
      <c r="CNH227" s="265"/>
      <c r="CNI227" s="265"/>
      <c r="CNJ227" s="265"/>
      <c r="CNK227" s="265"/>
      <c r="CNL227" s="265"/>
      <c r="CNM227" s="265"/>
      <c r="CNN227" s="265"/>
      <c r="CNO227" s="265"/>
      <c r="CNP227" s="265"/>
      <c r="CNQ227" s="265"/>
      <c r="CNR227" s="265"/>
      <c r="CNS227" s="265"/>
      <c r="CNT227" s="265"/>
      <c r="CNU227" s="265"/>
      <c r="CNV227" s="265"/>
      <c r="CNW227" s="265"/>
      <c r="CNX227" s="265"/>
      <c r="CNY227" s="265"/>
      <c r="CNZ227" s="265"/>
      <c r="COA227" s="265"/>
      <c r="COB227" s="265"/>
      <c r="COC227" s="265"/>
      <c r="COD227" s="265"/>
      <c r="COE227" s="265"/>
      <c r="COF227" s="265"/>
      <c r="COG227" s="265"/>
      <c r="COH227" s="265"/>
      <c r="COI227" s="265"/>
      <c r="COJ227" s="265"/>
      <c r="COK227" s="265"/>
      <c r="COL227" s="265"/>
      <c r="COM227" s="265"/>
      <c r="CON227" s="265"/>
      <c r="COO227" s="265"/>
      <c r="COP227" s="265"/>
      <c r="COQ227" s="265"/>
      <c r="COR227" s="265"/>
      <c r="COS227" s="265"/>
      <c r="COT227" s="265"/>
      <c r="COU227" s="265"/>
      <c r="COV227" s="265"/>
      <c r="COW227" s="265"/>
      <c r="COX227" s="265"/>
      <c r="COY227" s="265"/>
      <c r="COZ227" s="265"/>
      <c r="CPA227" s="265"/>
      <c r="CPB227" s="265"/>
      <c r="CPC227" s="265"/>
      <c r="CPD227" s="265"/>
      <c r="CPE227" s="265"/>
      <c r="CPF227" s="265"/>
      <c r="CPG227" s="265"/>
      <c r="CPH227" s="265"/>
      <c r="CPI227" s="265"/>
      <c r="CPJ227" s="265"/>
      <c r="CPK227" s="265"/>
      <c r="CPL227" s="265"/>
      <c r="CPM227" s="265"/>
      <c r="CPN227" s="265"/>
      <c r="CPO227" s="265"/>
      <c r="CPP227" s="265"/>
      <c r="CPQ227" s="265"/>
      <c r="CPR227" s="265"/>
      <c r="CPS227" s="265"/>
      <c r="CPT227" s="265"/>
      <c r="CPU227" s="265"/>
      <c r="CPV227" s="265"/>
      <c r="CPW227" s="265"/>
      <c r="CPX227" s="265"/>
      <c r="CPY227" s="265"/>
      <c r="CPZ227" s="265"/>
      <c r="CQA227" s="265"/>
      <c r="CQB227" s="265"/>
      <c r="CQC227" s="265"/>
      <c r="CQD227" s="265"/>
      <c r="CQE227" s="265"/>
      <c r="CQF227" s="265"/>
      <c r="CQG227" s="265"/>
      <c r="CQH227" s="265"/>
      <c r="CQI227" s="265"/>
      <c r="CQJ227" s="265"/>
      <c r="CQK227" s="265"/>
      <c r="CQL227" s="265"/>
      <c r="CQM227" s="265"/>
      <c r="CQN227" s="265"/>
      <c r="CQO227" s="265"/>
      <c r="CQP227" s="265"/>
      <c r="CQQ227" s="265"/>
      <c r="CQR227" s="265"/>
      <c r="CQS227" s="265"/>
      <c r="CQT227" s="265"/>
      <c r="CQU227" s="265"/>
      <c r="CQV227" s="265"/>
      <c r="CQW227" s="265"/>
      <c r="CQX227" s="265"/>
      <c r="CQY227" s="265"/>
      <c r="CQZ227" s="265"/>
      <c r="CRA227" s="265"/>
      <c r="CRB227" s="265"/>
      <c r="CRC227" s="265"/>
      <c r="CRD227" s="265"/>
      <c r="CRE227" s="265"/>
      <c r="CRF227" s="265"/>
      <c r="CRG227" s="265"/>
      <c r="CRH227" s="265"/>
      <c r="CRI227" s="265"/>
      <c r="CRJ227" s="265"/>
      <c r="CRK227" s="265"/>
      <c r="CRL227" s="265"/>
      <c r="CRM227" s="265"/>
      <c r="CRN227" s="265"/>
      <c r="CRO227" s="265"/>
      <c r="CRP227" s="265"/>
      <c r="CRQ227" s="265"/>
      <c r="CRR227" s="265"/>
      <c r="CRS227" s="265"/>
      <c r="CRT227" s="265"/>
      <c r="CRU227" s="265"/>
      <c r="CRV227" s="265"/>
      <c r="CRW227" s="265"/>
      <c r="CRX227" s="265"/>
      <c r="CRY227" s="265"/>
      <c r="CRZ227" s="265"/>
      <c r="CSA227" s="265"/>
      <c r="CSB227" s="265"/>
      <c r="CSC227" s="265"/>
      <c r="CSD227" s="265"/>
      <c r="CSE227" s="265"/>
      <c r="CSF227" s="265"/>
      <c r="CSG227" s="265"/>
      <c r="CSH227" s="265"/>
      <c r="CSI227" s="265"/>
      <c r="CSJ227" s="265"/>
      <c r="CSK227" s="265"/>
      <c r="CSL227" s="265"/>
      <c r="CSM227" s="265"/>
      <c r="CSN227" s="265"/>
      <c r="CSO227" s="265"/>
      <c r="CSP227" s="265"/>
      <c r="CSQ227" s="265"/>
      <c r="CSR227" s="265"/>
      <c r="CSS227" s="265"/>
      <c r="CST227" s="265"/>
      <c r="CSU227" s="265"/>
      <c r="CSV227" s="265"/>
      <c r="CSW227" s="265"/>
      <c r="CSX227" s="265"/>
      <c r="CSY227" s="265"/>
      <c r="CSZ227" s="265"/>
      <c r="CTA227" s="265"/>
      <c r="CTB227" s="265"/>
      <c r="CTC227" s="265"/>
      <c r="CTD227" s="265"/>
      <c r="CTE227" s="265"/>
      <c r="CTF227" s="265"/>
      <c r="CTG227" s="265"/>
      <c r="CTH227" s="265"/>
      <c r="CTI227" s="265"/>
      <c r="CTJ227" s="265"/>
      <c r="CTK227" s="265"/>
      <c r="CTL227" s="265"/>
      <c r="CTM227" s="265"/>
      <c r="CTN227" s="265"/>
      <c r="CTO227" s="265"/>
      <c r="CTP227" s="265"/>
      <c r="CTQ227" s="265"/>
      <c r="CTR227" s="265"/>
      <c r="CTS227" s="265"/>
      <c r="CTT227" s="265"/>
      <c r="CTU227" s="265"/>
      <c r="CTV227" s="265"/>
      <c r="CTW227" s="265"/>
      <c r="CTX227" s="265"/>
      <c r="CTY227" s="265"/>
      <c r="CTZ227" s="265"/>
      <c r="CUA227" s="265"/>
      <c r="CUB227" s="265"/>
      <c r="CUC227" s="265"/>
      <c r="CUD227" s="265"/>
      <c r="CUE227" s="265"/>
      <c r="CUF227" s="265"/>
      <c r="CUG227" s="265"/>
      <c r="CUH227" s="265"/>
      <c r="CUI227" s="265"/>
      <c r="CUJ227" s="265"/>
      <c r="CUK227" s="265"/>
      <c r="CUL227" s="265"/>
      <c r="CUM227" s="265"/>
      <c r="CUN227" s="265"/>
      <c r="CUO227" s="265"/>
      <c r="CUP227" s="265"/>
      <c r="CUQ227" s="265"/>
      <c r="CUR227" s="265"/>
      <c r="CUS227" s="265"/>
      <c r="CUT227" s="265"/>
      <c r="CUU227" s="265"/>
      <c r="CUV227" s="265"/>
      <c r="CUW227" s="265"/>
      <c r="CUX227" s="265"/>
      <c r="CUY227" s="265"/>
      <c r="CUZ227" s="265"/>
      <c r="CVA227" s="265"/>
      <c r="CVB227" s="265"/>
      <c r="CVC227" s="265"/>
      <c r="CVD227" s="265"/>
      <c r="CVE227" s="265"/>
      <c r="CVF227" s="265"/>
      <c r="CVG227" s="265"/>
      <c r="CVH227" s="265"/>
      <c r="CVI227" s="265"/>
      <c r="CVJ227" s="265"/>
      <c r="CVK227" s="265"/>
      <c r="CVL227" s="265"/>
      <c r="CVM227" s="265"/>
      <c r="CVN227" s="265"/>
      <c r="CVO227" s="265"/>
      <c r="CVP227" s="265"/>
      <c r="CVQ227" s="265"/>
      <c r="CVR227" s="265"/>
      <c r="CVS227" s="265"/>
      <c r="CVT227" s="265"/>
      <c r="CVU227" s="265"/>
      <c r="CVV227" s="265"/>
      <c r="CVW227" s="265"/>
      <c r="CVX227" s="265"/>
      <c r="CVY227" s="265"/>
      <c r="CVZ227" s="265"/>
      <c r="CWA227" s="265"/>
      <c r="CWB227" s="265"/>
      <c r="CWC227" s="265"/>
      <c r="CWD227" s="265"/>
      <c r="CWE227" s="265"/>
      <c r="CWF227" s="265"/>
      <c r="CWG227" s="265"/>
      <c r="CWH227" s="265"/>
      <c r="CWI227" s="265"/>
      <c r="CWJ227" s="265"/>
      <c r="CWK227" s="265"/>
      <c r="CWL227" s="265"/>
      <c r="CWM227" s="265"/>
      <c r="CWN227" s="265"/>
      <c r="CWO227" s="265"/>
      <c r="CWP227" s="265"/>
      <c r="CWQ227" s="265"/>
      <c r="CWR227" s="265"/>
      <c r="CWS227" s="265"/>
      <c r="CWT227" s="265"/>
      <c r="CWU227" s="265"/>
      <c r="CWV227" s="265"/>
      <c r="CWW227" s="265"/>
      <c r="CWX227" s="265"/>
      <c r="CWY227" s="265"/>
      <c r="CWZ227" s="265"/>
      <c r="CXA227" s="265"/>
      <c r="CXB227" s="265"/>
      <c r="CXC227" s="265"/>
      <c r="CXD227" s="265"/>
      <c r="CXE227" s="265"/>
      <c r="CXF227" s="265"/>
      <c r="CXG227" s="265"/>
      <c r="CXH227" s="265"/>
      <c r="CXI227" s="265"/>
      <c r="CXJ227" s="265"/>
      <c r="CXK227" s="265"/>
      <c r="CXL227" s="265"/>
      <c r="CXM227" s="265"/>
      <c r="CXN227" s="265"/>
      <c r="CXO227" s="265"/>
      <c r="CXP227" s="265"/>
      <c r="CXQ227" s="265"/>
      <c r="CXR227" s="265"/>
      <c r="CXS227" s="265"/>
      <c r="CXT227" s="265"/>
      <c r="CXU227" s="265"/>
      <c r="CXV227" s="265"/>
      <c r="CXW227" s="265"/>
      <c r="CXX227" s="265"/>
      <c r="CXY227" s="265"/>
      <c r="CXZ227" s="265"/>
      <c r="CYA227" s="265"/>
      <c r="CYB227" s="265"/>
      <c r="CYC227" s="265"/>
      <c r="CYD227" s="265"/>
      <c r="CYE227" s="265"/>
      <c r="CYF227" s="265"/>
      <c r="CYG227" s="265"/>
      <c r="CYH227" s="265"/>
      <c r="CYI227" s="265"/>
      <c r="CYJ227" s="265"/>
      <c r="CYK227" s="265"/>
      <c r="CYL227" s="265"/>
      <c r="CYM227" s="265"/>
      <c r="CYN227" s="265"/>
      <c r="CYO227" s="265"/>
      <c r="CYP227" s="265"/>
      <c r="CYQ227" s="265"/>
      <c r="CYR227" s="265"/>
      <c r="CYS227" s="265"/>
      <c r="CYT227" s="265"/>
      <c r="CYU227" s="265"/>
      <c r="CYV227" s="265"/>
      <c r="CYW227" s="265"/>
      <c r="CYX227" s="265"/>
      <c r="CYY227" s="265"/>
      <c r="CYZ227" s="265"/>
      <c r="CZA227" s="265"/>
      <c r="CZB227" s="265"/>
      <c r="CZC227" s="265"/>
      <c r="CZD227" s="265"/>
      <c r="CZE227" s="265"/>
      <c r="CZF227" s="265"/>
      <c r="CZG227" s="265"/>
      <c r="CZH227" s="265"/>
      <c r="CZI227" s="265"/>
      <c r="CZJ227" s="265"/>
      <c r="CZK227" s="265"/>
      <c r="CZL227" s="265"/>
      <c r="CZM227" s="265"/>
      <c r="CZN227" s="265"/>
      <c r="CZO227" s="265"/>
      <c r="CZP227" s="265"/>
      <c r="CZQ227" s="265"/>
      <c r="CZR227" s="265"/>
      <c r="CZS227" s="265"/>
      <c r="CZT227" s="265"/>
      <c r="CZU227" s="265"/>
      <c r="CZV227" s="265"/>
      <c r="CZW227" s="265"/>
      <c r="CZX227" s="265"/>
      <c r="CZY227" s="265"/>
      <c r="CZZ227" s="265"/>
      <c r="DAA227" s="265"/>
      <c r="DAB227" s="265"/>
      <c r="DAC227" s="265"/>
      <c r="DAD227" s="265"/>
      <c r="DAE227" s="265"/>
      <c r="DAF227" s="265"/>
      <c r="DAG227" s="265"/>
      <c r="DAH227" s="265"/>
      <c r="DAI227" s="265"/>
      <c r="DAJ227" s="265"/>
      <c r="DAK227" s="265"/>
      <c r="DAL227" s="265"/>
      <c r="DAM227" s="265"/>
      <c r="DAN227" s="265"/>
      <c r="DAO227" s="265"/>
      <c r="DAP227" s="265"/>
      <c r="DAQ227" s="265"/>
      <c r="DAR227" s="265"/>
      <c r="DAS227" s="265"/>
      <c r="DAT227" s="265"/>
      <c r="DAU227" s="265"/>
      <c r="DAV227" s="265"/>
      <c r="DAW227" s="265"/>
      <c r="DAX227" s="265"/>
      <c r="DAY227" s="265"/>
      <c r="DAZ227" s="265"/>
      <c r="DBA227" s="265"/>
      <c r="DBB227" s="265"/>
      <c r="DBC227" s="265"/>
      <c r="DBD227" s="265"/>
      <c r="DBE227" s="265"/>
      <c r="DBF227" s="265"/>
      <c r="DBG227" s="265"/>
      <c r="DBH227" s="265"/>
      <c r="DBI227" s="265"/>
      <c r="DBJ227" s="265"/>
      <c r="DBK227" s="265"/>
      <c r="DBL227" s="265"/>
      <c r="DBM227" s="265"/>
      <c r="DBN227" s="265"/>
      <c r="DBO227" s="265"/>
      <c r="DBP227" s="265"/>
      <c r="DBQ227" s="265"/>
      <c r="DBR227" s="265"/>
      <c r="DBS227" s="265"/>
      <c r="DBT227" s="265"/>
      <c r="DBU227" s="265"/>
      <c r="DBV227" s="265"/>
      <c r="DBW227" s="265"/>
      <c r="DBX227" s="265"/>
      <c r="DBY227" s="265"/>
      <c r="DBZ227" s="265"/>
      <c r="DCA227" s="265"/>
      <c r="DCB227" s="265"/>
      <c r="DCC227" s="265"/>
      <c r="DCD227" s="265"/>
      <c r="DCE227" s="265"/>
      <c r="DCF227" s="265"/>
      <c r="DCG227" s="265"/>
      <c r="DCH227" s="265"/>
      <c r="DCI227" s="265"/>
      <c r="DCJ227" s="265"/>
      <c r="DCK227" s="265"/>
      <c r="DCL227" s="265"/>
      <c r="DCM227" s="265"/>
      <c r="DCN227" s="265"/>
      <c r="DCO227" s="265"/>
      <c r="DCP227" s="265"/>
      <c r="DCQ227" s="265"/>
      <c r="DCR227" s="265"/>
      <c r="DCS227" s="265"/>
      <c r="DCT227" s="265"/>
      <c r="DCU227" s="265"/>
      <c r="DCV227" s="265"/>
      <c r="DCW227" s="265"/>
      <c r="DCX227" s="265"/>
      <c r="DCY227" s="265"/>
      <c r="DCZ227" s="265"/>
      <c r="DDA227" s="265"/>
      <c r="DDB227" s="265"/>
      <c r="DDC227" s="265"/>
      <c r="DDD227" s="265"/>
      <c r="DDE227" s="265"/>
      <c r="DDF227" s="265"/>
      <c r="DDG227" s="265"/>
      <c r="DDH227" s="265"/>
      <c r="DDI227" s="265"/>
      <c r="DDJ227" s="265"/>
      <c r="DDK227" s="265"/>
      <c r="DDL227" s="265"/>
      <c r="DDM227" s="265"/>
      <c r="DDN227" s="265"/>
      <c r="DDO227" s="265"/>
      <c r="DDP227" s="265"/>
      <c r="DDQ227" s="265"/>
      <c r="DDR227" s="265"/>
      <c r="DDS227" s="265"/>
      <c r="DDT227" s="265"/>
      <c r="DDU227" s="265"/>
      <c r="DDV227" s="265"/>
      <c r="DDW227" s="265"/>
      <c r="DDX227" s="265"/>
      <c r="DDY227" s="265"/>
      <c r="DDZ227" s="265"/>
      <c r="DEA227" s="265"/>
      <c r="DEB227" s="265"/>
      <c r="DEC227" s="265"/>
      <c r="DED227" s="265"/>
      <c r="DEE227" s="265"/>
      <c r="DEF227" s="265"/>
      <c r="DEG227" s="265"/>
      <c r="DEH227" s="265"/>
      <c r="DEI227" s="265"/>
      <c r="DEJ227" s="265"/>
      <c r="DEK227" s="265"/>
      <c r="DEL227" s="265"/>
      <c r="DEM227" s="265"/>
      <c r="DEN227" s="265"/>
      <c r="DEO227" s="265"/>
      <c r="DEP227" s="265"/>
      <c r="DEQ227" s="265"/>
      <c r="DER227" s="265"/>
      <c r="DES227" s="265"/>
      <c r="DET227" s="265"/>
      <c r="DEU227" s="265"/>
      <c r="DEV227" s="265"/>
      <c r="DEW227" s="265"/>
      <c r="DEX227" s="265"/>
      <c r="DEY227" s="265"/>
      <c r="DEZ227" s="265"/>
      <c r="DFA227" s="265"/>
      <c r="DFB227" s="265"/>
      <c r="DFC227" s="265"/>
      <c r="DFD227" s="265"/>
      <c r="DFE227" s="265"/>
      <c r="DFF227" s="265"/>
      <c r="DFG227" s="265"/>
      <c r="DFH227" s="265"/>
      <c r="DFI227" s="265"/>
      <c r="DFJ227" s="265"/>
      <c r="DFK227" s="265"/>
      <c r="DFL227" s="265"/>
      <c r="DFM227" s="265"/>
      <c r="DFN227" s="265"/>
      <c r="DFO227" s="265"/>
      <c r="DFP227" s="265"/>
      <c r="DFQ227" s="265"/>
      <c r="DFR227" s="265"/>
      <c r="DFS227" s="265"/>
      <c r="DFT227" s="265"/>
      <c r="DFU227" s="265"/>
      <c r="DFV227" s="265"/>
      <c r="DFW227" s="265"/>
      <c r="DFX227" s="265"/>
      <c r="DFY227" s="265"/>
      <c r="DFZ227" s="265"/>
      <c r="DGA227" s="265"/>
      <c r="DGB227" s="265"/>
      <c r="DGC227" s="265"/>
      <c r="DGD227" s="265"/>
      <c r="DGE227" s="265"/>
      <c r="DGF227" s="265"/>
      <c r="DGG227" s="265"/>
      <c r="DGH227" s="265"/>
      <c r="DGI227" s="265"/>
      <c r="DGJ227" s="265"/>
      <c r="DGK227" s="265"/>
      <c r="DGL227" s="265"/>
      <c r="DGM227" s="265"/>
      <c r="DGN227" s="265"/>
      <c r="DGO227" s="265"/>
      <c r="DGP227" s="265"/>
      <c r="DGQ227" s="265"/>
      <c r="DGR227" s="265"/>
      <c r="DGS227" s="265"/>
      <c r="DGT227" s="265"/>
      <c r="DGU227" s="265"/>
      <c r="DGV227" s="265"/>
      <c r="DGW227" s="265"/>
      <c r="DGX227" s="265"/>
      <c r="DGY227" s="265"/>
      <c r="DGZ227" s="265"/>
      <c r="DHA227" s="265"/>
      <c r="DHB227" s="265"/>
      <c r="DHC227" s="265"/>
      <c r="DHD227" s="265"/>
      <c r="DHE227" s="265"/>
      <c r="DHF227" s="265"/>
      <c r="DHG227" s="265"/>
      <c r="DHH227" s="265"/>
      <c r="DHI227" s="265"/>
      <c r="DHJ227" s="265"/>
      <c r="DHK227" s="265"/>
      <c r="DHL227" s="265"/>
      <c r="DHM227" s="265"/>
      <c r="DHN227" s="265"/>
      <c r="DHO227" s="265"/>
      <c r="DHP227" s="265"/>
      <c r="DHQ227" s="265"/>
      <c r="DHR227" s="265"/>
      <c r="DHS227" s="265"/>
      <c r="DHT227" s="265"/>
      <c r="DHU227" s="265"/>
      <c r="DHV227" s="265"/>
      <c r="DHW227" s="265"/>
      <c r="DHX227" s="265"/>
      <c r="DHY227" s="265"/>
      <c r="DHZ227" s="265"/>
      <c r="DIA227" s="265"/>
      <c r="DIB227" s="265"/>
      <c r="DIC227" s="265"/>
      <c r="DID227" s="265"/>
      <c r="DIE227" s="265"/>
      <c r="DIF227" s="265"/>
      <c r="DIG227" s="265"/>
      <c r="DIH227" s="265"/>
      <c r="DII227" s="265"/>
      <c r="DIJ227" s="265"/>
      <c r="DIK227" s="265"/>
      <c r="DIL227" s="265"/>
      <c r="DIM227" s="265"/>
      <c r="DIN227" s="265"/>
      <c r="DIO227" s="265"/>
      <c r="DIP227" s="265"/>
      <c r="DIQ227" s="265"/>
      <c r="DIR227" s="265"/>
      <c r="DIS227" s="265"/>
      <c r="DIT227" s="265"/>
      <c r="DIU227" s="265"/>
      <c r="DIV227" s="265"/>
      <c r="DIW227" s="265"/>
      <c r="DIX227" s="265"/>
      <c r="DIY227" s="265"/>
      <c r="DIZ227" s="265"/>
      <c r="DJA227" s="265"/>
      <c r="DJB227" s="265"/>
      <c r="DJC227" s="265"/>
      <c r="DJD227" s="265"/>
      <c r="DJE227" s="265"/>
      <c r="DJF227" s="265"/>
      <c r="DJG227" s="265"/>
      <c r="DJH227" s="265"/>
      <c r="DJI227" s="265"/>
      <c r="DJJ227" s="265"/>
      <c r="DJK227" s="265"/>
      <c r="DJL227" s="265"/>
      <c r="DJM227" s="265"/>
      <c r="DJN227" s="265"/>
      <c r="DJO227" s="265"/>
      <c r="DJP227" s="265"/>
      <c r="DJQ227" s="265"/>
      <c r="DJR227" s="265"/>
      <c r="DJS227" s="265"/>
      <c r="DJT227" s="265"/>
      <c r="DJU227" s="265"/>
      <c r="DJV227" s="265"/>
      <c r="DJW227" s="265"/>
      <c r="DJX227" s="265"/>
      <c r="DJY227" s="265"/>
      <c r="DJZ227" s="265"/>
      <c r="DKA227" s="265"/>
      <c r="DKB227" s="265"/>
      <c r="DKC227" s="265"/>
      <c r="DKD227" s="265"/>
      <c r="DKE227" s="265"/>
      <c r="DKF227" s="265"/>
      <c r="DKG227" s="265"/>
      <c r="DKH227" s="265"/>
      <c r="DKI227" s="265"/>
      <c r="DKJ227" s="265"/>
      <c r="DKK227" s="265"/>
      <c r="DKL227" s="265"/>
      <c r="DKM227" s="265"/>
      <c r="DKN227" s="265"/>
      <c r="DKO227" s="265"/>
      <c r="DKP227" s="265"/>
      <c r="DKQ227" s="265"/>
      <c r="DKR227" s="265"/>
      <c r="DKS227" s="265"/>
      <c r="DKT227" s="265"/>
      <c r="DKU227" s="265"/>
      <c r="DKV227" s="265"/>
      <c r="DKW227" s="265"/>
      <c r="DKX227" s="265"/>
      <c r="DKY227" s="265"/>
      <c r="DKZ227" s="265"/>
      <c r="DLA227" s="265"/>
      <c r="DLB227" s="265"/>
      <c r="DLC227" s="265"/>
      <c r="DLD227" s="265"/>
      <c r="DLE227" s="265"/>
      <c r="DLF227" s="265"/>
      <c r="DLG227" s="265"/>
      <c r="DLH227" s="265"/>
      <c r="DLI227" s="265"/>
      <c r="DLJ227" s="265"/>
      <c r="DLK227" s="265"/>
      <c r="DLL227" s="265"/>
      <c r="DLM227" s="265"/>
      <c r="DLN227" s="265"/>
      <c r="DLO227" s="265"/>
      <c r="DLP227" s="265"/>
      <c r="DLQ227" s="265"/>
      <c r="DLR227" s="265"/>
      <c r="DLS227" s="265"/>
      <c r="DLT227" s="265"/>
      <c r="DLU227" s="265"/>
      <c r="DLV227" s="265"/>
      <c r="DLW227" s="265"/>
      <c r="DLX227" s="265"/>
      <c r="DLY227" s="265"/>
      <c r="DLZ227" s="265"/>
      <c r="DMA227" s="265"/>
      <c r="DMB227" s="265"/>
      <c r="DMC227" s="265"/>
      <c r="DMD227" s="265"/>
      <c r="DME227" s="265"/>
      <c r="DMF227" s="265"/>
      <c r="DMG227" s="265"/>
      <c r="DMH227" s="265"/>
      <c r="DMI227" s="265"/>
      <c r="DMJ227" s="265"/>
      <c r="DMK227" s="265"/>
      <c r="DML227" s="265"/>
      <c r="DMM227" s="265"/>
      <c r="DMN227" s="265"/>
      <c r="DMO227" s="265"/>
      <c r="DMP227" s="265"/>
      <c r="DMQ227" s="265"/>
      <c r="DMR227" s="265"/>
      <c r="DMS227" s="265"/>
      <c r="DMT227" s="265"/>
      <c r="DMU227" s="265"/>
      <c r="DMV227" s="265"/>
      <c r="DMW227" s="265"/>
      <c r="DMX227" s="265"/>
      <c r="DMY227" s="265"/>
      <c r="DMZ227" s="265"/>
      <c r="DNA227" s="265"/>
      <c r="DNB227" s="265"/>
      <c r="DNC227" s="265"/>
      <c r="DND227" s="265"/>
      <c r="DNE227" s="265"/>
      <c r="DNF227" s="265"/>
      <c r="DNG227" s="265"/>
      <c r="DNH227" s="265"/>
      <c r="DNI227" s="265"/>
      <c r="DNJ227" s="265"/>
      <c r="DNK227" s="265"/>
      <c r="DNL227" s="265"/>
      <c r="DNM227" s="265"/>
      <c r="DNN227" s="265"/>
      <c r="DNO227" s="265"/>
      <c r="DNP227" s="265"/>
      <c r="DNQ227" s="265"/>
      <c r="DNR227" s="265"/>
      <c r="DNS227" s="265"/>
      <c r="DNT227" s="265"/>
      <c r="DNU227" s="265"/>
      <c r="DNV227" s="265"/>
      <c r="DNW227" s="265"/>
      <c r="DNX227" s="265"/>
      <c r="DNY227" s="265"/>
      <c r="DNZ227" s="265"/>
      <c r="DOA227" s="265"/>
      <c r="DOB227" s="265"/>
      <c r="DOC227" s="265"/>
      <c r="DOD227" s="265"/>
      <c r="DOE227" s="265"/>
      <c r="DOF227" s="265"/>
      <c r="DOG227" s="265"/>
      <c r="DOH227" s="265"/>
      <c r="DOI227" s="265"/>
      <c r="DOJ227" s="265"/>
      <c r="DOK227" s="265"/>
      <c r="DOL227" s="265"/>
      <c r="DOM227" s="265"/>
      <c r="DON227" s="265"/>
      <c r="DOO227" s="265"/>
      <c r="DOP227" s="265"/>
      <c r="DOQ227" s="265"/>
      <c r="DOR227" s="265"/>
      <c r="DOS227" s="265"/>
      <c r="DOT227" s="265"/>
      <c r="DOU227" s="265"/>
      <c r="DOV227" s="265"/>
      <c r="DOW227" s="265"/>
      <c r="DOX227" s="265"/>
      <c r="DOY227" s="265"/>
      <c r="DOZ227" s="265"/>
      <c r="DPA227" s="265"/>
      <c r="DPB227" s="265"/>
      <c r="DPC227" s="265"/>
      <c r="DPD227" s="265"/>
      <c r="DPE227" s="265"/>
      <c r="DPF227" s="265"/>
      <c r="DPG227" s="265"/>
      <c r="DPH227" s="265"/>
      <c r="DPI227" s="265"/>
      <c r="DPJ227" s="265"/>
      <c r="DPK227" s="265"/>
      <c r="DPL227" s="265"/>
      <c r="DPM227" s="265"/>
      <c r="DPN227" s="265"/>
      <c r="DPO227" s="265"/>
      <c r="DPP227" s="265"/>
      <c r="DPQ227" s="265"/>
      <c r="DPR227" s="265"/>
      <c r="DPS227" s="265"/>
      <c r="DPT227" s="265"/>
      <c r="DPU227" s="265"/>
      <c r="DPV227" s="265"/>
      <c r="DPW227" s="265"/>
      <c r="DPX227" s="265"/>
      <c r="DPY227" s="265"/>
      <c r="DPZ227" s="265"/>
      <c r="DQA227" s="265"/>
      <c r="DQB227" s="265"/>
      <c r="DQC227" s="265"/>
      <c r="DQD227" s="265"/>
      <c r="DQE227" s="265"/>
      <c r="DQF227" s="265"/>
      <c r="DQG227" s="265"/>
      <c r="DQH227" s="265"/>
      <c r="DQI227" s="265"/>
      <c r="DQJ227" s="265"/>
      <c r="DQK227" s="265"/>
      <c r="DQL227" s="265"/>
      <c r="DQM227" s="265"/>
      <c r="DQN227" s="265"/>
      <c r="DQO227" s="265"/>
      <c r="DQP227" s="265"/>
      <c r="DQQ227" s="265"/>
      <c r="DQR227" s="265"/>
      <c r="DQS227" s="265"/>
      <c r="DQT227" s="265"/>
      <c r="DQU227" s="265"/>
      <c r="DQV227" s="265"/>
      <c r="DQW227" s="265"/>
      <c r="DQX227" s="265"/>
      <c r="DQY227" s="265"/>
      <c r="DQZ227" s="265"/>
      <c r="DRA227" s="265"/>
      <c r="DRB227" s="265"/>
      <c r="DRC227" s="265"/>
      <c r="DRD227" s="265"/>
      <c r="DRE227" s="265"/>
      <c r="DRF227" s="265"/>
      <c r="DRG227" s="265"/>
      <c r="DRH227" s="265"/>
      <c r="DRI227" s="265"/>
      <c r="DRJ227" s="265"/>
      <c r="DRK227" s="265"/>
      <c r="DRL227" s="265"/>
      <c r="DRM227" s="265"/>
      <c r="DRN227" s="265"/>
      <c r="DRO227" s="265"/>
      <c r="DRP227" s="265"/>
      <c r="DRQ227" s="265"/>
      <c r="DRR227" s="265"/>
      <c r="DRS227" s="265"/>
      <c r="DRT227" s="265"/>
      <c r="DRU227" s="265"/>
      <c r="DRV227" s="265"/>
      <c r="DRW227" s="265"/>
      <c r="DRX227" s="265"/>
      <c r="DRY227" s="265"/>
      <c r="DRZ227" s="265"/>
      <c r="DSA227" s="265"/>
      <c r="DSB227" s="265"/>
      <c r="DSC227" s="265"/>
      <c r="DSD227" s="265"/>
      <c r="DSE227" s="265"/>
      <c r="DSF227" s="265"/>
      <c r="DSG227" s="265"/>
      <c r="DSH227" s="265"/>
      <c r="DSI227" s="265"/>
      <c r="DSJ227" s="265"/>
      <c r="DSK227" s="265"/>
      <c r="DSL227" s="265"/>
      <c r="DSM227" s="265"/>
      <c r="DSN227" s="265"/>
      <c r="DSO227" s="265"/>
      <c r="DSP227" s="265"/>
      <c r="DSQ227" s="265"/>
      <c r="DSR227" s="265"/>
      <c r="DSS227" s="265"/>
      <c r="DST227" s="265"/>
      <c r="DSU227" s="265"/>
      <c r="DSV227" s="265"/>
      <c r="DSW227" s="265"/>
      <c r="DSX227" s="265"/>
      <c r="DSY227" s="265"/>
      <c r="DSZ227" s="265"/>
      <c r="DTA227" s="265"/>
      <c r="DTB227" s="265"/>
      <c r="DTC227" s="265"/>
      <c r="DTD227" s="265"/>
      <c r="DTE227" s="265"/>
      <c r="DTF227" s="265"/>
      <c r="DTG227" s="265"/>
      <c r="DTH227" s="265"/>
      <c r="DTI227" s="265"/>
      <c r="DTJ227" s="265"/>
      <c r="DTK227" s="265"/>
      <c r="DTL227" s="265"/>
      <c r="DTM227" s="265"/>
      <c r="DTN227" s="265"/>
      <c r="DTO227" s="265"/>
      <c r="DTP227" s="265"/>
      <c r="DTQ227" s="265"/>
      <c r="DTR227" s="265"/>
      <c r="DTS227" s="265"/>
      <c r="DTT227" s="265"/>
      <c r="DTU227" s="265"/>
      <c r="DTV227" s="265"/>
      <c r="DTW227" s="265"/>
      <c r="DTX227" s="265"/>
      <c r="DTY227" s="265"/>
      <c r="DTZ227" s="265"/>
      <c r="DUA227" s="265"/>
      <c r="DUB227" s="265"/>
      <c r="DUC227" s="265"/>
      <c r="DUD227" s="265"/>
      <c r="DUE227" s="265"/>
      <c r="DUF227" s="265"/>
      <c r="DUG227" s="265"/>
      <c r="DUH227" s="265"/>
      <c r="DUI227" s="265"/>
      <c r="DUJ227" s="265"/>
      <c r="DUK227" s="265"/>
      <c r="DUL227" s="265"/>
      <c r="DUM227" s="265"/>
      <c r="DUN227" s="265"/>
      <c r="DUO227" s="265"/>
      <c r="DUP227" s="265"/>
      <c r="DUQ227" s="265"/>
      <c r="DUR227" s="265"/>
      <c r="DUS227" s="265"/>
      <c r="DUT227" s="265"/>
      <c r="DUU227" s="265"/>
      <c r="DUV227" s="265"/>
      <c r="DUW227" s="265"/>
      <c r="DUX227" s="265"/>
      <c r="DUY227" s="265"/>
      <c r="DUZ227" s="265"/>
      <c r="DVA227" s="265"/>
      <c r="DVB227" s="265"/>
      <c r="DVC227" s="265"/>
      <c r="DVD227" s="265"/>
      <c r="DVE227" s="265"/>
      <c r="DVF227" s="265"/>
      <c r="DVG227" s="265"/>
      <c r="DVH227" s="265"/>
      <c r="DVI227" s="265"/>
      <c r="DVJ227" s="265"/>
      <c r="DVK227" s="265"/>
      <c r="DVL227" s="265"/>
      <c r="DVM227" s="265"/>
      <c r="DVN227" s="265"/>
      <c r="DVO227" s="265"/>
      <c r="DVP227" s="265"/>
      <c r="DVQ227" s="265"/>
      <c r="DVR227" s="265"/>
      <c r="DVS227" s="265"/>
      <c r="DVT227" s="265"/>
      <c r="DVU227" s="265"/>
      <c r="DVV227" s="265"/>
      <c r="DVW227" s="265"/>
      <c r="DVX227" s="265"/>
      <c r="DVY227" s="265"/>
      <c r="DVZ227" s="265"/>
      <c r="DWA227" s="265"/>
      <c r="DWB227" s="265"/>
      <c r="DWC227" s="265"/>
      <c r="DWD227" s="265"/>
      <c r="DWE227" s="265"/>
      <c r="DWF227" s="265"/>
      <c r="DWG227" s="265"/>
      <c r="DWH227" s="265"/>
      <c r="DWI227" s="265"/>
      <c r="DWJ227" s="265"/>
      <c r="DWK227" s="265"/>
      <c r="DWL227" s="265"/>
      <c r="DWM227" s="265"/>
      <c r="DWN227" s="265"/>
      <c r="DWO227" s="265"/>
      <c r="DWP227" s="265"/>
      <c r="DWQ227" s="265"/>
      <c r="DWR227" s="265"/>
      <c r="DWS227" s="265"/>
      <c r="DWT227" s="265"/>
      <c r="DWU227" s="265"/>
      <c r="DWV227" s="265"/>
      <c r="DWW227" s="265"/>
      <c r="DWX227" s="265"/>
      <c r="DWY227" s="265"/>
      <c r="DWZ227" s="265"/>
      <c r="DXA227" s="265"/>
      <c r="DXB227" s="265"/>
      <c r="DXC227" s="265"/>
      <c r="DXD227" s="265"/>
      <c r="DXE227" s="265"/>
      <c r="DXF227" s="265"/>
      <c r="DXG227" s="265"/>
      <c r="DXH227" s="265"/>
      <c r="DXI227" s="265"/>
      <c r="DXJ227" s="265"/>
      <c r="DXK227" s="265"/>
      <c r="DXL227" s="265"/>
      <c r="DXM227" s="265"/>
      <c r="DXN227" s="265"/>
      <c r="DXO227" s="265"/>
      <c r="DXP227" s="265"/>
      <c r="DXQ227" s="265"/>
      <c r="DXR227" s="265"/>
      <c r="DXS227" s="265"/>
      <c r="DXT227" s="265"/>
      <c r="DXU227" s="265"/>
      <c r="DXV227" s="265"/>
      <c r="DXW227" s="265"/>
      <c r="DXX227" s="265"/>
      <c r="DXY227" s="265"/>
      <c r="DXZ227" s="265"/>
      <c r="DYA227" s="265"/>
      <c r="DYB227" s="265"/>
      <c r="DYC227" s="265"/>
      <c r="DYD227" s="265"/>
      <c r="DYE227" s="265"/>
      <c r="DYF227" s="265"/>
      <c r="DYG227" s="265"/>
      <c r="DYH227" s="265"/>
      <c r="DYI227" s="265"/>
      <c r="DYJ227" s="265"/>
      <c r="DYK227" s="265"/>
      <c r="DYL227" s="265"/>
      <c r="DYM227" s="265"/>
      <c r="DYN227" s="265"/>
      <c r="DYO227" s="265"/>
      <c r="DYP227" s="265"/>
      <c r="DYQ227" s="265"/>
      <c r="DYR227" s="265"/>
      <c r="DYS227" s="265"/>
      <c r="DYT227" s="265"/>
      <c r="DYU227" s="265"/>
      <c r="DYV227" s="265"/>
      <c r="DYW227" s="265"/>
      <c r="DYX227" s="265"/>
      <c r="DYY227" s="265"/>
      <c r="DYZ227" s="265"/>
      <c r="DZA227" s="265"/>
      <c r="DZB227" s="265"/>
      <c r="DZC227" s="265"/>
      <c r="DZD227" s="265"/>
      <c r="DZE227" s="265"/>
      <c r="DZF227" s="265"/>
      <c r="DZG227" s="265"/>
      <c r="DZH227" s="265"/>
      <c r="DZI227" s="265"/>
      <c r="DZJ227" s="265"/>
      <c r="DZK227" s="265"/>
      <c r="DZL227" s="265"/>
      <c r="DZM227" s="265"/>
      <c r="DZN227" s="265"/>
      <c r="DZO227" s="265"/>
      <c r="DZP227" s="265"/>
      <c r="DZQ227" s="265"/>
      <c r="DZR227" s="265"/>
      <c r="DZS227" s="265"/>
      <c r="DZT227" s="265"/>
      <c r="DZU227" s="265"/>
      <c r="DZV227" s="265"/>
      <c r="DZW227" s="265"/>
      <c r="DZX227" s="265"/>
      <c r="DZY227" s="265"/>
      <c r="DZZ227" s="265"/>
      <c r="EAA227" s="265"/>
      <c r="EAB227" s="265"/>
      <c r="EAC227" s="265"/>
      <c r="EAD227" s="265"/>
      <c r="EAE227" s="265"/>
      <c r="EAF227" s="265"/>
      <c r="EAG227" s="265"/>
      <c r="EAH227" s="265"/>
      <c r="EAI227" s="265"/>
      <c r="EAJ227" s="265"/>
      <c r="EAK227" s="265"/>
      <c r="EAL227" s="265"/>
      <c r="EAM227" s="265"/>
      <c r="EAN227" s="265"/>
      <c r="EAO227" s="265"/>
      <c r="EAP227" s="265"/>
      <c r="EAQ227" s="265"/>
      <c r="EAR227" s="265"/>
      <c r="EAS227" s="265"/>
      <c r="EAT227" s="265"/>
      <c r="EAU227" s="265"/>
      <c r="EAV227" s="265"/>
      <c r="EAW227" s="265"/>
      <c r="EAX227" s="265"/>
      <c r="EAY227" s="265"/>
      <c r="EAZ227" s="265"/>
      <c r="EBA227" s="265"/>
      <c r="EBB227" s="265"/>
      <c r="EBC227" s="265"/>
      <c r="EBD227" s="265"/>
      <c r="EBE227" s="265"/>
      <c r="EBF227" s="265"/>
      <c r="EBG227" s="265"/>
      <c r="EBH227" s="265"/>
      <c r="EBI227" s="265"/>
      <c r="EBJ227" s="265"/>
      <c r="EBK227" s="265"/>
      <c r="EBL227" s="265"/>
      <c r="EBM227" s="265"/>
      <c r="EBN227" s="265"/>
      <c r="EBO227" s="265"/>
      <c r="EBP227" s="265"/>
      <c r="EBQ227" s="265"/>
      <c r="EBR227" s="265"/>
      <c r="EBS227" s="265"/>
      <c r="EBT227" s="265"/>
      <c r="EBU227" s="265"/>
      <c r="EBV227" s="265"/>
      <c r="EBW227" s="265"/>
      <c r="EBX227" s="265"/>
      <c r="EBY227" s="265"/>
      <c r="EBZ227" s="265"/>
      <c r="ECA227" s="265"/>
      <c r="ECB227" s="265"/>
      <c r="ECC227" s="265"/>
      <c r="ECD227" s="265"/>
      <c r="ECE227" s="265"/>
      <c r="ECF227" s="265"/>
      <c r="ECG227" s="265"/>
      <c r="ECH227" s="265"/>
      <c r="ECI227" s="265"/>
      <c r="ECJ227" s="265"/>
      <c r="ECK227" s="265"/>
      <c r="ECL227" s="265"/>
      <c r="ECM227" s="265"/>
      <c r="ECN227" s="265"/>
      <c r="ECO227" s="265"/>
      <c r="ECP227" s="265"/>
      <c r="ECQ227" s="265"/>
      <c r="ECR227" s="265"/>
      <c r="ECS227" s="265"/>
      <c r="ECT227" s="265"/>
      <c r="ECU227" s="265"/>
      <c r="ECV227" s="265"/>
      <c r="ECW227" s="265"/>
      <c r="ECX227" s="265"/>
      <c r="ECY227" s="265"/>
      <c r="ECZ227" s="265"/>
      <c r="EDA227" s="265"/>
      <c r="EDB227" s="265"/>
      <c r="EDC227" s="265"/>
      <c r="EDD227" s="265"/>
      <c r="EDE227" s="265"/>
      <c r="EDF227" s="265"/>
      <c r="EDG227" s="265"/>
      <c r="EDH227" s="265"/>
      <c r="EDI227" s="265"/>
      <c r="EDJ227" s="265"/>
      <c r="EDK227" s="265"/>
      <c r="EDL227" s="265"/>
      <c r="EDM227" s="265"/>
      <c r="EDN227" s="265"/>
      <c r="EDO227" s="265"/>
      <c r="EDP227" s="265"/>
      <c r="EDQ227" s="265"/>
      <c r="EDR227" s="265"/>
      <c r="EDS227" s="265"/>
      <c r="EDT227" s="265"/>
      <c r="EDU227" s="265"/>
      <c r="EDV227" s="265"/>
      <c r="EDW227" s="265"/>
      <c r="EDX227" s="265"/>
      <c r="EDY227" s="265"/>
      <c r="EDZ227" s="265"/>
      <c r="EEA227" s="265"/>
      <c r="EEB227" s="265"/>
      <c r="EEC227" s="265"/>
      <c r="EED227" s="265"/>
      <c r="EEE227" s="265"/>
      <c r="EEF227" s="265"/>
      <c r="EEG227" s="265"/>
      <c r="EEH227" s="265"/>
      <c r="EEI227" s="265"/>
      <c r="EEJ227" s="265"/>
      <c r="EEK227" s="265"/>
      <c r="EEL227" s="265"/>
      <c r="EEM227" s="265"/>
      <c r="EEN227" s="265"/>
      <c r="EEO227" s="265"/>
      <c r="EEP227" s="265"/>
      <c r="EEQ227" s="265"/>
      <c r="EER227" s="265"/>
      <c r="EES227" s="265"/>
      <c r="EET227" s="265"/>
      <c r="EEU227" s="265"/>
      <c r="EEV227" s="265"/>
      <c r="EEW227" s="265"/>
      <c r="EEX227" s="265"/>
      <c r="EEY227" s="265"/>
      <c r="EEZ227" s="265"/>
      <c r="EFA227" s="265"/>
      <c r="EFB227" s="265"/>
      <c r="EFC227" s="265"/>
      <c r="EFD227" s="265"/>
      <c r="EFE227" s="265"/>
      <c r="EFF227" s="265"/>
      <c r="EFG227" s="265"/>
      <c r="EFH227" s="265"/>
      <c r="EFI227" s="265"/>
      <c r="EFJ227" s="265"/>
      <c r="EFK227" s="265"/>
      <c r="EFL227" s="265"/>
      <c r="EFM227" s="265"/>
      <c r="EFN227" s="265"/>
      <c r="EFO227" s="265"/>
      <c r="EFP227" s="265"/>
      <c r="EFQ227" s="265"/>
      <c r="EFR227" s="265"/>
      <c r="EFS227" s="265"/>
      <c r="EFT227" s="265"/>
      <c r="EFU227" s="265"/>
      <c r="EFV227" s="265"/>
      <c r="EFW227" s="265"/>
      <c r="EFX227" s="265"/>
      <c r="EFY227" s="265"/>
      <c r="EFZ227" s="265"/>
      <c r="EGA227" s="265"/>
      <c r="EGB227" s="265"/>
      <c r="EGC227" s="265"/>
      <c r="EGD227" s="265"/>
      <c r="EGE227" s="265"/>
      <c r="EGF227" s="265"/>
      <c r="EGG227" s="265"/>
      <c r="EGH227" s="265"/>
      <c r="EGI227" s="265"/>
      <c r="EGJ227" s="265"/>
      <c r="EGK227" s="265"/>
      <c r="EGL227" s="265"/>
      <c r="EGM227" s="265"/>
      <c r="EGN227" s="265"/>
      <c r="EGO227" s="265"/>
      <c r="EGP227" s="265"/>
      <c r="EGQ227" s="265"/>
      <c r="EGR227" s="265"/>
      <c r="EGS227" s="265"/>
      <c r="EGT227" s="265"/>
      <c r="EGU227" s="265"/>
      <c r="EGV227" s="265"/>
      <c r="EGW227" s="265"/>
      <c r="EGX227" s="265"/>
      <c r="EGY227" s="265"/>
      <c r="EGZ227" s="265"/>
      <c r="EHA227" s="265"/>
      <c r="EHB227" s="265"/>
      <c r="EHC227" s="265"/>
      <c r="EHD227" s="265"/>
      <c r="EHE227" s="265"/>
      <c r="EHF227" s="265"/>
      <c r="EHG227" s="265"/>
      <c r="EHH227" s="265"/>
      <c r="EHI227" s="265"/>
      <c r="EHJ227" s="265"/>
      <c r="EHK227" s="265"/>
      <c r="EHL227" s="265"/>
      <c r="EHM227" s="265"/>
      <c r="EHN227" s="265"/>
      <c r="EHO227" s="265"/>
      <c r="EHP227" s="265"/>
      <c r="EHQ227" s="265"/>
      <c r="EHR227" s="265"/>
      <c r="EHS227" s="265"/>
      <c r="EHT227" s="265"/>
      <c r="EHU227" s="265"/>
      <c r="EHV227" s="265"/>
      <c r="EHW227" s="265"/>
      <c r="EHX227" s="265"/>
      <c r="EHY227" s="265"/>
      <c r="EHZ227" s="265"/>
      <c r="EIA227" s="265"/>
      <c r="EIB227" s="265"/>
      <c r="EIC227" s="265"/>
      <c r="EID227" s="265"/>
      <c r="EIE227" s="265"/>
      <c r="EIF227" s="265"/>
      <c r="EIG227" s="265"/>
      <c r="EIH227" s="265"/>
      <c r="EII227" s="265"/>
      <c r="EIJ227" s="265"/>
      <c r="EIK227" s="265"/>
      <c r="EIL227" s="265"/>
      <c r="EIM227" s="265"/>
      <c r="EIN227" s="265"/>
      <c r="EIO227" s="265"/>
      <c r="EIP227" s="265"/>
      <c r="EIQ227" s="265"/>
      <c r="EIR227" s="265"/>
      <c r="EIS227" s="265"/>
      <c r="EIT227" s="265"/>
      <c r="EIU227" s="265"/>
      <c r="EIV227" s="265"/>
      <c r="EIW227" s="265"/>
      <c r="EIX227" s="265"/>
      <c r="EIY227" s="265"/>
      <c r="EIZ227" s="265"/>
      <c r="EJA227" s="265"/>
      <c r="EJB227" s="265"/>
      <c r="EJC227" s="265"/>
      <c r="EJD227" s="265"/>
      <c r="EJE227" s="265"/>
      <c r="EJF227" s="265"/>
      <c r="EJG227" s="265"/>
      <c r="EJH227" s="265"/>
      <c r="EJI227" s="265"/>
      <c r="EJJ227" s="265"/>
      <c r="EJK227" s="265"/>
      <c r="EJL227" s="265"/>
      <c r="EJM227" s="265"/>
      <c r="EJN227" s="265"/>
      <c r="EJO227" s="265"/>
      <c r="EJP227" s="265"/>
      <c r="EJQ227" s="265"/>
      <c r="EJR227" s="265"/>
      <c r="EJS227" s="265"/>
      <c r="EJT227" s="265"/>
      <c r="EJU227" s="265"/>
      <c r="EJV227" s="265"/>
      <c r="EJW227" s="265"/>
      <c r="EJX227" s="265"/>
      <c r="EJY227" s="265"/>
      <c r="EJZ227" s="265"/>
      <c r="EKA227" s="265"/>
      <c r="EKB227" s="265"/>
      <c r="EKC227" s="265"/>
      <c r="EKD227" s="265"/>
      <c r="EKE227" s="265"/>
      <c r="EKF227" s="265"/>
      <c r="EKG227" s="265"/>
      <c r="EKH227" s="265"/>
      <c r="EKI227" s="265"/>
      <c r="EKJ227" s="265"/>
      <c r="EKK227" s="265"/>
      <c r="EKL227" s="265"/>
      <c r="EKM227" s="265"/>
      <c r="EKN227" s="265"/>
      <c r="EKO227" s="265"/>
      <c r="EKP227" s="265"/>
      <c r="EKQ227" s="265"/>
      <c r="EKR227" s="265"/>
      <c r="EKS227" s="265"/>
      <c r="EKT227" s="265"/>
      <c r="EKU227" s="265"/>
      <c r="EKV227" s="265"/>
      <c r="EKW227" s="265"/>
      <c r="EKX227" s="265"/>
      <c r="EKY227" s="265"/>
      <c r="EKZ227" s="265"/>
      <c r="ELA227" s="265"/>
      <c r="ELB227" s="265"/>
      <c r="ELC227" s="265"/>
      <c r="ELD227" s="265"/>
      <c r="ELE227" s="265"/>
      <c r="ELF227" s="265"/>
      <c r="ELG227" s="265"/>
      <c r="ELH227" s="265"/>
      <c r="ELI227" s="265"/>
      <c r="ELJ227" s="265"/>
      <c r="ELK227" s="265"/>
      <c r="ELL227" s="265"/>
      <c r="ELM227" s="265"/>
      <c r="ELN227" s="265"/>
      <c r="ELO227" s="265"/>
      <c r="ELP227" s="265"/>
      <c r="ELQ227" s="265"/>
      <c r="ELR227" s="265"/>
      <c r="ELS227" s="265"/>
      <c r="ELT227" s="265"/>
      <c r="ELU227" s="265"/>
      <c r="ELV227" s="265"/>
      <c r="ELW227" s="265"/>
      <c r="ELX227" s="265"/>
      <c r="ELY227" s="265"/>
      <c r="ELZ227" s="265"/>
      <c r="EMA227" s="265"/>
      <c r="EMB227" s="265"/>
      <c r="EMC227" s="265"/>
      <c r="EMD227" s="265"/>
      <c r="EME227" s="265"/>
      <c r="EMF227" s="265"/>
      <c r="EMG227" s="265"/>
      <c r="EMH227" s="265"/>
      <c r="EMI227" s="265"/>
      <c r="EMJ227" s="265"/>
      <c r="EMK227" s="265"/>
      <c r="EML227" s="265"/>
      <c r="EMM227" s="265"/>
      <c r="EMN227" s="265"/>
      <c r="EMO227" s="265"/>
      <c r="EMP227" s="265"/>
      <c r="EMQ227" s="265"/>
      <c r="EMR227" s="265"/>
      <c r="EMS227" s="265"/>
      <c r="EMT227" s="265"/>
      <c r="EMU227" s="265"/>
      <c r="EMV227" s="265"/>
      <c r="EMW227" s="265"/>
      <c r="EMX227" s="265"/>
      <c r="EMY227" s="265"/>
      <c r="EMZ227" s="265"/>
      <c r="ENA227" s="265"/>
      <c r="ENB227" s="265"/>
      <c r="ENC227" s="265"/>
      <c r="END227" s="265"/>
      <c r="ENE227" s="265"/>
      <c r="ENF227" s="265"/>
      <c r="ENG227" s="265"/>
      <c r="ENH227" s="265"/>
      <c r="ENI227" s="265"/>
      <c r="ENJ227" s="265"/>
      <c r="ENK227" s="265"/>
      <c r="ENL227" s="265"/>
      <c r="ENM227" s="265"/>
      <c r="ENN227" s="265"/>
      <c r="ENO227" s="265"/>
      <c r="ENP227" s="265"/>
      <c r="ENQ227" s="265"/>
      <c r="ENR227" s="265"/>
      <c r="ENS227" s="265"/>
      <c r="ENT227" s="265"/>
      <c r="ENU227" s="265"/>
      <c r="ENV227" s="265"/>
      <c r="ENW227" s="265"/>
      <c r="ENX227" s="265"/>
      <c r="ENY227" s="265"/>
      <c r="ENZ227" s="265"/>
      <c r="EOA227" s="265"/>
      <c r="EOB227" s="265"/>
      <c r="EOC227" s="265"/>
      <c r="EOD227" s="265"/>
      <c r="EOE227" s="265"/>
      <c r="EOF227" s="265"/>
      <c r="EOG227" s="265"/>
      <c r="EOH227" s="265"/>
      <c r="EOI227" s="265"/>
      <c r="EOJ227" s="265"/>
      <c r="EOK227" s="265"/>
      <c r="EOL227" s="265"/>
      <c r="EOM227" s="265"/>
      <c r="EON227" s="265"/>
      <c r="EOO227" s="265"/>
      <c r="EOP227" s="265"/>
      <c r="EOQ227" s="265"/>
      <c r="EOR227" s="265"/>
      <c r="EOS227" s="265"/>
      <c r="EOT227" s="265"/>
      <c r="EOU227" s="265"/>
      <c r="EOV227" s="265"/>
      <c r="EOW227" s="265"/>
      <c r="EOX227" s="265"/>
      <c r="EOY227" s="265"/>
      <c r="EOZ227" s="265"/>
      <c r="EPA227" s="265"/>
      <c r="EPB227" s="265"/>
      <c r="EPC227" s="265"/>
      <c r="EPD227" s="265"/>
      <c r="EPE227" s="265"/>
      <c r="EPF227" s="265"/>
      <c r="EPG227" s="265"/>
      <c r="EPH227" s="265"/>
      <c r="EPI227" s="265"/>
      <c r="EPJ227" s="265"/>
      <c r="EPK227" s="265"/>
      <c r="EPL227" s="265"/>
      <c r="EPM227" s="265"/>
      <c r="EPN227" s="265"/>
      <c r="EPO227" s="265"/>
      <c r="EPP227" s="265"/>
      <c r="EPQ227" s="265"/>
      <c r="EPR227" s="265"/>
      <c r="EPS227" s="265"/>
      <c r="EPT227" s="265"/>
      <c r="EPU227" s="265"/>
      <c r="EPV227" s="265"/>
      <c r="EPW227" s="265"/>
      <c r="EPX227" s="265"/>
      <c r="EPY227" s="265"/>
      <c r="EPZ227" s="265"/>
      <c r="EQA227" s="265"/>
      <c r="EQB227" s="265"/>
      <c r="EQC227" s="265"/>
      <c r="EQD227" s="265"/>
      <c r="EQE227" s="265"/>
      <c r="EQF227" s="265"/>
      <c r="EQG227" s="265"/>
      <c r="EQH227" s="265"/>
      <c r="EQI227" s="265"/>
      <c r="EQJ227" s="265"/>
      <c r="EQK227" s="265"/>
      <c r="EQL227" s="265"/>
      <c r="EQM227" s="265"/>
      <c r="EQN227" s="265"/>
      <c r="EQO227" s="265"/>
      <c r="EQP227" s="265"/>
      <c r="EQQ227" s="265"/>
      <c r="EQR227" s="265"/>
      <c r="EQS227" s="265"/>
      <c r="EQT227" s="265"/>
      <c r="EQU227" s="265"/>
      <c r="EQV227" s="265"/>
      <c r="EQW227" s="265"/>
      <c r="EQX227" s="265"/>
      <c r="EQY227" s="265"/>
      <c r="EQZ227" s="265"/>
      <c r="ERA227" s="265"/>
      <c r="ERB227" s="265"/>
      <c r="ERC227" s="265"/>
      <c r="ERD227" s="265"/>
      <c r="ERE227" s="265"/>
      <c r="ERF227" s="265"/>
      <c r="ERG227" s="265"/>
      <c r="ERH227" s="265"/>
      <c r="ERI227" s="265"/>
      <c r="ERJ227" s="265"/>
      <c r="ERK227" s="265"/>
      <c r="ERL227" s="265"/>
      <c r="ERM227" s="265"/>
      <c r="ERN227" s="265"/>
      <c r="ERO227" s="265"/>
      <c r="ERP227" s="265"/>
      <c r="ERQ227" s="265"/>
      <c r="ERR227" s="265"/>
      <c r="ERS227" s="265"/>
      <c r="ERT227" s="265"/>
      <c r="ERU227" s="265"/>
      <c r="ERV227" s="265"/>
      <c r="ERW227" s="265"/>
      <c r="ERX227" s="265"/>
      <c r="ERY227" s="265"/>
      <c r="ERZ227" s="265"/>
      <c r="ESA227" s="265"/>
      <c r="ESB227" s="265"/>
      <c r="ESC227" s="265"/>
      <c r="ESD227" s="265"/>
      <c r="ESE227" s="265"/>
      <c r="ESF227" s="265"/>
      <c r="ESG227" s="265"/>
      <c r="ESH227" s="265"/>
      <c r="ESI227" s="265"/>
      <c r="ESJ227" s="265"/>
      <c r="ESK227" s="265"/>
      <c r="ESL227" s="265"/>
      <c r="ESM227" s="265"/>
      <c r="ESN227" s="265"/>
      <c r="ESO227" s="265"/>
      <c r="ESP227" s="265"/>
      <c r="ESQ227" s="265"/>
      <c r="ESR227" s="265"/>
      <c r="ESS227" s="265"/>
      <c r="EST227" s="265"/>
      <c r="ESU227" s="265"/>
      <c r="ESV227" s="265"/>
      <c r="ESW227" s="265"/>
      <c r="ESX227" s="265"/>
      <c r="ESY227" s="265"/>
      <c r="ESZ227" s="265"/>
      <c r="ETA227" s="265"/>
      <c r="ETB227" s="265"/>
      <c r="ETC227" s="265"/>
      <c r="ETD227" s="265"/>
      <c r="ETE227" s="265"/>
      <c r="ETF227" s="265"/>
      <c r="ETG227" s="265"/>
      <c r="ETH227" s="265"/>
      <c r="ETI227" s="265"/>
      <c r="ETJ227" s="265"/>
      <c r="ETK227" s="265"/>
      <c r="ETL227" s="265"/>
      <c r="ETM227" s="265"/>
      <c r="ETN227" s="265"/>
      <c r="ETO227" s="265"/>
      <c r="ETP227" s="265"/>
      <c r="ETQ227" s="265"/>
      <c r="ETR227" s="265"/>
      <c r="ETS227" s="265"/>
      <c r="ETT227" s="265"/>
      <c r="ETU227" s="265"/>
      <c r="ETV227" s="265"/>
      <c r="ETW227" s="265"/>
      <c r="ETX227" s="265"/>
      <c r="ETY227" s="265"/>
      <c r="ETZ227" s="265"/>
      <c r="EUA227" s="265"/>
      <c r="EUB227" s="265"/>
      <c r="EUC227" s="265"/>
      <c r="EUD227" s="265"/>
      <c r="EUE227" s="265"/>
      <c r="EUF227" s="265"/>
      <c r="EUG227" s="265"/>
      <c r="EUH227" s="265"/>
      <c r="EUI227" s="265"/>
      <c r="EUJ227" s="265"/>
      <c r="EUK227" s="265"/>
      <c r="EUL227" s="265"/>
      <c r="EUM227" s="265"/>
      <c r="EUN227" s="265"/>
      <c r="EUO227" s="265"/>
      <c r="EUP227" s="265"/>
      <c r="EUQ227" s="265"/>
      <c r="EUR227" s="265"/>
      <c r="EUS227" s="265"/>
      <c r="EUT227" s="265"/>
      <c r="EUU227" s="265"/>
      <c r="EUV227" s="265"/>
      <c r="EUW227" s="265"/>
      <c r="EUX227" s="265"/>
      <c r="EUY227" s="265"/>
      <c r="EUZ227" s="265"/>
      <c r="EVA227" s="265"/>
      <c r="EVB227" s="265"/>
      <c r="EVC227" s="265"/>
      <c r="EVD227" s="265"/>
      <c r="EVE227" s="265"/>
      <c r="EVF227" s="265"/>
      <c r="EVG227" s="265"/>
      <c r="EVH227" s="265"/>
      <c r="EVI227" s="265"/>
      <c r="EVJ227" s="265"/>
      <c r="EVK227" s="265"/>
      <c r="EVL227" s="265"/>
      <c r="EVM227" s="265"/>
      <c r="EVN227" s="265"/>
      <c r="EVO227" s="265"/>
      <c r="EVP227" s="265"/>
      <c r="EVQ227" s="265"/>
      <c r="EVR227" s="265"/>
      <c r="EVS227" s="265"/>
      <c r="EVT227" s="265"/>
      <c r="EVU227" s="265"/>
      <c r="EVV227" s="265"/>
      <c r="EVW227" s="265"/>
      <c r="EVX227" s="265"/>
      <c r="EVY227" s="265"/>
      <c r="EVZ227" s="265"/>
      <c r="EWA227" s="265"/>
      <c r="EWB227" s="265"/>
      <c r="EWC227" s="265"/>
      <c r="EWD227" s="265"/>
      <c r="EWE227" s="265"/>
      <c r="EWF227" s="265"/>
      <c r="EWG227" s="265"/>
      <c r="EWH227" s="265"/>
      <c r="EWI227" s="265"/>
      <c r="EWJ227" s="265"/>
      <c r="EWK227" s="265"/>
      <c r="EWL227" s="265"/>
      <c r="EWM227" s="265"/>
      <c r="EWN227" s="265"/>
      <c r="EWO227" s="265"/>
      <c r="EWP227" s="265"/>
      <c r="EWQ227" s="265"/>
      <c r="EWR227" s="265"/>
      <c r="EWS227" s="265"/>
      <c r="EWT227" s="265"/>
      <c r="EWU227" s="265"/>
      <c r="EWV227" s="265"/>
      <c r="EWW227" s="265"/>
      <c r="EWX227" s="265"/>
      <c r="EWY227" s="265"/>
      <c r="EWZ227" s="265"/>
      <c r="EXA227" s="265"/>
      <c r="EXB227" s="265"/>
      <c r="EXC227" s="265"/>
      <c r="EXD227" s="265"/>
      <c r="EXE227" s="265"/>
      <c r="EXF227" s="265"/>
      <c r="EXG227" s="265"/>
      <c r="EXH227" s="265"/>
      <c r="EXI227" s="265"/>
      <c r="EXJ227" s="265"/>
      <c r="EXK227" s="265"/>
      <c r="EXL227" s="265"/>
      <c r="EXM227" s="265"/>
      <c r="EXN227" s="265"/>
      <c r="EXO227" s="265"/>
      <c r="EXP227" s="265"/>
      <c r="EXQ227" s="265"/>
      <c r="EXR227" s="265"/>
      <c r="EXS227" s="265"/>
      <c r="EXT227" s="265"/>
      <c r="EXU227" s="265"/>
      <c r="EXV227" s="265"/>
      <c r="EXW227" s="265"/>
      <c r="EXX227" s="265"/>
      <c r="EXY227" s="265"/>
      <c r="EXZ227" s="265"/>
      <c r="EYA227" s="265"/>
      <c r="EYB227" s="265"/>
      <c r="EYC227" s="265"/>
      <c r="EYD227" s="265"/>
      <c r="EYE227" s="265"/>
      <c r="EYF227" s="265"/>
      <c r="EYG227" s="265"/>
      <c r="EYH227" s="265"/>
      <c r="EYI227" s="265"/>
      <c r="EYJ227" s="265"/>
      <c r="EYK227" s="265"/>
      <c r="EYL227" s="265"/>
      <c r="EYM227" s="265"/>
      <c r="EYN227" s="265"/>
      <c r="EYO227" s="265"/>
      <c r="EYP227" s="265"/>
      <c r="EYQ227" s="265"/>
      <c r="EYR227" s="265"/>
      <c r="EYS227" s="265"/>
      <c r="EYT227" s="265"/>
      <c r="EYU227" s="265"/>
      <c r="EYV227" s="265"/>
      <c r="EYW227" s="265"/>
      <c r="EYX227" s="265"/>
      <c r="EYY227" s="265"/>
      <c r="EYZ227" s="265"/>
      <c r="EZA227" s="265"/>
      <c r="EZB227" s="265"/>
      <c r="EZC227" s="265"/>
      <c r="EZD227" s="265"/>
      <c r="EZE227" s="265"/>
      <c r="EZF227" s="265"/>
      <c r="EZG227" s="265"/>
      <c r="EZH227" s="265"/>
      <c r="EZI227" s="265"/>
      <c r="EZJ227" s="265"/>
      <c r="EZK227" s="265"/>
      <c r="EZL227" s="265"/>
      <c r="EZM227" s="265"/>
      <c r="EZN227" s="265"/>
      <c r="EZO227" s="265"/>
      <c r="EZP227" s="265"/>
      <c r="EZQ227" s="265"/>
      <c r="EZR227" s="265"/>
      <c r="EZS227" s="265"/>
      <c r="EZT227" s="265"/>
      <c r="EZU227" s="265"/>
      <c r="EZV227" s="265"/>
      <c r="EZW227" s="265"/>
      <c r="EZX227" s="265"/>
      <c r="EZY227" s="265"/>
      <c r="EZZ227" s="265"/>
      <c r="FAA227" s="265"/>
      <c r="FAB227" s="265"/>
      <c r="FAC227" s="265"/>
      <c r="FAD227" s="265"/>
      <c r="FAE227" s="265"/>
      <c r="FAF227" s="265"/>
      <c r="FAG227" s="265"/>
      <c r="FAH227" s="265"/>
      <c r="FAI227" s="265"/>
      <c r="FAJ227" s="265"/>
      <c r="FAK227" s="265"/>
      <c r="FAL227" s="265"/>
      <c r="FAM227" s="265"/>
      <c r="FAN227" s="265"/>
      <c r="FAO227" s="265"/>
      <c r="FAP227" s="265"/>
      <c r="FAQ227" s="265"/>
      <c r="FAR227" s="265"/>
      <c r="FAS227" s="265"/>
      <c r="FAT227" s="265"/>
      <c r="FAU227" s="265"/>
      <c r="FAV227" s="265"/>
      <c r="FAW227" s="265"/>
      <c r="FAX227" s="265"/>
      <c r="FAY227" s="265"/>
      <c r="FAZ227" s="265"/>
      <c r="FBA227" s="265"/>
      <c r="FBB227" s="265"/>
      <c r="FBC227" s="265"/>
      <c r="FBD227" s="265"/>
      <c r="FBE227" s="265"/>
      <c r="FBF227" s="265"/>
      <c r="FBG227" s="265"/>
      <c r="FBH227" s="265"/>
      <c r="FBI227" s="265"/>
      <c r="FBJ227" s="265"/>
      <c r="FBK227" s="265"/>
      <c r="FBL227" s="265"/>
      <c r="FBM227" s="265"/>
      <c r="FBN227" s="265"/>
      <c r="FBO227" s="265"/>
      <c r="FBP227" s="265"/>
      <c r="FBQ227" s="265"/>
      <c r="FBR227" s="265"/>
      <c r="FBS227" s="265"/>
      <c r="FBT227" s="265"/>
      <c r="FBU227" s="265"/>
      <c r="FBV227" s="265"/>
      <c r="FBW227" s="265"/>
      <c r="FBX227" s="265"/>
      <c r="FBY227" s="265"/>
      <c r="FBZ227" s="265"/>
      <c r="FCA227" s="265"/>
      <c r="FCB227" s="265"/>
      <c r="FCC227" s="265"/>
      <c r="FCD227" s="265"/>
      <c r="FCE227" s="265"/>
      <c r="FCF227" s="265"/>
      <c r="FCG227" s="265"/>
      <c r="FCH227" s="265"/>
      <c r="FCI227" s="265"/>
      <c r="FCJ227" s="265"/>
      <c r="FCK227" s="265"/>
      <c r="FCL227" s="265"/>
      <c r="FCM227" s="265"/>
      <c r="FCN227" s="265"/>
      <c r="FCO227" s="265"/>
      <c r="FCP227" s="265"/>
      <c r="FCQ227" s="265"/>
      <c r="FCR227" s="265"/>
      <c r="FCS227" s="265"/>
      <c r="FCT227" s="265"/>
      <c r="FCU227" s="265"/>
      <c r="FCV227" s="265"/>
      <c r="FCW227" s="265"/>
      <c r="FCX227" s="265"/>
      <c r="FCY227" s="265"/>
      <c r="FCZ227" s="265"/>
      <c r="FDA227" s="265"/>
      <c r="FDB227" s="265"/>
      <c r="FDC227" s="265"/>
      <c r="FDD227" s="265"/>
      <c r="FDE227" s="265"/>
      <c r="FDF227" s="265"/>
      <c r="FDG227" s="265"/>
      <c r="FDH227" s="265"/>
      <c r="FDI227" s="265"/>
      <c r="FDJ227" s="265"/>
      <c r="FDK227" s="265"/>
      <c r="FDL227" s="265"/>
      <c r="FDM227" s="265"/>
      <c r="FDN227" s="265"/>
      <c r="FDO227" s="265"/>
      <c r="FDP227" s="265"/>
      <c r="FDQ227" s="265"/>
      <c r="FDR227" s="265"/>
      <c r="FDS227" s="265"/>
      <c r="FDT227" s="265"/>
      <c r="FDU227" s="265"/>
      <c r="FDV227" s="265"/>
      <c r="FDW227" s="265"/>
      <c r="FDX227" s="265"/>
      <c r="FDY227" s="265"/>
      <c r="FDZ227" s="265"/>
      <c r="FEA227" s="265"/>
      <c r="FEB227" s="265"/>
      <c r="FEC227" s="265"/>
      <c r="FED227" s="265"/>
      <c r="FEE227" s="265"/>
      <c r="FEF227" s="265"/>
      <c r="FEG227" s="265"/>
      <c r="FEH227" s="265"/>
      <c r="FEI227" s="265"/>
      <c r="FEJ227" s="265"/>
      <c r="FEK227" s="265"/>
      <c r="FEL227" s="265"/>
      <c r="FEM227" s="265"/>
      <c r="FEN227" s="265"/>
      <c r="FEO227" s="265"/>
      <c r="FEP227" s="265"/>
      <c r="FEQ227" s="265"/>
      <c r="FER227" s="265"/>
      <c r="FES227" s="265"/>
      <c r="FET227" s="265"/>
      <c r="FEU227" s="265"/>
      <c r="FEV227" s="265"/>
      <c r="FEW227" s="265"/>
      <c r="FEX227" s="265"/>
      <c r="FEY227" s="265"/>
      <c r="FEZ227" s="265"/>
      <c r="FFA227" s="265"/>
      <c r="FFB227" s="265"/>
      <c r="FFC227" s="265"/>
      <c r="FFD227" s="265"/>
      <c r="FFE227" s="265"/>
      <c r="FFF227" s="265"/>
      <c r="FFG227" s="265"/>
      <c r="FFH227" s="265"/>
      <c r="FFI227" s="265"/>
      <c r="FFJ227" s="265"/>
      <c r="FFK227" s="265"/>
      <c r="FFL227" s="265"/>
      <c r="FFM227" s="265"/>
      <c r="FFN227" s="265"/>
      <c r="FFO227" s="265"/>
      <c r="FFP227" s="265"/>
      <c r="FFQ227" s="265"/>
      <c r="FFR227" s="265"/>
      <c r="FFS227" s="265"/>
      <c r="FFT227" s="265"/>
      <c r="FFU227" s="265"/>
      <c r="FFV227" s="265"/>
      <c r="FFW227" s="265"/>
      <c r="FFX227" s="265"/>
      <c r="FFY227" s="265"/>
      <c r="FFZ227" s="265"/>
      <c r="FGA227" s="265"/>
      <c r="FGB227" s="265"/>
      <c r="FGC227" s="265"/>
      <c r="FGD227" s="265"/>
      <c r="FGE227" s="265"/>
      <c r="FGF227" s="265"/>
      <c r="FGG227" s="265"/>
      <c r="FGH227" s="265"/>
      <c r="FGI227" s="265"/>
      <c r="FGJ227" s="265"/>
      <c r="FGK227" s="265"/>
      <c r="FGL227" s="265"/>
      <c r="FGM227" s="265"/>
      <c r="FGN227" s="265"/>
      <c r="FGO227" s="265"/>
      <c r="FGP227" s="265"/>
      <c r="FGQ227" s="265"/>
      <c r="FGR227" s="265"/>
      <c r="FGS227" s="265"/>
      <c r="FGT227" s="265"/>
      <c r="FGU227" s="265"/>
      <c r="FGV227" s="265"/>
      <c r="FGW227" s="265"/>
      <c r="FGX227" s="265"/>
      <c r="FGY227" s="265"/>
      <c r="FGZ227" s="265"/>
      <c r="FHA227" s="265"/>
      <c r="FHB227" s="265"/>
      <c r="FHC227" s="265"/>
      <c r="FHD227" s="265"/>
      <c r="FHE227" s="265"/>
      <c r="FHF227" s="265"/>
      <c r="FHG227" s="265"/>
      <c r="FHH227" s="265"/>
      <c r="FHI227" s="265"/>
      <c r="FHJ227" s="265"/>
      <c r="FHK227" s="265"/>
      <c r="FHL227" s="265"/>
      <c r="FHM227" s="265"/>
      <c r="FHN227" s="265"/>
      <c r="FHO227" s="265"/>
      <c r="FHP227" s="265"/>
      <c r="FHQ227" s="265"/>
      <c r="FHR227" s="265"/>
      <c r="FHS227" s="265"/>
      <c r="FHT227" s="265"/>
      <c r="FHU227" s="265"/>
      <c r="FHV227" s="265"/>
      <c r="FHW227" s="265"/>
      <c r="FHX227" s="265"/>
      <c r="FHY227" s="265"/>
      <c r="FHZ227" s="265"/>
      <c r="FIA227" s="265"/>
      <c r="FIB227" s="265"/>
      <c r="FIC227" s="265"/>
      <c r="FID227" s="265"/>
      <c r="FIE227" s="265"/>
      <c r="FIF227" s="265"/>
      <c r="FIG227" s="265"/>
      <c r="FIH227" s="265"/>
      <c r="FII227" s="265"/>
      <c r="FIJ227" s="265"/>
      <c r="FIK227" s="265"/>
      <c r="FIL227" s="265"/>
      <c r="FIM227" s="265"/>
      <c r="FIN227" s="265"/>
      <c r="FIO227" s="265"/>
      <c r="FIP227" s="265"/>
      <c r="FIQ227" s="265"/>
      <c r="FIR227" s="265"/>
      <c r="FIS227" s="265"/>
      <c r="FIT227" s="265"/>
      <c r="FIU227" s="265"/>
      <c r="FIV227" s="265"/>
      <c r="FIW227" s="265"/>
      <c r="FIX227" s="265"/>
      <c r="FIY227" s="265"/>
      <c r="FIZ227" s="265"/>
      <c r="FJA227" s="265"/>
      <c r="FJB227" s="265"/>
      <c r="FJC227" s="265"/>
      <c r="FJD227" s="265"/>
      <c r="FJE227" s="265"/>
      <c r="FJF227" s="265"/>
      <c r="FJG227" s="265"/>
      <c r="FJH227" s="265"/>
      <c r="FJI227" s="265"/>
      <c r="FJJ227" s="265"/>
      <c r="FJK227" s="265"/>
      <c r="FJL227" s="265"/>
      <c r="FJM227" s="265"/>
      <c r="FJN227" s="265"/>
      <c r="FJO227" s="265"/>
      <c r="FJP227" s="265"/>
      <c r="FJQ227" s="265"/>
      <c r="FJR227" s="265"/>
      <c r="FJS227" s="265"/>
      <c r="FJT227" s="265"/>
      <c r="FJU227" s="265"/>
      <c r="FJV227" s="265"/>
      <c r="FJW227" s="265"/>
      <c r="FJX227" s="265"/>
      <c r="FJY227" s="265"/>
      <c r="FJZ227" s="265"/>
      <c r="FKA227" s="265"/>
      <c r="FKB227" s="265"/>
      <c r="FKC227" s="265"/>
      <c r="FKD227" s="265"/>
      <c r="FKE227" s="265"/>
      <c r="FKF227" s="265"/>
      <c r="FKG227" s="265"/>
      <c r="FKH227" s="265"/>
      <c r="FKI227" s="265"/>
      <c r="FKJ227" s="265"/>
      <c r="FKK227" s="265"/>
      <c r="FKL227" s="265"/>
      <c r="FKM227" s="265"/>
      <c r="FKN227" s="265"/>
      <c r="FKO227" s="265"/>
      <c r="FKP227" s="265"/>
      <c r="FKQ227" s="265"/>
      <c r="FKR227" s="265"/>
      <c r="FKS227" s="265"/>
      <c r="FKT227" s="265"/>
      <c r="FKU227" s="265"/>
      <c r="FKV227" s="265"/>
      <c r="FKW227" s="265"/>
      <c r="FKX227" s="265"/>
      <c r="FKY227" s="265"/>
      <c r="FKZ227" s="265"/>
      <c r="FLA227" s="265"/>
      <c r="FLB227" s="265"/>
      <c r="FLC227" s="265"/>
      <c r="FLD227" s="265"/>
      <c r="FLE227" s="265"/>
      <c r="FLF227" s="265"/>
      <c r="FLG227" s="265"/>
      <c r="FLH227" s="265"/>
      <c r="FLI227" s="265"/>
      <c r="FLJ227" s="265"/>
      <c r="FLK227" s="265"/>
      <c r="FLL227" s="265"/>
      <c r="FLM227" s="265"/>
      <c r="FLN227" s="265"/>
      <c r="FLO227" s="265"/>
      <c r="FLP227" s="265"/>
      <c r="FLQ227" s="265"/>
      <c r="FLR227" s="265"/>
      <c r="FLS227" s="265"/>
      <c r="FLT227" s="265"/>
      <c r="FLU227" s="265"/>
      <c r="FLV227" s="265"/>
      <c r="FLW227" s="265"/>
      <c r="FLX227" s="265"/>
      <c r="FLY227" s="265"/>
      <c r="FLZ227" s="265"/>
      <c r="FMA227" s="265"/>
      <c r="FMB227" s="265"/>
      <c r="FMC227" s="265"/>
      <c r="FMD227" s="265"/>
      <c r="FME227" s="265"/>
      <c r="FMF227" s="265"/>
      <c r="FMG227" s="265"/>
      <c r="FMH227" s="265"/>
      <c r="FMI227" s="265"/>
      <c r="FMJ227" s="265"/>
      <c r="FMK227" s="265"/>
      <c r="FML227" s="265"/>
      <c r="FMM227" s="265"/>
      <c r="FMN227" s="265"/>
      <c r="FMO227" s="265"/>
      <c r="FMP227" s="265"/>
      <c r="FMQ227" s="265"/>
      <c r="FMR227" s="265"/>
      <c r="FMS227" s="265"/>
      <c r="FMT227" s="265"/>
      <c r="FMU227" s="265"/>
      <c r="FMV227" s="265"/>
      <c r="FMW227" s="265"/>
      <c r="FMX227" s="265"/>
      <c r="FMY227" s="265"/>
      <c r="FMZ227" s="265"/>
      <c r="FNA227" s="265"/>
      <c r="FNB227" s="265"/>
      <c r="FNC227" s="265"/>
      <c r="FND227" s="265"/>
      <c r="FNE227" s="265"/>
      <c r="FNF227" s="265"/>
      <c r="FNG227" s="265"/>
      <c r="FNH227" s="265"/>
      <c r="FNI227" s="265"/>
      <c r="FNJ227" s="265"/>
      <c r="FNK227" s="265"/>
      <c r="FNL227" s="265"/>
      <c r="FNM227" s="265"/>
      <c r="FNN227" s="265"/>
      <c r="FNO227" s="265"/>
      <c r="FNP227" s="265"/>
      <c r="FNQ227" s="265"/>
      <c r="FNR227" s="265"/>
      <c r="FNS227" s="265"/>
      <c r="FNT227" s="265"/>
      <c r="FNU227" s="265"/>
      <c r="FNV227" s="265"/>
      <c r="FNW227" s="265"/>
      <c r="FNX227" s="265"/>
      <c r="FNY227" s="265"/>
      <c r="FNZ227" s="265"/>
      <c r="FOA227" s="265"/>
      <c r="FOB227" s="265"/>
      <c r="FOC227" s="265"/>
      <c r="FOD227" s="265"/>
      <c r="FOE227" s="265"/>
      <c r="FOF227" s="265"/>
      <c r="FOG227" s="265"/>
      <c r="FOH227" s="265"/>
      <c r="FOI227" s="265"/>
      <c r="FOJ227" s="265"/>
      <c r="FOK227" s="265"/>
      <c r="FOL227" s="265"/>
      <c r="FOM227" s="265"/>
      <c r="FON227" s="265"/>
      <c r="FOO227" s="265"/>
      <c r="FOP227" s="265"/>
      <c r="FOQ227" s="265"/>
      <c r="FOR227" s="265"/>
      <c r="FOS227" s="265"/>
      <c r="FOT227" s="265"/>
      <c r="FOU227" s="265"/>
      <c r="FOV227" s="265"/>
      <c r="FOW227" s="265"/>
      <c r="FOX227" s="265"/>
      <c r="FOY227" s="265"/>
      <c r="FOZ227" s="265"/>
      <c r="FPA227" s="265"/>
      <c r="FPB227" s="265"/>
      <c r="FPC227" s="265"/>
      <c r="FPD227" s="265"/>
      <c r="FPE227" s="265"/>
      <c r="FPF227" s="265"/>
      <c r="FPG227" s="265"/>
      <c r="FPH227" s="265"/>
      <c r="FPI227" s="265"/>
      <c r="FPJ227" s="265"/>
      <c r="FPK227" s="265"/>
      <c r="FPL227" s="265"/>
      <c r="FPM227" s="265"/>
      <c r="FPN227" s="265"/>
      <c r="FPO227" s="265"/>
      <c r="FPP227" s="265"/>
      <c r="FPQ227" s="265"/>
      <c r="FPR227" s="265"/>
      <c r="FPS227" s="265"/>
      <c r="FPT227" s="265"/>
      <c r="FPU227" s="265"/>
      <c r="FPV227" s="265"/>
      <c r="FPW227" s="265"/>
      <c r="FPX227" s="265"/>
      <c r="FPY227" s="265"/>
      <c r="FPZ227" s="265"/>
      <c r="FQA227" s="265"/>
      <c r="FQB227" s="265"/>
      <c r="FQC227" s="265"/>
      <c r="FQD227" s="265"/>
      <c r="FQE227" s="265"/>
      <c r="FQF227" s="265"/>
      <c r="FQG227" s="265"/>
      <c r="FQH227" s="265"/>
      <c r="FQI227" s="265"/>
      <c r="FQJ227" s="265"/>
      <c r="FQK227" s="265"/>
      <c r="FQL227" s="265"/>
      <c r="FQM227" s="265"/>
      <c r="FQN227" s="265"/>
      <c r="FQO227" s="265"/>
      <c r="FQP227" s="265"/>
      <c r="FQQ227" s="265"/>
      <c r="FQR227" s="265"/>
      <c r="FQS227" s="265"/>
      <c r="FQT227" s="265"/>
      <c r="FQU227" s="265"/>
      <c r="FQV227" s="265"/>
      <c r="FQW227" s="265"/>
      <c r="FQX227" s="265"/>
      <c r="FQY227" s="265"/>
      <c r="FQZ227" s="265"/>
      <c r="FRA227" s="265"/>
      <c r="FRB227" s="265"/>
      <c r="FRC227" s="265"/>
      <c r="FRD227" s="265"/>
      <c r="FRE227" s="265"/>
      <c r="FRF227" s="265"/>
      <c r="FRG227" s="265"/>
      <c r="FRH227" s="265"/>
      <c r="FRI227" s="265"/>
      <c r="FRJ227" s="265"/>
      <c r="FRK227" s="265"/>
      <c r="FRL227" s="265"/>
      <c r="FRM227" s="265"/>
      <c r="FRN227" s="265"/>
      <c r="FRO227" s="265"/>
      <c r="FRP227" s="265"/>
      <c r="FRQ227" s="265"/>
      <c r="FRR227" s="265"/>
      <c r="FRS227" s="265"/>
      <c r="FRT227" s="265"/>
      <c r="FRU227" s="265"/>
      <c r="FRV227" s="265"/>
      <c r="FRW227" s="265"/>
      <c r="FRX227" s="265"/>
      <c r="FRY227" s="265"/>
      <c r="FRZ227" s="265"/>
      <c r="FSA227" s="265"/>
      <c r="FSB227" s="265"/>
      <c r="FSC227" s="265"/>
      <c r="FSD227" s="265"/>
      <c r="FSE227" s="265"/>
      <c r="FSF227" s="265"/>
      <c r="FSG227" s="265"/>
      <c r="FSH227" s="265"/>
      <c r="FSI227" s="265"/>
      <c r="FSJ227" s="265"/>
      <c r="FSK227" s="265"/>
      <c r="FSL227" s="265"/>
      <c r="FSM227" s="265"/>
      <c r="FSN227" s="265"/>
      <c r="FSO227" s="265"/>
      <c r="FSP227" s="265"/>
      <c r="FSQ227" s="265"/>
      <c r="FSR227" s="265"/>
      <c r="FSS227" s="265"/>
      <c r="FST227" s="265"/>
      <c r="FSU227" s="265"/>
      <c r="FSV227" s="265"/>
      <c r="FSW227" s="265"/>
      <c r="FSX227" s="265"/>
      <c r="FSY227" s="265"/>
      <c r="FSZ227" s="265"/>
      <c r="FTA227" s="265"/>
    </row>
    <row r="228" spans="1:4577" s="710" customFormat="1" ht="15.75">
      <c r="A228" s="679"/>
      <c r="B228" s="699"/>
      <c r="C228" s="698"/>
      <c r="D228" s="681"/>
      <c r="E228" s="678"/>
      <c r="F228" s="677"/>
      <c r="G228" s="677"/>
      <c r="H228" s="658"/>
      <c r="I228" s="658"/>
      <c r="J228" s="669"/>
      <c r="K228" s="656"/>
      <c r="L228" s="184"/>
      <c r="M228" s="184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5"/>
      <c r="AV228" s="265"/>
      <c r="AW228" s="265"/>
      <c r="AX228" s="265"/>
      <c r="AY228" s="265"/>
      <c r="AZ228" s="265"/>
      <c r="BA228" s="265"/>
      <c r="BB228" s="265"/>
      <c r="BC228" s="265"/>
      <c r="BD228" s="265"/>
      <c r="BE228" s="265"/>
      <c r="BF228" s="265"/>
      <c r="BG228" s="265"/>
      <c r="BH228" s="265"/>
      <c r="BI228" s="265"/>
      <c r="BJ228" s="265"/>
      <c r="BK228" s="265"/>
      <c r="BL228" s="265"/>
      <c r="BM228" s="265"/>
      <c r="BN228" s="265"/>
      <c r="BO228" s="265"/>
      <c r="BP228" s="265"/>
      <c r="BQ228" s="265"/>
      <c r="BR228" s="265"/>
      <c r="BS228" s="265"/>
      <c r="BT228" s="265"/>
      <c r="BU228" s="265"/>
      <c r="BV228" s="265"/>
      <c r="BW228" s="265"/>
      <c r="BX228" s="265"/>
      <c r="BY228" s="265"/>
      <c r="BZ228" s="265"/>
      <c r="CA228" s="265"/>
      <c r="CB228" s="265"/>
      <c r="CC228" s="265"/>
      <c r="CD228" s="265"/>
      <c r="CE228" s="265"/>
      <c r="CF228" s="265"/>
      <c r="CG228" s="265"/>
      <c r="CH228" s="265"/>
      <c r="CI228" s="265"/>
      <c r="CJ228" s="265"/>
      <c r="CK228" s="265"/>
      <c r="CL228" s="265"/>
      <c r="CM228" s="265"/>
      <c r="CN228" s="265"/>
      <c r="CO228" s="265"/>
      <c r="CP228" s="265"/>
      <c r="CQ228" s="265"/>
      <c r="CR228" s="265"/>
      <c r="CS228" s="265"/>
      <c r="CT228" s="265"/>
      <c r="CU228" s="265"/>
      <c r="CV228" s="265"/>
      <c r="CW228" s="265"/>
      <c r="CX228" s="265"/>
      <c r="CY228" s="265"/>
      <c r="CZ228" s="265"/>
      <c r="DA228" s="265"/>
      <c r="DB228" s="265"/>
      <c r="DC228" s="265"/>
      <c r="DD228" s="265"/>
      <c r="DE228" s="265"/>
      <c r="DF228" s="265"/>
      <c r="DG228" s="265"/>
      <c r="DH228" s="265"/>
      <c r="DI228" s="265"/>
      <c r="DJ228" s="265"/>
      <c r="DK228" s="265"/>
      <c r="DL228" s="265"/>
      <c r="DM228" s="265"/>
      <c r="DN228" s="265"/>
      <c r="DO228" s="265"/>
      <c r="DP228" s="265"/>
      <c r="DQ228" s="265"/>
      <c r="DR228" s="265"/>
      <c r="DS228" s="265"/>
      <c r="DT228" s="265"/>
      <c r="DU228" s="265"/>
      <c r="DV228" s="265"/>
      <c r="DW228" s="265"/>
      <c r="DX228" s="265"/>
      <c r="DY228" s="265"/>
      <c r="DZ228" s="265"/>
      <c r="EA228" s="265"/>
      <c r="EB228" s="265"/>
      <c r="EC228" s="265"/>
      <c r="ED228" s="265"/>
      <c r="EE228" s="265"/>
      <c r="EF228" s="265"/>
      <c r="EG228" s="265"/>
      <c r="EH228" s="265"/>
      <c r="EI228" s="265"/>
      <c r="EJ228" s="265"/>
      <c r="EK228" s="265"/>
      <c r="EL228" s="265"/>
      <c r="EM228" s="265"/>
      <c r="EN228" s="265"/>
      <c r="EO228" s="265"/>
      <c r="EP228" s="265"/>
      <c r="EQ228" s="265"/>
      <c r="ER228" s="265"/>
      <c r="ES228" s="265"/>
      <c r="ET228" s="265"/>
      <c r="EU228" s="265"/>
      <c r="EV228" s="265"/>
      <c r="EW228" s="265"/>
      <c r="EX228" s="265"/>
      <c r="EY228" s="265"/>
      <c r="EZ228" s="265"/>
      <c r="FA228" s="265"/>
      <c r="FB228" s="265"/>
      <c r="FC228" s="265"/>
      <c r="FD228" s="265"/>
      <c r="FE228" s="265"/>
      <c r="FF228" s="265"/>
      <c r="FG228" s="265"/>
      <c r="FH228" s="265"/>
      <c r="FI228" s="265"/>
      <c r="FJ228" s="265"/>
      <c r="FK228" s="265"/>
      <c r="FL228" s="265"/>
      <c r="FM228" s="265"/>
      <c r="FN228" s="265"/>
      <c r="FO228" s="265"/>
      <c r="FP228" s="265"/>
      <c r="FQ228" s="265"/>
      <c r="FR228" s="265"/>
      <c r="FS228" s="265"/>
      <c r="FT228" s="265"/>
      <c r="FU228" s="265"/>
      <c r="FV228" s="265"/>
      <c r="FW228" s="265"/>
      <c r="FX228" s="265"/>
      <c r="FY228" s="265"/>
      <c r="FZ228" s="265"/>
      <c r="GA228" s="265"/>
      <c r="GB228" s="265"/>
      <c r="GC228" s="265"/>
      <c r="GD228" s="265"/>
      <c r="GE228" s="265"/>
      <c r="GF228" s="265"/>
      <c r="GG228" s="265"/>
      <c r="GH228" s="265"/>
      <c r="GI228" s="265"/>
      <c r="GJ228" s="265"/>
      <c r="GK228" s="265"/>
      <c r="GL228" s="265"/>
      <c r="GM228" s="265"/>
      <c r="GN228" s="265"/>
      <c r="GO228" s="265"/>
      <c r="GP228" s="265"/>
      <c r="GQ228" s="265"/>
      <c r="GR228" s="265"/>
      <c r="GS228" s="265"/>
      <c r="GT228" s="265"/>
      <c r="GU228" s="265"/>
      <c r="GV228" s="265"/>
      <c r="GW228" s="265"/>
      <c r="GX228" s="265"/>
      <c r="GY228" s="265"/>
      <c r="GZ228" s="265"/>
      <c r="HA228" s="265"/>
      <c r="HB228" s="265"/>
      <c r="HC228" s="265"/>
      <c r="HD228" s="265"/>
      <c r="HE228" s="265"/>
      <c r="HF228" s="265"/>
      <c r="HG228" s="265"/>
      <c r="HH228" s="265"/>
      <c r="HI228" s="265"/>
      <c r="HJ228" s="265"/>
      <c r="HK228" s="265"/>
      <c r="HL228" s="265"/>
      <c r="HM228" s="265"/>
      <c r="HN228" s="265"/>
      <c r="HO228" s="265"/>
      <c r="HP228" s="265"/>
      <c r="HQ228" s="265"/>
      <c r="HR228" s="265"/>
      <c r="HS228" s="265"/>
      <c r="HT228" s="265"/>
      <c r="HU228" s="265"/>
      <c r="HV228" s="265"/>
      <c r="HW228" s="265"/>
      <c r="HX228" s="265"/>
      <c r="HY228" s="265"/>
      <c r="HZ228" s="265"/>
      <c r="IA228" s="265"/>
      <c r="IB228" s="265"/>
      <c r="IC228" s="265"/>
      <c r="ID228" s="265"/>
      <c r="IE228" s="265"/>
      <c r="IF228" s="265"/>
      <c r="IG228" s="265"/>
      <c r="IH228" s="265"/>
      <c r="II228" s="265"/>
      <c r="IJ228" s="265"/>
      <c r="IK228" s="265"/>
      <c r="IL228" s="265"/>
      <c r="IM228" s="265"/>
      <c r="IN228" s="265"/>
      <c r="IO228" s="265"/>
      <c r="IP228" s="265"/>
      <c r="IQ228" s="265"/>
      <c r="IR228" s="265"/>
      <c r="IS228" s="265"/>
      <c r="IT228" s="265"/>
      <c r="IU228" s="265"/>
      <c r="IV228" s="265"/>
      <c r="IW228" s="265"/>
      <c r="IX228" s="265"/>
      <c r="IY228" s="265"/>
      <c r="IZ228" s="265"/>
      <c r="JA228" s="265"/>
      <c r="JB228" s="265"/>
      <c r="JC228" s="265"/>
      <c r="JD228" s="265"/>
      <c r="JE228" s="265"/>
      <c r="JF228" s="265"/>
      <c r="JG228" s="265"/>
      <c r="JH228" s="265"/>
      <c r="JI228" s="265"/>
      <c r="JJ228" s="265"/>
      <c r="JK228" s="265"/>
      <c r="JL228" s="265"/>
      <c r="JM228" s="265"/>
      <c r="JN228" s="265"/>
      <c r="JO228" s="265"/>
      <c r="JP228" s="265"/>
      <c r="JQ228" s="265"/>
      <c r="JR228" s="265"/>
      <c r="JS228" s="265"/>
      <c r="JT228" s="265"/>
      <c r="JU228" s="265"/>
      <c r="JV228" s="265"/>
      <c r="JW228" s="265"/>
      <c r="JX228" s="265"/>
      <c r="JY228" s="265"/>
      <c r="JZ228" s="265"/>
      <c r="KA228" s="265"/>
      <c r="KB228" s="265"/>
      <c r="KC228" s="265"/>
      <c r="KD228" s="265"/>
      <c r="KE228" s="265"/>
      <c r="KF228" s="265"/>
      <c r="KG228" s="265"/>
      <c r="KH228" s="265"/>
      <c r="KI228" s="265"/>
      <c r="KJ228" s="265"/>
      <c r="KK228" s="265"/>
      <c r="KL228" s="265"/>
      <c r="KM228" s="265"/>
      <c r="KN228" s="265"/>
      <c r="KO228" s="265"/>
      <c r="KP228" s="265"/>
      <c r="KQ228" s="265"/>
      <c r="KR228" s="265"/>
      <c r="KS228" s="265"/>
      <c r="KT228" s="265"/>
      <c r="KU228" s="265"/>
      <c r="KV228" s="265"/>
      <c r="KW228" s="265"/>
      <c r="KX228" s="265"/>
      <c r="KY228" s="265"/>
      <c r="KZ228" s="265"/>
      <c r="LA228" s="265"/>
      <c r="LB228" s="265"/>
      <c r="LC228" s="265"/>
      <c r="LD228" s="265"/>
      <c r="LE228" s="265"/>
      <c r="LF228" s="265"/>
      <c r="LG228" s="265"/>
      <c r="LH228" s="265"/>
      <c r="LI228" s="265"/>
      <c r="LJ228" s="265"/>
      <c r="LK228" s="265"/>
      <c r="LL228" s="265"/>
      <c r="LM228" s="265"/>
      <c r="LN228" s="265"/>
      <c r="LO228" s="265"/>
      <c r="LP228" s="265"/>
      <c r="LQ228" s="265"/>
      <c r="LR228" s="265"/>
      <c r="LS228" s="265"/>
      <c r="LT228" s="265"/>
      <c r="LU228" s="265"/>
      <c r="LV228" s="265"/>
      <c r="LW228" s="265"/>
      <c r="LX228" s="265"/>
      <c r="LY228" s="265"/>
      <c r="LZ228" s="265"/>
      <c r="MA228" s="265"/>
      <c r="MB228" s="265"/>
      <c r="MC228" s="265"/>
      <c r="MD228" s="265"/>
      <c r="ME228" s="265"/>
      <c r="MF228" s="265"/>
      <c r="MG228" s="265"/>
      <c r="MH228" s="265"/>
      <c r="MI228" s="265"/>
      <c r="MJ228" s="265"/>
      <c r="MK228" s="265"/>
      <c r="ML228" s="265"/>
      <c r="MM228" s="265"/>
      <c r="MN228" s="265"/>
      <c r="MO228" s="265"/>
      <c r="MP228" s="265"/>
      <c r="MQ228" s="265"/>
      <c r="MR228" s="265"/>
      <c r="MS228" s="265"/>
      <c r="MT228" s="265"/>
      <c r="MU228" s="265"/>
      <c r="MV228" s="265"/>
      <c r="MW228" s="265"/>
      <c r="MX228" s="265"/>
      <c r="MY228" s="265"/>
      <c r="MZ228" s="265"/>
      <c r="NA228" s="265"/>
      <c r="NB228" s="265"/>
      <c r="NC228" s="265"/>
      <c r="ND228" s="265"/>
      <c r="NE228" s="265"/>
      <c r="NF228" s="265"/>
      <c r="NG228" s="265"/>
      <c r="NH228" s="265"/>
      <c r="NI228" s="265"/>
      <c r="NJ228" s="265"/>
      <c r="NK228" s="265"/>
      <c r="NL228" s="265"/>
      <c r="NM228" s="265"/>
      <c r="NN228" s="265"/>
      <c r="NO228" s="265"/>
      <c r="NP228" s="265"/>
      <c r="NQ228" s="265"/>
      <c r="NR228" s="265"/>
      <c r="NS228" s="265"/>
      <c r="NT228" s="265"/>
      <c r="NU228" s="265"/>
      <c r="NV228" s="265"/>
      <c r="NW228" s="265"/>
      <c r="NX228" s="265"/>
      <c r="NY228" s="265"/>
      <c r="NZ228" s="265"/>
      <c r="OA228" s="265"/>
      <c r="OB228" s="265"/>
      <c r="OC228" s="265"/>
      <c r="OD228" s="265"/>
      <c r="OE228" s="265"/>
      <c r="OF228" s="265"/>
      <c r="OG228" s="265"/>
      <c r="OH228" s="265"/>
      <c r="OI228" s="265"/>
      <c r="OJ228" s="265"/>
      <c r="OK228" s="265"/>
      <c r="OL228" s="265"/>
      <c r="OM228" s="265"/>
      <c r="ON228" s="265"/>
      <c r="OO228" s="265"/>
      <c r="OP228" s="265"/>
      <c r="OQ228" s="265"/>
      <c r="OR228" s="265"/>
      <c r="OS228" s="265"/>
      <c r="OT228" s="265"/>
      <c r="OU228" s="265"/>
      <c r="OV228" s="265"/>
      <c r="OW228" s="265"/>
      <c r="OX228" s="265"/>
      <c r="OY228" s="265"/>
      <c r="OZ228" s="265"/>
      <c r="PA228" s="265"/>
      <c r="PB228" s="265"/>
      <c r="PC228" s="265"/>
      <c r="PD228" s="265"/>
      <c r="PE228" s="265"/>
      <c r="PF228" s="265"/>
      <c r="PG228" s="265"/>
      <c r="PH228" s="265"/>
      <c r="PI228" s="265"/>
      <c r="PJ228" s="265"/>
      <c r="PK228" s="265"/>
      <c r="PL228" s="265"/>
      <c r="PM228" s="265"/>
      <c r="PN228" s="265"/>
      <c r="PO228" s="265"/>
      <c r="PP228" s="265"/>
      <c r="PQ228" s="265"/>
      <c r="PR228" s="265"/>
      <c r="PS228" s="265"/>
      <c r="PT228" s="265"/>
      <c r="PU228" s="265"/>
      <c r="PV228" s="265"/>
      <c r="PW228" s="265"/>
      <c r="PX228" s="265"/>
      <c r="PY228" s="265"/>
      <c r="PZ228" s="265"/>
      <c r="QA228" s="265"/>
      <c r="QB228" s="265"/>
      <c r="QC228" s="265"/>
      <c r="QD228" s="265"/>
      <c r="QE228" s="265"/>
      <c r="QF228" s="265"/>
      <c r="QG228" s="265"/>
      <c r="QH228" s="265"/>
      <c r="QI228" s="265"/>
      <c r="QJ228" s="265"/>
      <c r="QK228" s="265"/>
      <c r="QL228" s="265"/>
      <c r="QM228" s="265"/>
      <c r="QN228" s="265"/>
      <c r="QO228" s="265"/>
      <c r="QP228" s="265"/>
      <c r="QQ228" s="265"/>
      <c r="QR228" s="265"/>
      <c r="QS228" s="265"/>
      <c r="QT228" s="265"/>
      <c r="QU228" s="265"/>
      <c r="QV228" s="265"/>
      <c r="QW228" s="265"/>
      <c r="QX228" s="265"/>
      <c r="QY228" s="265"/>
      <c r="QZ228" s="265"/>
      <c r="RA228" s="265"/>
      <c r="RB228" s="265"/>
      <c r="RC228" s="265"/>
      <c r="RD228" s="265"/>
      <c r="RE228" s="265"/>
      <c r="RF228" s="265"/>
      <c r="RG228" s="265"/>
      <c r="RH228" s="265"/>
      <c r="RI228" s="265"/>
      <c r="RJ228" s="265"/>
      <c r="RK228" s="265"/>
      <c r="RL228" s="265"/>
      <c r="RM228" s="265"/>
      <c r="RN228" s="265"/>
      <c r="RO228" s="265"/>
      <c r="RP228" s="265"/>
      <c r="RQ228" s="265"/>
      <c r="RR228" s="265"/>
      <c r="RS228" s="265"/>
      <c r="RT228" s="265"/>
      <c r="RU228" s="265"/>
      <c r="RV228" s="265"/>
      <c r="RW228" s="265"/>
      <c r="RX228" s="265"/>
      <c r="RY228" s="265"/>
      <c r="RZ228" s="265"/>
      <c r="SA228" s="265"/>
      <c r="SB228" s="265"/>
      <c r="SC228" s="265"/>
      <c r="SD228" s="265"/>
      <c r="SE228" s="265"/>
      <c r="SF228" s="265"/>
      <c r="SG228" s="265"/>
      <c r="SH228" s="265"/>
      <c r="SI228" s="265"/>
      <c r="SJ228" s="265"/>
      <c r="SK228" s="265"/>
      <c r="SL228" s="265"/>
      <c r="SM228" s="265"/>
      <c r="SN228" s="265"/>
      <c r="SO228" s="265"/>
      <c r="SP228" s="265"/>
      <c r="SQ228" s="265"/>
      <c r="SR228" s="265"/>
      <c r="SS228" s="265"/>
      <c r="ST228" s="265"/>
      <c r="SU228" s="265"/>
      <c r="SV228" s="265"/>
      <c r="SW228" s="265"/>
      <c r="SX228" s="265"/>
      <c r="SY228" s="265"/>
      <c r="SZ228" s="265"/>
      <c r="TA228" s="265"/>
      <c r="TB228" s="265"/>
      <c r="TC228" s="265"/>
      <c r="TD228" s="265"/>
      <c r="TE228" s="265"/>
      <c r="TF228" s="265"/>
      <c r="TG228" s="265"/>
      <c r="TH228" s="265"/>
      <c r="TI228" s="265"/>
      <c r="TJ228" s="265"/>
      <c r="TK228" s="265"/>
      <c r="TL228" s="265"/>
      <c r="TM228" s="265"/>
      <c r="TN228" s="265"/>
      <c r="TO228" s="265"/>
      <c r="TP228" s="265"/>
      <c r="TQ228" s="265"/>
      <c r="TR228" s="265"/>
      <c r="TS228" s="265"/>
      <c r="TT228" s="265"/>
      <c r="TU228" s="265"/>
      <c r="TV228" s="265"/>
      <c r="TW228" s="265"/>
      <c r="TX228" s="265"/>
      <c r="TY228" s="265"/>
      <c r="TZ228" s="265"/>
      <c r="UA228" s="265"/>
      <c r="UB228" s="265"/>
      <c r="UC228" s="265"/>
      <c r="UD228" s="265"/>
      <c r="UE228" s="265"/>
      <c r="UF228" s="265"/>
      <c r="UG228" s="265"/>
      <c r="UH228" s="265"/>
      <c r="UI228" s="265"/>
      <c r="UJ228" s="265"/>
      <c r="UK228" s="265"/>
      <c r="UL228" s="265"/>
      <c r="UM228" s="265"/>
      <c r="UN228" s="265"/>
      <c r="UO228" s="265"/>
      <c r="UP228" s="265"/>
      <c r="UQ228" s="265"/>
      <c r="UR228" s="265"/>
      <c r="US228" s="265"/>
      <c r="UT228" s="265"/>
      <c r="UU228" s="265"/>
      <c r="UV228" s="265"/>
      <c r="UW228" s="265"/>
      <c r="UX228" s="265"/>
      <c r="UY228" s="265"/>
      <c r="UZ228" s="265"/>
      <c r="VA228" s="265"/>
      <c r="VB228" s="265"/>
      <c r="VC228" s="265"/>
      <c r="VD228" s="265"/>
      <c r="VE228" s="265"/>
      <c r="VF228" s="265"/>
      <c r="VG228" s="265"/>
      <c r="VH228" s="265"/>
      <c r="VI228" s="265"/>
      <c r="VJ228" s="265"/>
      <c r="VK228" s="265"/>
      <c r="VL228" s="265"/>
      <c r="VM228" s="265"/>
      <c r="VN228" s="265"/>
      <c r="VO228" s="265"/>
      <c r="VP228" s="265"/>
      <c r="VQ228" s="265"/>
      <c r="VR228" s="265"/>
      <c r="VS228" s="265"/>
      <c r="VT228" s="265"/>
      <c r="VU228" s="265"/>
      <c r="VV228" s="265"/>
      <c r="VW228" s="265"/>
      <c r="VX228" s="265"/>
      <c r="VY228" s="265"/>
      <c r="VZ228" s="265"/>
      <c r="WA228" s="265"/>
      <c r="WB228" s="265"/>
      <c r="WC228" s="265"/>
      <c r="WD228" s="265"/>
      <c r="WE228" s="265"/>
      <c r="WF228" s="265"/>
      <c r="WG228" s="265"/>
      <c r="WH228" s="265"/>
      <c r="WI228" s="265"/>
      <c r="WJ228" s="265"/>
      <c r="WK228" s="265"/>
      <c r="WL228" s="265"/>
      <c r="WM228" s="265"/>
      <c r="WN228" s="265"/>
      <c r="WO228" s="265"/>
      <c r="WP228" s="265"/>
      <c r="WQ228" s="265"/>
      <c r="WR228" s="265"/>
      <c r="WS228" s="265"/>
      <c r="WT228" s="265"/>
      <c r="WU228" s="265"/>
      <c r="WV228" s="265"/>
      <c r="WW228" s="265"/>
      <c r="WX228" s="265"/>
      <c r="WY228" s="265"/>
      <c r="WZ228" s="265"/>
      <c r="XA228" s="265"/>
      <c r="XB228" s="265"/>
      <c r="XC228" s="265"/>
      <c r="XD228" s="265"/>
      <c r="XE228" s="265"/>
      <c r="XF228" s="265"/>
      <c r="XG228" s="265"/>
      <c r="XH228" s="265"/>
      <c r="XI228" s="265"/>
      <c r="XJ228" s="265"/>
      <c r="XK228" s="265"/>
      <c r="XL228" s="265"/>
      <c r="XM228" s="265"/>
      <c r="XN228" s="265"/>
      <c r="XO228" s="265"/>
      <c r="XP228" s="265"/>
      <c r="XQ228" s="265"/>
      <c r="XR228" s="265"/>
      <c r="XS228" s="265"/>
      <c r="XT228" s="265"/>
      <c r="XU228" s="265"/>
      <c r="XV228" s="265"/>
      <c r="XW228" s="265"/>
      <c r="XX228" s="265"/>
      <c r="XY228" s="265"/>
      <c r="XZ228" s="265"/>
      <c r="YA228" s="265"/>
      <c r="YB228" s="265"/>
      <c r="YC228" s="265"/>
      <c r="YD228" s="265"/>
      <c r="YE228" s="265"/>
      <c r="YF228" s="265"/>
      <c r="YG228" s="265"/>
      <c r="YH228" s="265"/>
      <c r="YI228" s="265"/>
      <c r="YJ228" s="265"/>
      <c r="YK228" s="265"/>
      <c r="YL228" s="265"/>
      <c r="YM228" s="265"/>
      <c r="YN228" s="265"/>
      <c r="YO228" s="265"/>
      <c r="YP228" s="265"/>
      <c r="YQ228" s="265"/>
      <c r="YR228" s="265"/>
      <c r="YS228" s="265"/>
      <c r="YT228" s="265"/>
      <c r="YU228" s="265"/>
      <c r="YV228" s="265"/>
      <c r="YW228" s="265"/>
      <c r="YX228" s="265"/>
      <c r="YY228" s="265"/>
      <c r="YZ228" s="265"/>
      <c r="ZA228" s="265"/>
      <c r="ZB228" s="265"/>
      <c r="ZC228" s="265"/>
      <c r="ZD228" s="265"/>
      <c r="ZE228" s="265"/>
      <c r="ZF228" s="265"/>
      <c r="ZG228" s="265"/>
      <c r="ZH228" s="265"/>
      <c r="ZI228" s="265"/>
      <c r="ZJ228" s="265"/>
      <c r="ZK228" s="265"/>
      <c r="ZL228" s="265"/>
      <c r="ZM228" s="265"/>
      <c r="ZN228" s="265"/>
      <c r="ZO228" s="265"/>
      <c r="ZP228" s="265"/>
      <c r="ZQ228" s="265"/>
      <c r="ZR228" s="265"/>
      <c r="ZS228" s="265"/>
      <c r="ZT228" s="265"/>
      <c r="ZU228" s="265"/>
      <c r="ZV228" s="265"/>
      <c r="ZW228" s="265"/>
      <c r="ZX228" s="265"/>
      <c r="ZY228" s="265"/>
      <c r="ZZ228" s="265"/>
      <c r="AAA228" s="265"/>
      <c r="AAB228" s="265"/>
      <c r="AAC228" s="265"/>
      <c r="AAD228" s="265"/>
      <c r="AAE228" s="265"/>
      <c r="AAF228" s="265"/>
      <c r="AAG228" s="265"/>
      <c r="AAH228" s="265"/>
      <c r="AAI228" s="265"/>
      <c r="AAJ228" s="265"/>
      <c r="AAK228" s="265"/>
      <c r="AAL228" s="265"/>
      <c r="AAM228" s="265"/>
      <c r="AAN228" s="265"/>
      <c r="AAO228" s="265"/>
      <c r="AAP228" s="265"/>
      <c r="AAQ228" s="265"/>
      <c r="AAR228" s="265"/>
      <c r="AAS228" s="265"/>
      <c r="AAT228" s="265"/>
      <c r="AAU228" s="265"/>
      <c r="AAV228" s="265"/>
      <c r="AAW228" s="265"/>
      <c r="AAX228" s="265"/>
      <c r="AAY228" s="265"/>
      <c r="AAZ228" s="265"/>
      <c r="ABA228" s="265"/>
      <c r="ABB228" s="265"/>
      <c r="ABC228" s="265"/>
      <c r="ABD228" s="265"/>
      <c r="ABE228" s="265"/>
      <c r="ABF228" s="265"/>
      <c r="ABG228" s="265"/>
      <c r="ABH228" s="265"/>
      <c r="ABI228" s="265"/>
      <c r="ABJ228" s="265"/>
      <c r="ABK228" s="265"/>
      <c r="ABL228" s="265"/>
      <c r="ABM228" s="265"/>
      <c r="ABN228" s="265"/>
      <c r="ABO228" s="265"/>
      <c r="ABP228" s="265"/>
      <c r="ABQ228" s="265"/>
      <c r="ABR228" s="265"/>
      <c r="ABS228" s="265"/>
      <c r="ABT228" s="265"/>
      <c r="ABU228" s="265"/>
      <c r="ABV228" s="265"/>
      <c r="ABW228" s="265"/>
      <c r="ABX228" s="265"/>
      <c r="ABY228" s="265"/>
      <c r="ABZ228" s="265"/>
      <c r="ACA228" s="265"/>
      <c r="ACB228" s="265"/>
      <c r="ACC228" s="265"/>
      <c r="ACD228" s="265"/>
      <c r="ACE228" s="265"/>
      <c r="ACF228" s="265"/>
      <c r="ACG228" s="265"/>
      <c r="ACH228" s="265"/>
      <c r="ACI228" s="265"/>
      <c r="ACJ228" s="265"/>
      <c r="ACK228" s="265"/>
      <c r="ACL228" s="265"/>
      <c r="ACM228" s="265"/>
      <c r="ACN228" s="265"/>
      <c r="ACO228" s="265"/>
      <c r="ACP228" s="265"/>
      <c r="ACQ228" s="265"/>
      <c r="ACR228" s="265"/>
      <c r="ACS228" s="265"/>
      <c r="ACT228" s="265"/>
      <c r="ACU228" s="265"/>
      <c r="ACV228" s="265"/>
      <c r="ACW228" s="265"/>
      <c r="ACX228" s="265"/>
      <c r="ACY228" s="265"/>
      <c r="ACZ228" s="265"/>
      <c r="ADA228" s="265"/>
      <c r="ADB228" s="265"/>
      <c r="ADC228" s="265"/>
      <c r="ADD228" s="265"/>
      <c r="ADE228" s="265"/>
      <c r="ADF228" s="265"/>
      <c r="ADG228" s="265"/>
      <c r="ADH228" s="265"/>
      <c r="ADI228" s="265"/>
      <c r="ADJ228" s="265"/>
      <c r="ADK228" s="265"/>
      <c r="ADL228" s="265"/>
      <c r="ADM228" s="265"/>
      <c r="ADN228" s="265"/>
      <c r="ADO228" s="265"/>
      <c r="ADP228" s="265"/>
      <c r="ADQ228" s="265"/>
      <c r="ADR228" s="265"/>
      <c r="ADS228" s="265"/>
      <c r="ADT228" s="265"/>
      <c r="ADU228" s="265"/>
      <c r="ADV228" s="265"/>
      <c r="ADW228" s="265"/>
      <c r="ADX228" s="265"/>
      <c r="ADY228" s="265"/>
      <c r="ADZ228" s="265"/>
      <c r="AEA228" s="265"/>
      <c r="AEB228" s="265"/>
      <c r="AEC228" s="265"/>
      <c r="AED228" s="265"/>
      <c r="AEE228" s="265"/>
      <c r="AEF228" s="265"/>
      <c r="AEG228" s="265"/>
      <c r="AEH228" s="265"/>
      <c r="AEI228" s="265"/>
      <c r="AEJ228" s="265"/>
      <c r="AEK228" s="265"/>
      <c r="AEL228" s="265"/>
      <c r="AEM228" s="265"/>
      <c r="AEN228" s="265"/>
      <c r="AEO228" s="265"/>
      <c r="AEP228" s="265"/>
      <c r="AEQ228" s="265"/>
      <c r="AER228" s="265"/>
      <c r="AES228" s="265"/>
      <c r="AET228" s="265"/>
      <c r="AEU228" s="265"/>
      <c r="AEV228" s="265"/>
      <c r="AEW228" s="265"/>
      <c r="AEX228" s="265"/>
      <c r="AEY228" s="265"/>
      <c r="AEZ228" s="265"/>
      <c r="AFA228" s="265"/>
      <c r="AFB228" s="265"/>
      <c r="AFC228" s="265"/>
      <c r="AFD228" s="265"/>
      <c r="AFE228" s="265"/>
      <c r="AFF228" s="265"/>
      <c r="AFG228" s="265"/>
      <c r="AFH228" s="265"/>
      <c r="AFI228" s="265"/>
      <c r="AFJ228" s="265"/>
      <c r="AFK228" s="265"/>
      <c r="AFL228" s="265"/>
      <c r="AFM228" s="265"/>
      <c r="AFN228" s="265"/>
      <c r="AFO228" s="265"/>
      <c r="AFP228" s="265"/>
      <c r="AFQ228" s="265"/>
      <c r="AFR228" s="265"/>
      <c r="AFS228" s="265"/>
      <c r="AFT228" s="265"/>
      <c r="AFU228" s="265"/>
      <c r="AFV228" s="265"/>
      <c r="AFW228" s="265"/>
      <c r="AFX228" s="265"/>
      <c r="AFY228" s="265"/>
      <c r="AFZ228" s="265"/>
      <c r="AGA228" s="265"/>
      <c r="AGB228" s="265"/>
      <c r="AGC228" s="265"/>
      <c r="AGD228" s="265"/>
      <c r="AGE228" s="265"/>
      <c r="AGF228" s="265"/>
      <c r="AGG228" s="265"/>
      <c r="AGH228" s="265"/>
      <c r="AGI228" s="265"/>
      <c r="AGJ228" s="265"/>
      <c r="AGK228" s="265"/>
      <c r="AGL228" s="265"/>
      <c r="AGM228" s="265"/>
      <c r="AGN228" s="265"/>
      <c r="AGO228" s="265"/>
      <c r="AGP228" s="265"/>
      <c r="AGQ228" s="265"/>
      <c r="AGR228" s="265"/>
      <c r="AGS228" s="265"/>
      <c r="AGT228" s="265"/>
      <c r="AGU228" s="265"/>
      <c r="AGV228" s="265"/>
      <c r="AGW228" s="265"/>
      <c r="AGX228" s="265"/>
      <c r="AGY228" s="265"/>
      <c r="AGZ228" s="265"/>
      <c r="AHA228" s="265"/>
      <c r="AHB228" s="265"/>
      <c r="AHC228" s="265"/>
      <c r="AHD228" s="265"/>
      <c r="AHE228" s="265"/>
      <c r="AHF228" s="265"/>
      <c r="AHG228" s="265"/>
      <c r="AHH228" s="265"/>
      <c r="AHI228" s="265"/>
      <c r="AHJ228" s="265"/>
      <c r="AHK228" s="265"/>
      <c r="AHL228" s="265"/>
      <c r="AHM228" s="265"/>
      <c r="AHN228" s="265"/>
      <c r="AHO228" s="265"/>
      <c r="AHP228" s="265"/>
      <c r="AHQ228" s="265"/>
      <c r="AHR228" s="265"/>
      <c r="AHS228" s="265"/>
      <c r="AHT228" s="265"/>
      <c r="AHU228" s="265"/>
      <c r="AHV228" s="265"/>
      <c r="AHW228" s="265"/>
      <c r="AHX228" s="265"/>
      <c r="AHY228" s="265"/>
      <c r="AHZ228" s="265"/>
      <c r="AIA228" s="265"/>
      <c r="AIB228" s="265"/>
      <c r="AIC228" s="265"/>
      <c r="AID228" s="265"/>
      <c r="AIE228" s="265"/>
      <c r="AIF228" s="265"/>
      <c r="AIG228" s="265"/>
      <c r="AIH228" s="265"/>
      <c r="AII228" s="265"/>
      <c r="AIJ228" s="265"/>
      <c r="AIK228" s="265"/>
      <c r="AIL228" s="265"/>
      <c r="AIM228" s="265"/>
      <c r="AIN228" s="265"/>
      <c r="AIO228" s="265"/>
      <c r="AIP228" s="265"/>
      <c r="AIQ228" s="265"/>
      <c r="AIR228" s="265"/>
      <c r="AIS228" s="265"/>
      <c r="AIT228" s="265"/>
      <c r="AIU228" s="265"/>
      <c r="AIV228" s="265"/>
      <c r="AIW228" s="265"/>
      <c r="AIX228" s="265"/>
      <c r="AIY228" s="265"/>
      <c r="AIZ228" s="265"/>
      <c r="AJA228" s="265"/>
      <c r="AJB228" s="265"/>
      <c r="AJC228" s="265"/>
      <c r="AJD228" s="265"/>
      <c r="AJE228" s="265"/>
      <c r="AJF228" s="265"/>
      <c r="AJG228" s="265"/>
      <c r="AJH228" s="265"/>
      <c r="AJI228" s="265"/>
      <c r="AJJ228" s="265"/>
      <c r="AJK228" s="265"/>
      <c r="AJL228" s="265"/>
      <c r="AJM228" s="265"/>
      <c r="AJN228" s="265"/>
      <c r="AJO228" s="265"/>
      <c r="AJP228" s="265"/>
      <c r="AJQ228" s="265"/>
      <c r="AJR228" s="265"/>
      <c r="AJS228" s="265"/>
      <c r="AJT228" s="265"/>
      <c r="AJU228" s="265"/>
      <c r="AJV228" s="265"/>
      <c r="AJW228" s="265"/>
      <c r="AJX228" s="265"/>
      <c r="AJY228" s="265"/>
      <c r="AJZ228" s="265"/>
      <c r="AKA228" s="265"/>
      <c r="AKB228" s="265"/>
      <c r="AKC228" s="265"/>
      <c r="AKD228" s="265"/>
      <c r="AKE228" s="265"/>
      <c r="AKF228" s="265"/>
      <c r="AKG228" s="265"/>
      <c r="AKH228" s="265"/>
      <c r="AKI228" s="265"/>
      <c r="AKJ228" s="265"/>
      <c r="AKK228" s="265"/>
      <c r="AKL228" s="265"/>
      <c r="AKM228" s="265"/>
      <c r="AKN228" s="265"/>
      <c r="AKO228" s="265"/>
      <c r="AKP228" s="265"/>
      <c r="AKQ228" s="265"/>
      <c r="AKR228" s="265"/>
      <c r="AKS228" s="265"/>
      <c r="AKT228" s="265"/>
      <c r="AKU228" s="265"/>
      <c r="AKV228" s="265"/>
      <c r="AKW228" s="265"/>
      <c r="AKX228" s="265"/>
      <c r="AKY228" s="265"/>
      <c r="AKZ228" s="265"/>
      <c r="ALA228" s="265"/>
      <c r="ALB228" s="265"/>
      <c r="ALC228" s="265"/>
      <c r="ALD228" s="265"/>
      <c r="ALE228" s="265"/>
      <c r="ALF228" s="265"/>
      <c r="ALG228" s="265"/>
      <c r="ALH228" s="265"/>
      <c r="ALI228" s="265"/>
      <c r="ALJ228" s="265"/>
      <c r="ALK228" s="265"/>
      <c r="ALL228" s="265"/>
      <c r="ALM228" s="265"/>
      <c r="ALN228" s="265"/>
      <c r="ALO228" s="265"/>
      <c r="ALP228" s="265"/>
      <c r="ALQ228" s="265"/>
      <c r="ALR228" s="265"/>
      <c r="ALS228" s="265"/>
      <c r="ALT228" s="265"/>
      <c r="ALU228" s="265"/>
      <c r="ALV228" s="265"/>
      <c r="ALW228" s="265"/>
      <c r="ALX228" s="265"/>
      <c r="ALY228" s="265"/>
      <c r="ALZ228" s="265"/>
      <c r="AMA228" s="265"/>
      <c r="AMB228" s="265"/>
      <c r="AMC228" s="265"/>
      <c r="AMD228" s="265"/>
      <c r="AME228" s="265"/>
      <c r="AMF228" s="265"/>
      <c r="AMG228" s="265"/>
      <c r="AMH228" s="265"/>
      <c r="AMI228" s="265"/>
      <c r="AMJ228" s="265"/>
      <c r="AMK228" s="265"/>
      <c r="AML228" s="265"/>
      <c r="AMM228" s="265"/>
      <c r="AMN228" s="265"/>
      <c r="AMO228" s="265"/>
      <c r="AMP228" s="265"/>
      <c r="AMQ228" s="265"/>
      <c r="AMR228" s="265"/>
      <c r="AMS228" s="265"/>
      <c r="AMT228" s="265"/>
      <c r="AMU228" s="265"/>
      <c r="AMV228" s="265"/>
      <c r="AMW228" s="265"/>
      <c r="AMX228" s="265"/>
      <c r="AMY228" s="265"/>
      <c r="AMZ228" s="265"/>
      <c r="ANA228" s="265"/>
      <c r="ANB228" s="265"/>
      <c r="ANC228" s="265"/>
      <c r="AND228" s="265"/>
      <c r="ANE228" s="265"/>
      <c r="ANF228" s="265"/>
      <c r="ANG228" s="265"/>
      <c r="ANH228" s="265"/>
      <c r="ANI228" s="265"/>
      <c r="ANJ228" s="265"/>
      <c r="ANK228" s="265"/>
      <c r="ANL228" s="265"/>
      <c r="ANM228" s="265"/>
      <c r="ANN228" s="265"/>
      <c r="ANO228" s="265"/>
      <c r="ANP228" s="265"/>
      <c r="ANQ228" s="265"/>
      <c r="ANR228" s="265"/>
      <c r="ANS228" s="265"/>
      <c r="ANT228" s="265"/>
      <c r="ANU228" s="265"/>
      <c r="ANV228" s="265"/>
      <c r="ANW228" s="265"/>
      <c r="ANX228" s="265"/>
      <c r="ANY228" s="265"/>
      <c r="ANZ228" s="265"/>
      <c r="AOA228" s="265"/>
      <c r="AOB228" s="265"/>
      <c r="AOC228" s="265"/>
      <c r="AOD228" s="265"/>
      <c r="AOE228" s="265"/>
      <c r="AOF228" s="265"/>
      <c r="AOG228" s="265"/>
      <c r="AOH228" s="265"/>
      <c r="AOI228" s="265"/>
      <c r="AOJ228" s="265"/>
      <c r="AOK228" s="265"/>
      <c r="AOL228" s="265"/>
      <c r="AOM228" s="265"/>
      <c r="AON228" s="265"/>
      <c r="AOO228" s="265"/>
      <c r="AOP228" s="265"/>
      <c r="AOQ228" s="265"/>
      <c r="AOR228" s="265"/>
      <c r="AOS228" s="265"/>
      <c r="AOT228" s="265"/>
      <c r="AOU228" s="265"/>
      <c r="AOV228" s="265"/>
      <c r="AOW228" s="265"/>
      <c r="AOX228" s="265"/>
      <c r="AOY228" s="265"/>
      <c r="AOZ228" s="265"/>
      <c r="APA228" s="265"/>
      <c r="APB228" s="265"/>
      <c r="APC228" s="265"/>
      <c r="APD228" s="265"/>
      <c r="APE228" s="265"/>
      <c r="APF228" s="265"/>
      <c r="APG228" s="265"/>
      <c r="APH228" s="265"/>
      <c r="API228" s="265"/>
      <c r="APJ228" s="265"/>
      <c r="APK228" s="265"/>
      <c r="APL228" s="265"/>
      <c r="APM228" s="265"/>
      <c r="APN228" s="265"/>
      <c r="APO228" s="265"/>
      <c r="APP228" s="265"/>
      <c r="APQ228" s="265"/>
      <c r="APR228" s="265"/>
      <c r="APS228" s="265"/>
      <c r="APT228" s="265"/>
      <c r="APU228" s="265"/>
      <c r="APV228" s="265"/>
      <c r="APW228" s="265"/>
      <c r="APX228" s="265"/>
      <c r="APY228" s="265"/>
      <c r="APZ228" s="265"/>
      <c r="AQA228" s="265"/>
      <c r="AQB228" s="265"/>
      <c r="AQC228" s="265"/>
      <c r="AQD228" s="265"/>
      <c r="AQE228" s="265"/>
      <c r="AQF228" s="265"/>
      <c r="AQG228" s="265"/>
      <c r="AQH228" s="265"/>
      <c r="AQI228" s="265"/>
      <c r="AQJ228" s="265"/>
      <c r="AQK228" s="265"/>
      <c r="AQL228" s="265"/>
      <c r="AQM228" s="265"/>
      <c r="AQN228" s="265"/>
      <c r="AQO228" s="265"/>
      <c r="AQP228" s="265"/>
      <c r="AQQ228" s="265"/>
      <c r="AQR228" s="265"/>
      <c r="AQS228" s="265"/>
      <c r="AQT228" s="265"/>
      <c r="AQU228" s="265"/>
      <c r="AQV228" s="265"/>
      <c r="AQW228" s="265"/>
      <c r="AQX228" s="265"/>
      <c r="AQY228" s="265"/>
      <c r="AQZ228" s="265"/>
      <c r="ARA228" s="265"/>
      <c r="ARB228" s="265"/>
      <c r="ARC228" s="265"/>
      <c r="ARD228" s="265"/>
      <c r="ARE228" s="265"/>
      <c r="ARF228" s="265"/>
      <c r="ARG228" s="265"/>
      <c r="ARH228" s="265"/>
      <c r="ARI228" s="265"/>
      <c r="ARJ228" s="265"/>
      <c r="ARK228" s="265"/>
      <c r="ARL228" s="265"/>
      <c r="ARM228" s="265"/>
      <c r="ARN228" s="265"/>
      <c r="ARO228" s="265"/>
      <c r="ARP228" s="265"/>
      <c r="ARQ228" s="265"/>
      <c r="ARR228" s="265"/>
      <c r="ARS228" s="265"/>
      <c r="ART228" s="265"/>
      <c r="ARU228" s="265"/>
      <c r="ARV228" s="265"/>
      <c r="ARW228" s="265"/>
      <c r="ARX228" s="265"/>
      <c r="ARY228" s="265"/>
      <c r="ARZ228" s="265"/>
      <c r="ASA228" s="265"/>
      <c r="ASB228" s="265"/>
      <c r="ASC228" s="265"/>
      <c r="ASD228" s="265"/>
      <c r="ASE228" s="265"/>
      <c r="ASF228" s="265"/>
      <c r="ASG228" s="265"/>
      <c r="ASH228" s="265"/>
      <c r="ASI228" s="265"/>
      <c r="ASJ228" s="265"/>
      <c r="ASK228" s="265"/>
      <c r="ASL228" s="265"/>
      <c r="ASM228" s="265"/>
      <c r="ASN228" s="265"/>
      <c r="ASO228" s="265"/>
      <c r="ASP228" s="265"/>
      <c r="ASQ228" s="265"/>
      <c r="ASR228" s="265"/>
      <c r="ASS228" s="265"/>
      <c r="AST228" s="265"/>
      <c r="ASU228" s="265"/>
      <c r="ASV228" s="265"/>
      <c r="ASW228" s="265"/>
      <c r="ASX228" s="265"/>
      <c r="ASY228" s="265"/>
      <c r="ASZ228" s="265"/>
      <c r="ATA228" s="265"/>
      <c r="ATB228" s="265"/>
      <c r="ATC228" s="265"/>
      <c r="ATD228" s="265"/>
      <c r="ATE228" s="265"/>
      <c r="ATF228" s="265"/>
      <c r="ATG228" s="265"/>
      <c r="ATH228" s="265"/>
      <c r="ATI228" s="265"/>
      <c r="ATJ228" s="265"/>
      <c r="ATK228" s="265"/>
      <c r="ATL228" s="265"/>
      <c r="ATM228" s="265"/>
      <c r="ATN228" s="265"/>
      <c r="ATO228" s="265"/>
      <c r="ATP228" s="265"/>
      <c r="ATQ228" s="265"/>
      <c r="ATR228" s="265"/>
      <c r="ATS228" s="265"/>
      <c r="ATT228" s="265"/>
      <c r="ATU228" s="265"/>
      <c r="ATV228" s="265"/>
      <c r="ATW228" s="265"/>
      <c r="ATX228" s="265"/>
      <c r="ATY228" s="265"/>
      <c r="ATZ228" s="265"/>
      <c r="AUA228" s="265"/>
      <c r="AUB228" s="265"/>
      <c r="AUC228" s="265"/>
      <c r="AUD228" s="265"/>
      <c r="AUE228" s="265"/>
      <c r="AUF228" s="265"/>
      <c r="AUG228" s="265"/>
      <c r="AUH228" s="265"/>
      <c r="AUI228" s="265"/>
      <c r="AUJ228" s="265"/>
      <c r="AUK228" s="265"/>
      <c r="AUL228" s="265"/>
      <c r="AUM228" s="265"/>
      <c r="AUN228" s="265"/>
      <c r="AUO228" s="265"/>
      <c r="AUP228" s="265"/>
      <c r="AUQ228" s="265"/>
      <c r="AUR228" s="265"/>
      <c r="AUS228" s="265"/>
      <c r="AUT228" s="265"/>
      <c r="AUU228" s="265"/>
      <c r="AUV228" s="265"/>
      <c r="AUW228" s="265"/>
      <c r="AUX228" s="265"/>
      <c r="AUY228" s="265"/>
      <c r="AUZ228" s="265"/>
      <c r="AVA228" s="265"/>
      <c r="AVB228" s="265"/>
      <c r="AVC228" s="265"/>
      <c r="AVD228" s="265"/>
      <c r="AVE228" s="265"/>
      <c r="AVF228" s="265"/>
      <c r="AVG228" s="265"/>
      <c r="AVH228" s="265"/>
      <c r="AVI228" s="265"/>
      <c r="AVJ228" s="265"/>
      <c r="AVK228" s="265"/>
      <c r="AVL228" s="265"/>
      <c r="AVM228" s="265"/>
      <c r="AVN228" s="265"/>
      <c r="AVO228" s="265"/>
      <c r="AVP228" s="265"/>
      <c r="AVQ228" s="265"/>
      <c r="AVR228" s="265"/>
      <c r="AVS228" s="265"/>
      <c r="AVT228" s="265"/>
      <c r="AVU228" s="265"/>
      <c r="AVV228" s="265"/>
      <c r="AVW228" s="265"/>
      <c r="AVX228" s="265"/>
      <c r="AVY228" s="265"/>
      <c r="AVZ228" s="265"/>
      <c r="AWA228" s="265"/>
      <c r="AWB228" s="265"/>
      <c r="AWC228" s="265"/>
      <c r="AWD228" s="265"/>
      <c r="AWE228" s="265"/>
      <c r="AWF228" s="265"/>
      <c r="AWG228" s="265"/>
      <c r="AWH228" s="265"/>
      <c r="AWI228" s="265"/>
      <c r="AWJ228" s="265"/>
      <c r="AWK228" s="265"/>
      <c r="AWL228" s="265"/>
      <c r="AWM228" s="265"/>
      <c r="AWN228" s="265"/>
      <c r="AWO228" s="265"/>
      <c r="AWP228" s="265"/>
      <c r="AWQ228" s="265"/>
      <c r="AWR228" s="265"/>
      <c r="AWS228" s="265"/>
      <c r="AWT228" s="265"/>
      <c r="AWU228" s="265"/>
      <c r="AWV228" s="265"/>
      <c r="AWW228" s="265"/>
      <c r="AWX228" s="265"/>
      <c r="AWY228" s="265"/>
      <c r="AWZ228" s="265"/>
      <c r="AXA228" s="265"/>
      <c r="AXB228" s="265"/>
      <c r="AXC228" s="265"/>
      <c r="AXD228" s="265"/>
      <c r="AXE228" s="265"/>
      <c r="AXF228" s="265"/>
      <c r="AXG228" s="265"/>
      <c r="AXH228" s="265"/>
      <c r="AXI228" s="265"/>
      <c r="AXJ228" s="265"/>
      <c r="AXK228" s="265"/>
      <c r="AXL228" s="265"/>
      <c r="AXM228" s="265"/>
      <c r="AXN228" s="265"/>
      <c r="AXO228" s="265"/>
      <c r="AXP228" s="265"/>
      <c r="AXQ228" s="265"/>
      <c r="AXR228" s="265"/>
      <c r="AXS228" s="265"/>
      <c r="AXT228" s="265"/>
      <c r="AXU228" s="265"/>
      <c r="AXV228" s="265"/>
      <c r="AXW228" s="265"/>
      <c r="AXX228" s="265"/>
      <c r="AXY228" s="265"/>
      <c r="AXZ228" s="265"/>
      <c r="AYA228" s="265"/>
      <c r="AYB228" s="265"/>
      <c r="AYC228" s="265"/>
      <c r="AYD228" s="265"/>
      <c r="AYE228" s="265"/>
      <c r="AYF228" s="265"/>
      <c r="AYG228" s="265"/>
      <c r="AYH228" s="265"/>
      <c r="AYI228" s="265"/>
      <c r="AYJ228" s="265"/>
      <c r="AYK228" s="265"/>
      <c r="AYL228" s="265"/>
      <c r="AYM228" s="265"/>
      <c r="AYN228" s="265"/>
      <c r="AYO228" s="265"/>
      <c r="AYP228" s="265"/>
      <c r="AYQ228" s="265"/>
      <c r="AYR228" s="265"/>
      <c r="AYS228" s="265"/>
      <c r="AYT228" s="265"/>
      <c r="AYU228" s="265"/>
      <c r="AYV228" s="265"/>
      <c r="AYW228" s="265"/>
      <c r="AYX228" s="265"/>
      <c r="AYY228" s="265"/>
      <c r="AYZ228" s="265"/>
      <c r="AZA228" s="265"/>
      <c r="AZB228" s="265"/>
      <c r="AZC228" s="265"/>
      <c r="AZD228" s="265"/>
      <c r="AZE228" s="265"/>
      <c r="AZF228" s="265"/>
      <c r="AZG228" s="265"/>
      <c r="AZH228" s="265"/>
      <c r="AZI228" s="265"/>
      <c r="AZJ228" s="265"/>
      <c r="AZK228" s="265"/>
      <c r="AZL228" s="265"/>
      <c r="AZM228" s="265"/>
      <c r="AZN228" s="265"/>
      <c r="AZO228" s="265"/>
      <c r="AZP228" s="265"/>
      <c r="AZQ228" s="265"/>
      <c r="AZR228" s="265"/>
      <c r="AZS228" s="265"/>
      <c r="AZT228" s="265"/>
      <c r="AZU228" s="265"/>
      <c r="AZV228" s="265"/>
      <c r="AZW228" s="265"/>
      <c r="AZX228" s="265"/>
      <c r="AZY228" s="265"/>
      <c r="AZZ228" s="265"/>
      <c r="BAA228" s="265"/>
      <c r="BAB228" s="265"/>
      <c r="BAC228" s="265"/>
      <c r="BAD228" s="265"/>
      <c r="BAE228" s="265"/>
      <c r="BAF228" s="265"/>
      <c r="BAG228" s="265"/>
      <c r="BAH228" s="265"/>
      <c r="BAI228" s="265"/>
      <c r="BAJ228" s="265"/>
      <c r="BAK228" s="265"/>
      <c r="BAL228" s="265"/>
      <c r="BAM228" s="265"/>
      <c r="BAN228" s="265"/>
      <c r="BAO228" s="265"/>
      <c r="BAP228" s="265"/>
      <c r="BAQ228" s="265"/>
      <c r="BAR228" s="265"/>
      <c r="BAS228" s="265"/>
      <c r="BAT228" s="265"/>
      <c r="BAU228" s="265"/>
      <c r="BAV228" s="265"/>
      <c r="BAW228" s="265"/>
      <c r="BAX228" s="265"/>
      <c r="BAY228" s="265"/>
      <c r="BAZ228" s="265"/>
      <c r="BBA228" s="265"/>
      <c r="BBB228" s="265"/>
      <c r="BBC228" s="265"/>
      <c r="BBD228" s="265"/>
      <c r="BBE228" s="265"/>
      <c r="BBF228" s="265"/>
      <c r="BBG228" s="265"/>
      <c r="BBH228" s="265"/>
      <c r="BBI228" s="265"/>
      <c r="BBJ228" s="265"/>
      <c r="BBK228" s="265"/>
      <c r="BBL228" s="265"/>
      <c r="BBM228" s="265"/>
      <c r="BBN228" s="265"/>
      <c r="BBO228" s="265"/>
      <c r="BBP228" s="265"/>
      <c r="BBQ228" s="265"/>
      <c r="BBR228" s="265"/>
      <c r="BBS228" s="265"/>
      <c r="BBT228" s="265"/>
      <c r="BBU228" s="265"/>
      <c r="BBV228" s="265"/>
      <c r="BBW228" s="265"/>
      <c r="BBX228" s="265"/>
      <c r="BBY228" s="265"/>
      <c r="BBZ228" s="265"/>
      <c r="BCA228" s="265"/>
      <c r="BCB228" s="265"/>
      <c r="BCC228" s="265"/>
      <c r="BCD228" s="265"/>
      <c r="BCE228" s="265"/>
      <c r="BCF228" s="265"/>
      <c r="BCG228" s="265"/>
      <c r="BCH228" s="265"/>
      <c r="BCI228" s="265"/>
      <c r="BCJ228" s="265"/>
      <c r="BCK228" s="265"/>
      <c r="BCL228" s="265"/>
      <c r="BCM228" s="265"/>
      <c r="BCN228" s="265"/>
      <c r="BCO228" s="265"/>
      <c r="BCP228" s="265"/>
      <c r="BCQ228" s="265"/>
      <c r="BCR228" s="265"/>
      <c r="BCS228" s="265"/>
      <c r="BCT228" s="265"/>
      <c r="BCU228" s="265"/>
      <c r="BCV228" s="265"/>
      <c r="BCW228" s="265"/>
      <c r="BCX228" s="265"/>
      <c r="BCY228" s="265"/>
      <c r="BCZ228" s="265"/>
      <c r="BDA228" s="265"/>
      <c r="BDB228" s="265"/>
      <c r="BDC228" s="265"/>
      <c r="BDD228" s="265"/>
      <c r="BDE228" s="265"/>
      <c r="BDF228" s="265"/>
      <c r="BDG228" s="265"/>
      <c r="BDH228" s="265"/>
      <c r="BDI228" s="265"/>
      <c r="BDJ228" s="265"/>
      <c r="BDK228" s="265"/>
      <c r="BDL228" s="265"/>
      <c r="BDM228" s="265"/>
      <c r="BDN228" s="265"/>
      <c r="BDO228" s="265"/>
      <c r="BDP228" s="265"/>
      <c r="BDQ228" s="265"/>
      <c r="BDR228" s="265"/>
      <c r="BDS228" s="265"/>
      <c r="BDT228" s="265"/>
      <c r="BDU228" s="265"/>
      <c r="BDV228" s="265"/>
      <c r="BDW228" s="265"/>
      <c r="BDX228" s="265"/>
      <c r="BDY228" s="265"/>
      <c r="BDZ228" s="265"/>
      <c r="BEA228" s="265"/>
      <c r="BEB228" s="265"/>
      <c r="BEC228" s="265"/>
      <c r="BED228" s="265"/>
      <c r="BEE228" s="265"/>
      <c r="BEF228" s="265"/>
      <c r="BEG228" s="265"/>
      <c r="BEH228" s="265"/>
      <c r="BEI228" s="265"/>
      <c r="BEJ228" s="265"/>
      <c r="BEK228" s="265"/>
      <c r="BEL228" s="265"/>
      <c r="BEM228" s="265"/>
      <c r="BEN228" s="265"/>
      <c r="BEO228" s="265"/>
      <c r="BEP228" s="265"/>
      <c r="BEQ228" s="265"/>
      <c r="BER228" s="265"/>
      <c r="BES228" s="265"/>
      <c r="BET228" s="265"/>
      <c r="BEU228" s="265"/>
      <c r="BEV228" s="265"/>
      <c r="BEW228" s="265"/>
      <c r="BEX228" s="265"/>
      <c r="BEY228" s="265"/>
      <c r="BEZ228" s="265"/>
      <c r="BFA228" s="265"/>
      <c r="BFB228" s="265"/>
      <c r="BFC228" s="265"/>
      <c r="BFD228" s="265"/>
      <c r="BFE228" s="265"/>
      <c r="BFF228" s="265"/>
      <c r="BFG228" s="265"/>
      <c r="BFH228" s="265"/>
      <c r="BFI228" s="265"/>
      <c r="BFJ228" s="265"/>
      <c r="BFK228" s="265"/>
      <c r="BFL228" s="265"/>
      <c r="BFM228" s="265"/>
      <c r="BFN228" s="265"/>
      <c r="BFO228" s="265"/>
      <c r="BFP228" s="265"/>
      <c r="BFQ228" s="265"/>
      <c r="BFR228" s="265"/>
      <c r="BFS228" s="265"/>
      <c r="BFT228" s="265"/>
      <c r="BFU228" s="265"/>
      <c r="BFV228" s="265"/>
      <c r="BFW228" s="265"/>
      <c r="BFX228" s="265"/>
      <c r="BFY228" s="265"/>
      <c r="BFZ228" s="265"/>
      <c r="BGA228" s="265"/>
      <c r="BGB228" s="265"/>
      <c r="BGC228" s="265"/>
      <c r="BGD228" s="265"/>
      <c r="BGE228" s="265"/>
      <c r="BGF228" s="265"/>
      <c r="BGG228" s="265"/>
      <c r="BGH228" s="265"/>
      <c r="BGI228" s="265"/>
      <c r="BGJ228" s="265"/>
      <c r="BGK228" s="265"/>
      <c r="BGL228" s="265"/>
      <c r="BGM228" s="265"/>
      <c r="BGN228" s="265"/>
      <c r="BGO228" s="265"/>
      <c r="BGP228" s="265"/>
      <c r="BGQ228" s="265"/>
      <c r="BGR228" s="265"/>
      <c r="BGS228" s="265"/>
      <c r="BGT228" s="265"/>
      <c r="BGU228" s="265"/>
      <c r="BGV228" s="265"/>
      <c r="BGW228" s="265"/>
      <c r="BGX228" s="265"/>
      <c r="BGY228" s="265"/>
      <c r="BGZ228" s="265"/>
      <c r="BHA228" s="265"/>
      <c r="BHB228" s="265"/>
      <c r="BHC228" s="265"/>
      <c r="BHD228" s="265"/>
      <c r="BHE228" s="265"/>
      <c r="BHF228" s="265"/>
      <c r="BHG228" s="265"/>
      <c r="BHH228" s="265"/>
      <c r="BHI228" s="265"/>
      <c r="BHJ228" s="265"/>
      <c r="BHK228" s="265"/>
      <c r="BHL228" s="265"/>
      <c r="BHM228" s="265"/>
      <c r="BHN228" s="265"/>
      <c r="BHO228" s="265"/>
      <c r="BHP228" s="265"/>
      <c r="BHQ228" s="265"/>
      <c r="BHR228" s="265"/>
      <c r="BHS228" s="265"/>
      <c r="BHT228" s="265"/>
      <c r="BHU228" s="265"/>
      <c r="BHV228" s="265"/>
      <c r="BHW228" s="265"/>
      <c r="BHX228" s="265"/>
      <c r="BHY228" s="265"/>
      <c r="BHZ228" s="265"/>
      <c r="BIA228" s="265"/>
      <c r="BIB228" s="265"/>
      <c r="BIC228" s="265"/>
      <c r="BID228" s="265"/>
      <c r="BIE228" s="265"/>
      <c r="BIF228" s="265"/>
      <c r="BIG228" s="265"/>
      <c r="BIH228" s="265"/>
      <c r="BII228" s="265"/>
      <c r="BIJ228" s="265"/>
      <c r="BIK228" s="265"/>
      <c r="BIL228" s="265"/>
      <c r="BIM228" s="265"/>
      <c r="BIN228" s="265"/>
      <c r="BIO228" s="265"/>
      <c r="BIP228" s="265"/>
      <c r="BIQ228" s="265"/>
      <c r="BIR228" s="265"/>
      <c r="BIS228" s="265"/>
      <c r="BIT228" s="265"/>
      <c r="BIU228" s="265"/>
      <c r="BIV228" s="265"/>
      <c r="BIW228" s="265"/>
      <c r="BIX228" s="265"/>
      <c r="BIY228" s="265"/>
      <c r="BIZ228" s="265"/>
      <c r="BJA228" s="265"/>
      <c r="BJB228" s="265"/>
      <c r="BJC228" s="265"/>
      <c r="BJD228" s="265"/>
      <c r="BJE228" s="265"/>
      <c r="BJF228" s="265"/>
      <c r="BJG228" s="265"/>
      <c r="BJH228" s="265"/>
      <c r="BJI228" s="265"/>
      <c r="BJJ228" s="265"/>
      <c r="BJK228" s="265"/>
      <c r="BJL228" s="265"/>
      <c r="BJM228" s="265"/>
      <c r="BJN228" s="265"/>
      <c r="BJO228" s="265"/>
      <c r="BJP228" s="265"/>
      <c r="BJQ228" s="265"/>
      <c r="BJR228" s="265"/>
      <c r="BJS228" s="265"/>
      <c r="BJT228" s="265"/>
      <c r="BJU228" s="265"/>
      <c r="BJV228" s="265"/>
      <c r="BJW228" s="265"/>
      <c r="BJX228" s="265"/>
      <c r="BJY228" s="265"/>
      <c r="BJZ228" s="265"/>
      <c r="BKA228" s="265"/>
      <c r="BKB228" s="265"/>
      <c r="BKC228" s="265"/>
      <c r="BKD228" s="265"/>
      <c r="BKE228" s="265"/>
      <c r="BKF228" s="265"/>
      <c r="BKG228" s="265"/>
      <c r="BKH228" s="265"/>
      <c r="BKI228" s="265"/>
      <c r="BKJ228" s="265"/>
      <c r="BKK228" s="265"/>
      <c r="BKL228" s="265"/>
      <c r="BKM228" s="265"/>
      <c r="BKN228" s="265"/>
      <c r="BKO228" s="265"/>
      <c r="BKP228" s="265"/>
      <c r="BKQ228" s="265"/>
      <c r="BKR228" s="265"/>
      <c r="BKS228" s="265"/>
      <c r="BKT228" s="265"/>
      <c r="BKU228" s="265"/>
      <c r="BKV228" s="265"/>
      <c r="BKW228" s="265"/>
      <c r="BKX228" s="265"/>
      <c r="BKY228" s="265"/>
      <c r="BKZ228" s="265"/>
      <c r="BLA228" s="265"/>
      <c r="BLB228" s="265"/>
      <c r="BLC228" s="265"/>
      <c r="BLD228" s="265"/>
      <c r="BLE228" s="265"/>
      <c r="BLF228" s="265"/>
      <c r="BLG228" s="265"/>
      <c r="BLH228" s="265"/>
      <c r="BLI228" s="265"/>
      <c r="BLJ228" s="265"/>
      <c r="BLK228" s="265"/>
      <c r="BLL228" s="265"/>
      <c r="BLM228" s="265"/>
      <c r="BLN228" s="265"/>
      <c r="BLO228" s="265"/>
      <c r="BLP228" s="265"/>
      <c r="BLQ228" s="265"/>
      <c r="BLR228" s="265"/>
      <c r="BLS228" s="265"/>
      <c r="BLT228" s="265"/>
      <c r="BLU228" s="265"/>
      <c r="BLV228" s="265"/>
      <c r="BLW228" s="265"/>
      <c r="BLX228" s="265"/>
      <c r="BLY228" s="265"/>
      <c r="BLZ228" s="265"/>
      <c r="BMA228" s="265"/>
      <c r="BMB228" s="265"/>
      <c r="BMC228" s="265"/>
      <c r="BMD228" s="265"/>
      <c r="BME228" s="265"/>
      <c r="BMF228" s="265"/>
      <c r="BMG228" s="265"/>
      <c r="BMH228" s="265"/>
      <c r="BMI228" s="265"/>
      <c r="BMJ228" s="265"/>
      <c r="BMK228" s="265"/>
      <c r="BML228" s="265"/>
      <c r="BMM228" s="265"/>
      <c r="BMN228" s="265"/>
      <c r="BMO228" s="265"/>
      <c r="BMP228" s="265"/>
      <c r="BMQ228" s="265"/>
      <c r="BMR228" s="265"/>
      <c r="BMS228" s="265"/>
      <c r="BMT228" s="265"/>
      <c r="BMU228" s="265"/>
      <c r="BMV228" s="265"/>
      <c r="BMW228" s="265"/>
      <c r="BMX228" s="265"/>
      <c r="BMY228" s="265"/>
      <c r="BMZ228" s="265"/>
      <c r="BNA228" s="265"/>
      <c r="BNB228" s="265"/>
      <c r="BNC228" s="265"/>
      <c r="BND228" s="265"/>
      <c r="BNE228" s="265"/>
      <c r="BNF228" s="265"/>
      <c r="BNG228" s="265"/>
      <c r="BNH228" s="265"/>
      <c r="BNI228" s="265"/>
      <c r="BNJ228" s="265"/>
      <c r="BNK228" s="265"/>
      <c r="BNL228" s="265"/>
      <c r="BNM228" s="265"/>
      <c r="BNN228" s="265"/>
      <c r="BNO228" s="265"/>
      <c r="BNP228" s="265"/>
      <c r="BNQ228" s="265"/>
      <c r="BNR228" s="265"/>
      <c r="BNS228" s="265"/>
      <c r="BNT228" s="265"/>
      <c r="BNU228" s="265"/>
      <c r="BNV228" s="265"/>
      <c r="BNW228" s="265"/>
      <c r="BNX228" s="265"/>
      <c r="BNY228" s="265"/>
      <c r="BNZ228" s="265"/>
      <c r="BOA228" s="265"/>
      <c r="BOB228" s="265"/>
      <c r="BOC228" s="265"/>
      <c r="BOD228" s="265"/>
      <c r="BOE228" s="265"/>
      <c r="BOF228" s="265"/>
      <c r="BOG228" s="265"/>
      <c r="BOH228" s="265"/>
      <c r="BOI228" s="265"/>
      <c r="BOJ228" s="265"/>
      <c r="BOK228" s="265"/>
      <c r="BOL228" s="265"/>
      <c r="BOM228" s="265"/>
      <c r="BON228" s="265"/>
      <c r="BOO228" s="265"/>
      <c r="BOP228" s="265"/>
      <c r="BOQ228" s="265"/>
      <c r="BOR228" s="265"/>
      <c r="BOS228" s="265"/>
      <c r="BOT228" s="265"/>
      <c r="BOU228" s="265"/>
      <c r="BOV228" s="265"/>
      <c r="BOW228" s="265"/>
      <c r="BOX228" s="265"/>
      <c r="BOY228" s="265"/>
      <c r="BOZ228" s="265"/>
      <c r="BPA228" s="265"/>
      <c r="BPB228" s="265"/>
      <c r="BPC228" s="265"/>
      <c r="BPD228" s="265"/>
      <c r="BPE228" s="265"/>
      <c r="BPF228" s="265"/>
      <c r="BPG228" s="265"/>
      <c r="BPH228" s="265"/>
      <c r="BPI228" s="265"/>
      <c r="BPJ228" s="265"/>
      <c r="BPK228" s="265"/>
      <c r="BPL228" s="265"/>
      <c r="BPM228" s="265"/>
      <c r="BPN228" s="265"/>
      <c r="BPO228" s="265"/>
      <c r="BPP228" s="265"/>
      <c r="BPQ228" s="265"/>
      <c r="BPR228" s="265"/>
      <c r="BPS228" s="265"/>
      <c r="BPT228" s="265"/>
      <c r="BPU228" s="265"/>
      <c r="BPV228" s="265"/>
      <c r="BPW228" s="265"/>
      <c r="BPX228" s="265"/>
      <c r="BPY228" s="265"/>
      <c r="BPZ228" s="265"/>
      <c r="BQA228" s="265"/>
      <c r="BQB228" s="265"/>
      <c r="BQC228" s="265"/>
      <c r="BQD228" s="265"/>
      <c r="BQE228" s="265"/>
      <c r="BQF228" s="265"/>
      <c r="BQG228" s="265"/>
      <c r="BQH228" s="265"/>
      <c r="BQI228" s="265"/>
      <c r="BQJ228" s="265"/>
      <c r="BQK228" s="265"/>
      <c r="BQL228" s="265"/>
      <c r="BQM228" s="265"/>
      <c r="BQN228" s="265"/>
      <c r="BQO228" s="265"/>
      <c r="BQP228" s="265"/>
      <c r="BQQ228" s="265"/>
      <c r="BQR228" s="265"/>
      <c r="BQS228" s="265"/>
      <c r="BQT228" s="265"/>
      <c r="BQU228" s="265"/>
      <c r="BQV228" s="265"/>
      <c r="BQW228" s="265"/>
      <c r="BQX228" s="265"/>
      <c r="BQY228" s="265"/>
      <c r="BQZ228" s="265"/>
      <c r="BRA228" s="265"/>
      <c r="BRB228" s="265"/>
      <c r="BRC228" s="265"/>
      <c r="BRD228" s="265"/>
      <c r="BRE228" s="265"/>
      <c r="BRF228" s="265"/>
      <c r="BRG228" s="265"/>
      <c r="BRH228" s="265"/>
      <c r="BRI228" s="265"/>
      <c r="BRJ228" s="265"/>
      <c r="BRK228" s="265"/>
      <c r="BRL228" s="265"/>
      <c r="BRM228" s="265"/>
      <c r="BRN228" s="265"/>
      <c r="BRO228" s="265"/>
      <c r="BRP228" s="265"/>
      <c r="BRQ228" s="265"/>
      <c r="BRR228" s="265"/>
      <c r="BRS228" s="265"/>
      <c r="BRT228" s="265"/>
      <c r="BRU228" s="265"/>
      <c r="BRV228" s="265"/>
      <c r="BRW228" s="265"/>
      <c r="BRX228" s="265"/>
      <c r="BRY228" s="265"/>
      <c r="BRZ228" s="265"/>
      <c r="BSA228" s="265"/>
      <c r="BSB228" s="265"/>
      <c r="BSC228" s="265"/>
      <c r="BSD228" s="265"/>
      <c r="BSE228" s="265"/>
      <c r="BSF228" s="265"/>
      <c r="BSG228" s="265"/>
      <c r="BSH228" s="265"/>
      <c r="BSI228" s="265"/>
      <c r="BSJ228" s="265"/>
      <c r="BSK228" s="265"/>
      <c r="BSL228" s="265"/>
      <c r="BSM228" s="265"/>
      <c r="BSN228" s="265"/>
      <c r="BSO228" s="265"/>
      <c r="BSP228" s="265"/>
      <c r="BSQ228" s="265"/>
      <c r="BSR228" s="265"/>
      <c r="BSS228" s="265"/>
      <c r="BST228" s="265"/>
      <c r="BSU228" s="265"/>
      <c r="BSV228" s="265"/>
      <c r="BSW228" s="265"/>
      <c r="BSX228" s="265"/>
      <c r="BSY228" s="265"/>
      <c r="BSZ228" s="265"/>
      <c r="BTA228" s="265"/>
      <c r="BTB228" s="265"/>
      <c r="BTC228" s="265"/>
      <c r="BTD228" s="265"/>
      <c r="BTE228" s="265"/>
      <c r="BTF228" s="265"/>
      <c r="BTG228" s="265"/>
      <c r="BTH228" s="265"/>
      <c r="BTI228" s="265"/>
      <c r="BTJ228" s="265"/>
      <c r="BTK228" s="265"/>
      <c r="BTL228" s="265"/>
      <c r="BTM228" s="265"/>
      <c r="BTN228" s="265"/>
      <c r="BTO228" s="265"/>
      <c r="BTP228" s="265"/>
      <c r="BTQ228" s="265"/>
      <c r="BTR228" s="265"/>
      <c r="BTS228" s="265"/>
      <c r="BTT228" s="265"/>
      <c r="BTU228" s="265"/>
      <c r="BTV228" s="265"/>
      <c r="BTW228" s="265"/>
      <c r="BTX228" s="265"/>
      <c r="BTY228" s="265"/>
      <c r="BTZ228" s="265"/>
      <c r="BUA228" s="265"/>
      <c r="BUB228" s="265"/>
      <c r="BUC228" s="265"/>
      <c r="BUD228" s="265"/>
      <c r="BUE228" s="265"/>
      <c r="BUF228" s="265"/>
      <c r="BUG228" s="265"/>
      <c r="BUH228" s="265"/>
      <c r="BUI228" s="265"/>
      <c r="BUJ228" s="265"/>
      <c r="BUK228" s="265"/>
      <c r="BUL228" s="265"/>
      <c r="BUM228" s="265"/>
      <c r="BUN228" s="265"/>
      <c r="BUO228" s="265"/>
      <c r="BUP228" s="265"/>
      <c r="BUQ228" s="265"/>
      <c r="BUR228" s="265"/>
      <c r="BUS228" s="265"/>
      <c r="BUT228" s="265"/>
      <c r="BUU228" s="265"/>
      <c r="BUV228" s="265"/>
      <c r="BUW228" s="265"/>
      <c r="BUX228" s="265"/>
      <c r="BUY228" s="265"/>
      <c r="BUZ228" s="265"/>
      <c r="BVA228" s="265"/>
      <c r="BVB228" s="265"/>
      <c r="BVC228" s="265"/>
      <c r="BVD228" s="265"/>
      <c r="BVE228" s="265"/>
      <c r="BVF228" s="265"/>
      <c r="BVG228" s="265"/>
      <c r="BVH228" s="265"/>
      <c r="BVI228" s="265"/>
      <c r="BVJ228" s="265"/>
      <c r="BVK228" s="265"/>
      <c r="BVL228" s="265"/>
      <c r="BVM228" s="265"/>
      <c r="BVN228" s="265"/>
      <c r="BVO228" s="265"/>
      <c r="BVP228" s="265"/>
      <c r="BVQ228" s="265"/>
      <c r="BVR228" s="265"/>
      <c r="BVS228" s="265"/>
      <c r="BVT228" s="265"/>
      <c r="BVU228" s="265"/>
      <c r="BVV228" s="265"/>
      <c r="BVW228" s="265"/>
      <c r="BVX228" s="265"/>
      <c r="BVY228" s="265"/>
      <c r="BVZ228" s="265"/>
      <c r="BWA228" s="265"/>
      <c r="BWB228" s="265"/>
      <c r="BWC228" s="265"/>
      <c r="BWD228" s="265"/>
      <c r="BWE228" s="265"/>
      <c r="BWF228" s="265"/>
      <c r="BWG228" s="265"/>
      <c r="BWH228" s="265"/>
      <c r="BWI228" s="265"/>
      <c r="BWJ228" s="265"/>
      <c r="BWK228" s="265"/>
      <c r="BWL228" s="265"/>
      <c r="BWM228" s="265"/>
      <c r="BWN228" s="265"/>
      <c r="BWO228" s="265"/>
      <c r="BWP228" s="265"/>
      <c r="BWQ228" s="265"/>
      <c r="BWR228" s="265"/>
      <c r="BWS228" s="265"/>
      <c r="BWT228" s="265"/>
      <c r="BWU228" s="265"/>
      <c r="BWV228" s="265"/>
      <c r="BWW228" s="265"/>
      <c r="BWX228" s="265"/>
      <c r="BWY228" s="265"/>
      <c r="BWZ228" s="265"/>
      <c r="BXA228" s="265"/>
      <c r="BXB228" s="265"/>
      <c r="BXC228" s="265"/>
      <c r="BXD228" s="265"/>
      <c r="BXE228" s="265"/>
      <c r="BXF228" s="265"/>
      <c r="BXG228" s="265"/>
      <c r="BXH228" s="265"/>
      <c r="BXI228" s="265"/>
      <c r="BXJ228" s="265"/>
      <c r="BXK228" s="265"/>
      <c r="BXL228" s="265"/>
      <c r="BXM228" s="265"/>
      <c r="BXN228" s="265"/>
      <c r="BXO228" s="265"/>
      <c r="BXP228" s="265"/>
      <c r="BXQ228" s="265"/>
      <c r="BXR228" s="265"/>
      <c r="BXS228" s="265"/>
      <c r="BXT228" s="265"/>
      <c r="BXU228" s="265"/>
      <c r="BXV228" s="265"/>
      <c r="BXW228" s="265"/>
      <c r="BXX228" s="265"/>
      <c r="BXY228" s="265"/>
      <c r="BXZ228" s="265"/>
      <c r="BYA228" s="265"/>
      <c r="BYB228" s="265"/>
      <c r="BYC228" s="265"/>
      <c r="BYD228" s="265"/>
      <c r="BYE228" s="265"/>
      <c r="BYF228" s="265"/>
      <c r="BYG228" s="265"/>
      <c r="BYH228" s="265"/>
      <c r="BYI228" s="265"/>
      <c r="BYJ228" s="265"/>
      <c r="BYK228" s="265"/>
      <c r="BYL228" s="265"/>
      <c r="BYM228" s="265"/>
      <c r="BYN228" s="265"/>
      <c r="BYO228" s="265"/>
      <c r="BYP228" s="265"/>
      <c r="BYQ228" s="265"/>
      <c r="BYR228" s="265"/>
      <c r="BYS228" s="265"/>
      <c r="BYT228" s="265"/>
      <c r="BYU228" s="265"/>
      <c r="BYV228" s="265"/>
      <c r="BYW228" s="265"/>
      <c r="BYX228" s="265"/>
      <c r="BYY228" s="265"/>
      <c r="BYZ228" s="265"/>
      <c r="BZA228" s="265"/>
      <c r="BZB228" s="265"/>
      <c r="BZC228" s="265"/>
      <c r="BZD228" s="265"/>
      <c r="BZE228" s="265"/>
      <c r="BZF228" s="265"/>
      <c r="BZG228" s="265"/>
      <c r="BZH228" s="265"/>
      <c r="BZI228" s="265"/>
      <c r="BZJ228" s="265"/>
      <c r="BZK228" s="265"/>
      <c r="BZL228" s="265"/>
      <c r="BZM228" s="265"/>
      <c r="BZN228" s="265"/>
      <c r="BZO228" s="265"/>
      <c r="BZP228" s="265"/>
      <c r="BZQ228" s="265"/>
      <c r="BZR228" s="265"/>
      <c r="BZS228" s="265"/>
      <c r="BZT228" s="265"/>
      <c r="BZU228" s="265"/>
      <c r="BZV228" s="265"/>
      <c r="BZW228" s="265"/>
      <c r="BZX228" s="265"/>
      <c r="BZY228" s="265"/>
      <c r="BZZ228" s="265"/>
      <c r="CAA228" s="265"/>
      <c r="CAB228" s="265"/>
      <c r="CAC228" s="265"/>
      <c r="CAD228" s="265"/>
      <c r="CAE228" s="265"/>
      <c r="CAF228" s="265"/>
      <c r="CAG228" s="265"/>
      <c r="CAH228" s="265"/>
      <c r="CAI228" s="265"/>
      <c r="CAJ228" s="265"/>
      <c r="CAK228" s="265"/>
      <c r="CAL228" s="265"/>
      <c r="CAM228" s="265"/>
      <c r="CAN228" s="265"/>
      <c r="CAO228" s="265"/>
      <c r="CAP228" s="265"/>
      <c r="CAQ228" s="265"/>
      <c r="CAR228" s="265"/>
      <c r="CAS228" s="265"/>
      <c r="CAT228" s="265"/>
      <c r="CAU228" s="265"/>
      <c r="CAV228" s="265"/>
      <c r="CAW228" s="265"/>
      <c r="CAX228" s="265"/>
      <c r="CAY228" s="265"/>
      <c r="CAZ228" s="265"/>
      <c r="CBA228" s="265"/>
      <c r="CBB228" s="265"/>
      <c r="CBC228" s="265"/>
      <c r="CBD228" s="265"/>
      <c r="CBE228" s="265"/>
      <c r="CBF228" s="265"/>
      <c r="CBG228" s="265"/>
      <c r="CBH228" s="265"/>
      <c r="CBI228" s="265"/>
      <c r="CBJ228" s="265"/>
      <c r="CBK228" s="265"/>
      <c r="CBL228" s="265"/>
      <c r="CBM228" s="265"/>
      <c r="CBN228" s="265"/>
      <c r="CBO228" s="265"/>
      <c r="CBP228" s="265"/>
      <c r="CBQ228" s="265"/>
      <c r="CBR228" s="265"/>
      <c r="CBS228" s="265"/>
      <c r="CBT228" s="265"/>
      <c r="CBU228" s="265"/>
      <c r="CBV228" s="265"/>
      <c r="CBW228" s="265"/>
      <c r="CBX228" s="265"/>
      <c r="CBY228" s="265"/>
      <c r="CBZ228" s="265"/>
      <c r="CCA228" s="265"/>
      <c r="CCB228" s="265"/>
      <c r="CCC228" s="265"/>
      <c r="CCD228" s="265"/>
      <c r="CCE228" s="265"/>
      <c r="CCF228" s="265"/>
      <c r="CCG228" s="265"/>
      <c r="CCH228" s="265"/>
      <c r="CCI228" s="265"/>
      <c r="CCJ228" s="265"/>
      <c r="CCK228" s="265"/>
      <c r="CCL228" s="265"/>
      <c r="CCM228" s="265"/>
      <c r="CCN228" s="265"/>
      <c r="CCO228" s="265"/>
      <c r="CCP228" s="265"/>
      <c r="CCQ228" s="265"/>
      <c r="CCR228" s="265"/>
      <c r="CCS228" s="265"/>
      <c r="CCT228" s="265"/>
      <c r="CCU228" s="265"/>
      <c r="CCV228" s="265"/>
      <c r="CCW228" s="265"/>
      <c r="CCX228" s="265"/>
      <c r="CCY228" s="265"/>
      <c r="CCZ228" s="265"/>
      <c r="CDA228" s="265"/>
      <c r="CDB228" s="265"/>
      <c r="CDC228" s="265"/>
      <c r="CDD228" s="265"/>
      <c r="CDE228" s="265"/>
      <c r="CDF228" s="265"/>
      <c r="CDG228" s="265"/>
      <c r="CDH228" s="265"/>
      <c r="CDI228" s="265"/>
      <c r="CDJ228" s="265"/>
      <c r="CDK228" s="265"/>
      <c r="CDL228" s="265"/>
      <c r="CDM228" s="265"/>
      <c r="CDN228" s="265"/>
      <c r="CDO228" s="265"/>
      <c r="CDP228" s="265"/>
      <c r="CDQ228" s="265"/>
      <c r="CDR228" s="265"/>
      <c r="CDS228" s="265"/>
      <c r="CDT228" s="265"/>
      <c r="CDU228" s="265"/>
      <c r="CDV228" s="265"/>
      <c r="CDW228" s="265"/>
      <c r="CDX228" s="265"/>
      <c r="CDY228" s="265"/>
      <c r="CDZ228" s="265"/>
      <c r="CEA228" s="265"/>
      <c r="CEB228" s="265"/>
      <c r="CEC228" s="265"/>
      <c r="CED228" s="265"/>
      <c r="CEE228" s="265"/>
      <c r="CEF228" s="265"/>
      <c r="CEG228" s="265"/>
      <c r="CEH228" s="265"/>
      <c r="CEI228" s="265"/>
      <c r="CEJ228" s="265"/>
      <c r="CEK228" s="265"/>
      <c r="CEL228" s="265"/>
      <c r="CEM228" s="265"/>
      <c r="CEN228" s="265"/>
      <c r="CEO228" s="265"/>
      <c r="CEP228" s="265"/>
      <c r="CEQ228" s="265"/>
      <c r="CER228" s="265"/>
      <c r="CES228" s="265"/>
      <c r="CET228" s="265"/>
      <c r="CEU228" s="265"/>
      <c r="CEV228" s="265"/>
      <c r="CEW228" s="265"/>
      <c r="CEX228" s="265"/>
      <c r="CEY228" s="265"/>
      <c r="CEZ228" s="265"/>
      <c r="CFA228" s="265"/>
      <c r="CFB228" s="265"/>
      <c r="CFC228" s="265"/>
      <c r="CFD228" s="265"/>
      <c r="CFE228" s="265"/>
      <c r="CFF228" s="265"/>
      <c r="CFG228" s="265"/>
      <c r="CFH228" s="265"/>
      <c r="CFI228" s="265"/>
      <c r="CFJ228" s="265"/>
      <c r="CFK228" s="265"/>
      <c r="CFL228" s="265"/>
      <c r="CFM228" s="265"/>
      <c r="CFN228" s="265"/>
      <c r="CFO228" s="265"/>
      <c r="CFP228" s="265"/>
      <c r="CFQ228" s="265"/>
      <c r="CFR228" s="265"/>
      <c r="CFS228" s="265"/>
      <c r="CFT228" s="265"/>
      <c r="CFU228" s="265"/>
      <c r="CFV228" s="265"/>
      <c r="CFW228" s="265"/>
      <c r="CFX228" s="265"/>
      <c r="CFY228" s="265"/>
      <c r="CFZ228" s="265"/>
      <c r="CGA228" s="265"/>
      <c r="CGB228" s="265"/>
      <c r="CGC228" s="265"/>
      <c r="CGD228" s="265"/>
      <c r="CGE228" s="265"/>
      <c r="CGF228" s="265"/>
      <c r="CGG228" s="265"/>
      <c r="CGH228" s="265"/>
      <c r="CGI228" s="265"/>
      <c r="CGJ228" s="265"/>
      <c r="CGK228" s="265"/>
      <c r="CGL228" s="265"/>
      <c r="CGM228" s="265"/>
      <c r="CGN228" s="265"/>
      <c r="CGO228" s="265"/>
      <c r="CGP228" s="265"/>
      <c r="CGQ228" s="265"/>
      <c r="CGR228" s="265"/>
      <c r="CGS228" s="265"/>
      <c r="CGT228" s="265"/>
      <c r="CGU228" s="265"/>
      <c r="CGV228" s="265"/>
      <c r="CGW228" s="265"/>
      <c r="CGX228" s="265"/>
      <c r="CGY228" s="265"/>
      <c r="CGZ228" s="265"/>
      <c r="CHA228" s="265"/>
      <c r="CHB228" s="265"/>
      <c r="CHC228" s="265"/>
      <c r="CHD228" s="265"/>
      <c r="CHE228" s="265"/>
      <c r="CHF228" s="265"/>
      <c r="CHG228" s="265"/>
      <c r="CHH228" s="265"/>
      <c r="CHI228" s="265"/>
      <c r="CHJ228" s="265"/>
      <c r="CHK228" s="265"/>
      <c r="CHL228" s="265"/>
      <c r="CHM228" s="265"/>
      <c r="CHN228" s="265"/>
      <c r="CHO228" s="265"/>
      <c r="CHP228" s="265"/>
      <c r="CHQ228" s="265"/>
      <c r="CHR228" s="265"/>
      <c r="CHS228" s="265"/>
      <c r="CHT228" s="265"/>
      <c r="CHU228" s="265"/>
      <c r="CHV228" s="265"/>
      <c r="CHW228" s="265"/>
      <c r="CHX228" s="265"/>
      <c r="CHY228" s="265"/>
      <c r="CHZ228" s="265"/>
      <c r="CIA228" s="265"/>
      <c r="CIB228" s="265"/>
      <c r="CIC228" s="265"/>
      <c r="CID228" s="265"/>
      <c r="CIE228" s="265"/>
      <c r="CIF228" s="265"/>
      <c r="CIG228" s="265"/>
      <c r="CIH228" s="265"/>
      <c r="CII228" s="265"/>
      <c r="CIJ228" s="265"/>
      <c r="CIK228" s="265"/>
      <c r="CIL228" s="265"/>
      <c r="CIM228" s="265"/>
      <c r="CIN228" s="265"/>
      <c r="CIO228" s="265"/>
      <c r="CIP228" s="265"/>
      <c r="CIQ228" s="265"/>
      <c r="CIR228" s="265"/>
      <c r="CIS228" s="265"/>
      <c r="CIT228" s="265"/>
      <c r="CIU228" s="265"/>
      <c r="CIV228" s="265"/>
      <c r="CIW228" s="265"/>
      <c r="CIX228" s="265"/>
      <c r="CIY228" s="265"/>
      <c r="CIZ228" s="265"/>
      <c r="CJA228" s="265"/>
      <c r="CJB228" s="265"/>
      <c r="CJC228" s="265"/>
      <c r="CJD228" s="265"/>
      <c r="CJE228" s="265"/>
      <c r="CJF228" s="265"/>
      <c r="CJG228" s="265"/>
      <c r="CJH228" s="265"/>
      <c r="CJI228" s="265"/>
      <c r="CJJ228" s="265"/>
      <c r="CJK228" s="265"/>
      <c r="CJL228" s="265"/>
      <c r="CJM228" s="265"/>
      <c r="CJN228" s="265"/>
      <c r="CJO228" s="265"/>
      <c r="CJP228" s="265"/>
      <c r="CJQ228" s="265"/>
      <c r="CJR228" s="265"/>
      <c r="CJS228" s="265"/>
      <c r="CJT228" s="265"/>
      <c r="CJU228" s="265"/>
      <c r="CJV228" s="265"/>
      <c r="CJW228" s="265"/>
      <c r="CJX228" s="265"/>
      <c r="CJY228" s="265"/>
      <c r="CJZ228" s="265"/>
      <c r="CKA228" s="265"/>
      <c r="CKB228" s="265"/>
      <c r="CKC228" s="265"/>
      <c r="CKD228" s="265"/>
      <c r="CKE228" s="265"/>
      <c r="CKF228" s="265"/>
      <c r="CKG228" s="265"/>
      <c r="CKH228" s="265"/>
      <c r="CKI228" s="265"/>
      <c r="CKJ228" s="265"/>
      <c r="CKK228" s="265"/>
      <c r="CKL228" s="265"/>
      <c r="CKM228" s="265"/>
      <c r="CKN228" s="265"/>
      <c r="CKO228" s="265"/>
      <c r="CKP228" s="265"/>
      <c r="CKQ228" s="265"/>
      <c r="CKR228" s="265"/>
      <c r="CKS228" s="265"/>
      <c r="CKT228" s="265"/>
      <c r="CKU228" s="265"/>
      <c r="CKV228" s="265"/>
      <c r="CKW228" s="265"/>
      <c r="CKX228" s="265"/>
      <c r="CKY228" s="265"/>
      <c r="CKZ228" s="265"/>
      <c r="CLA228" s="265"/>
      <c r="CLB228" s="265"/>
      <c r="CLC228" s="265"/>
      <c r="CLD228" s="265"/>
      <c r="CLE228" s="265"/>
      <c r="CLF228" s="265"/>
      <c r="CLG228" s="265"/>
      <c r="CLH228" s="265"/>
      <c r="CLI228" s="265"/>
      <c r="CLJ228" s="265"/>
      <c r="CLK228" s="265"/>
      <c r="CLL228" s="265"/>
      <c r="CLM228" s="265"/>
      <c r="CLN228" s="265"/>
      <c r="CLO228" s="265"/>
      <c r="CLP228" s="265"/>
      <c r="CLQ228" s="265"/>
      <c r="CLR228" s="265"/>
      <c r="CLS228" s="265"/>
      <c r="CLT228" s="265"/>
      <c r="CLU228" s="265"/>
      <c r="CLV228" s="265"/>
      <c r="CLW228" s="265"/>
      <c r="CLX228" s="265"/>
      <c r="CLY228" s="265"/>
      <c r="CLZ228" s="265"/>
      <c r="CMA228" s="265"/>
      <c r="CMB228" s="265"/>
      <c r="CMC228" s="265"/>
      <c r="CMD228" s="265"/>
      <c r="CME228" s="265"/>
      <c r="CMF228" s="265"/>
      <c r="CMG228" s="265"/>
      <c r="CMH228" s="265"/>
      <c r="CMI228" s="265"/>
      <c r="CMJ228" s="265"/>
      <c r="CMK228" s="265"/>
      <c r="CML228" s="265"/>
      <c r="CMM228" s="265"/>
      <c r="CMN228" s="265"/>
      <c r="CMO228" s="265"/>
      <c r="CMP228" s="265"/>
      <c r="CMQ228" s="265"/>
      <c r="CMR228" s="265"/>
      <c r="CMS228" s="265"/>
      <c r="CMT228" s="265"/>
      <c r="CMU228" s="265"/>
      <c r="CMV228" s="265"/>
      <c r="CMW228" s="265"/>
      <c r="CMX228" s="265"/>
      <c r="CMY228" s="265"/>
      <c r="CMZ228" s="265"/>
      <c r="CNA228" s="265"/>
      <c r="CNB228" s="265"/>
      <c r="CNC228" s="265"/>
      <c r="CND228" s="265"/>
      <c r="CNE228" s="265"/>
      <c r="CNF228" s="265"/>
      <c r="CNG228" s="265"/>
      <c r="CNH228" s="265"/>
      <c r="CNI228" s="265"/>
      <c r="CNJ228" s="265"/>
      <c r="CNK228" s="265"/>
      <c r="CNL228" s="265"/>
      <c r="CNM228" s="265"/>
      <c r="CNN228" s="265"/>
      <c r="CNO228" s="265"/>
      <c r="CNP228" s="265"/>
      <c r="CNQ228" s="265"/>
      <c r="CNR228" s="265"/>
      <c r="CNS228" s="265"/>
      <c r="CNT228" s="265"/>
      <c r="CNU228" s="265"/>
      <c r="CNV228" s="265"/>
      <c r="CNW228" s="265"/>
      <c r="CNX228" s="265"/>
      <c r="CNY228" s="265"/>
      <c r="CNZ228" s="265"/>
      <c r="COA228" s="265"/>
      <c r="COB228" s="265"/>
      <c r="COC228" s="265"/>
      <c r="COD228" s="265"/>
      <c r="COE228" s="265"/>
      <c r="COF228" s="265"/>
      <c r="COG228" s="265"/>
      <c r="COH228" s="265"/>
      <c r="COI228" s="265"/>
      <c r="COJ228" s="265"/>
      <c r="COK228" s="265"/>
      <c r="COL228" s="265"/>
      <c r="COM228" s="265"/>
      <c r="CON228" s="265"/>
      <c r="COO228" s="265"/>
      <c r="COP228" s="265"/>
      <c r="COQ228" s="265"/>
      <c r="COR228" s="265"/>
      <c r="COS228" s="265"/>
      <c r="COT228" s="265"/>
      <c r="COU228" s="265"/>
      <c r="COV228" s="265"/>
      <c r="COW228" s="265"/>
      <c r="COX228" s="265"/>
      <c r="COY228" s="265"/>
      <c r="COZ228" s="265"/>
      <c r="CPA228" s="265"/>
      <c r="CPB228" s="265"/>
      <c r="CPC228" s="265"/>
      <c r="CPD228" s="265"/>
      <c r="CPE228" s="265"/>
      <c r="CPF228" s="265"/>
      <c r="CPG228" s="265"/>
      <c r="CPH228" s="265"/>
      <c r="CPI228" s="265"/>
      <c r="CPJ228" s="265"/>
      <c r="CPK228" s="265"/>
      <c r="CPL228" s="265"/>
      <c r="CPM228" s="265"/>
      <c r="CPN228" s="265"/>
      <c r="CPO228" s="265"/>
      <c r="CPP228" s="265"/>
      <c r="CPQ228" s="265"/>
      <c r="CPR228" s="265"/>
      <c r="CPS228" s="265"/>
      <c r="CPT228" s="265"/>
      <c r="CPU228" s="265"/>
      <c r="CPV228" s="265"/>
      <c r="CPW228" s="265"/>
      <c r="CPX228" s="265"/>
      <c r="CPY228" s="265"/>
      <c r="CPZ228" s="265"/>
      <c r="CQA228" s="265"/>
      <c r="CQB228" s="265"/>
      <c r="CQC228" s="265"/>
      <c r="CQD228" s="265"/>
      <c r="CQE228" s="265"/>
      <c r="CQF228" s="265"/>
      <c r="CQG228" s="265"/>
      <c r="CQH228" s="265"/>
      <c r="CQI228" s="265"/>
      <c r="CQJ228" s="265"/>
      <c r="CQK228" s="265"/>
      <c r="CQL228" s="265"/>
      <c r="CQM228" s="265"/>
      <c r="CQN228" s="265"/>
      <c r="CQO228" s="265"/>
      <c r="CQP228" s="265"/>
      <c r="CQQ228" s="265"/>
      <c r="CQR228" s="265"/>
      <c r="CQS228" s="265"/>
      <c r="CQT228" s="265"/>
      <c r="CQU228" s="265"/>
      <c r="CQV228" s="265"/>
      <c r="CQW228" s="265"/>
      <c r="CQX228" s="265"/>
      <c r="CQY228" s="265"/>
      <c r="CQZ228" s="265"/>
      <c r="CRA228" s="265"/>
      <c r="CRB228" s="265"/>
      <c r="CRC228" s="265"/>
      <c r="CRD228" s="265"/>
      <c r="CRE228" s="265"/>
      <c r="CRF228" s="265"/>
      <c r="CRG228" s="265"/>
      <c r="CRH228" s="265"/>
      <c r="CRI228" s="265"/>
      <c r="CRJ228" s="265"/>
      <c r="CRK228" s="265"/>
      <c r="CRL228" s="265"/>
      <c r="CRM228" s="265"/>
      <c r="CRN228" s="265"/>
      <c r="CRO228" s="265"/>
      <c r="CRP228" s="265"/>
      <c r="CRQ228" s="265"/>
      <c r="CRR228" s="265"/>
      <c r="CRS228" s="265"/>
      <c r="CRT228" s="265"/>
      <c r="CRU228" s="265"/>
      <c r="CRV228" s="265"/>
      <c r="CRW228" s="265"/>
      <c r="CRX228" s="265"/>
      <c r="CRY228" s="265"/>
      <c r="CRZ228" s="265"/>
      <c r="CSA228" s="265"/>
      <c r="CSB228" s="265"/>
      <c r="CSC228" s="265"/>
      <c r="CSD228" s="265"/>
      <c r="CSE228" s="265"/>
      <c r="CSF228" s="265"/>
      <c r="CSG228" s="265"/>
      <c r="CSH228" s="265"/>
      <c r="CSI228" s="265"/>
      <c r="CSJ228" s="265"/>
      <c r="CSK228" s="265"/>
      <c r="CSL228" s="265"/>
      <c r="CSM228" s="265"/>
      <c r="CSN228" s="265"/>
      <c r="CSO228" s="265"/>
      <c r="CSP228" s="265"/>
      <c r="CSQ228" s="265"/>
      <c r="CSR228" s="265"/>
      <c r="CSS228" s="265"/>
      <c r="CST228" s="265"/>
      <c r="CSU228" s="265"/>
      <c r="CSV228" s="265"/>
      <c r="CSW228" s="265"/>
      <c r="CSX228" s="265"/>
      <c r="CSY228" s="265"/>
      <c r="CSZ228" s="265"/>
      <c r="CTA228" s="265"/>
      <c r="CTB228" s="265"/>
      <c r="CTC228" s="265"/>
      <c r="CTD228" s="265"/>
      <c r="CTE228" s="265"/>
      <c r="CTF228" s="265"/>
      <c r="CTG228" s="265"/>
      <c r="CTH228" s="265"/>
      <c r="CTI228" s="265"/>
      <c r="CTJ228" s="265"/>
      <c r="CTK228" s="265"/>
      <c r="CTL228" s="265"/>
      <c r="CTM228" s="265"/>
      <c r="CTN228" s="265"/>
      <c r="CTO228" s="265"/>
      <c r="CTP228" s="265"/>
      <c r="CTQ228" s="265"/>
      <c r="CTR228" s="265"/>
      <c r="CTS228" s="265"/>
      <c r="CTT228" s="265"/>
      <c r="CTU228" s="265"/>
      <c r="CTV228" s="265"/>
      <c r="CTW228" s="265"/>
      <c r="CTX228" s="265"/>
      <c r="CTY228" s="265"/>
      <c r="CTZ228" s="265"/>
      <c r="CUA228" s="265"/>
      <c r="CUB228" s="265"/>
      <c r="CUC228" s="265"/>
      <c r="CUD228" s="265"/>
      <c r="CUE228" s="265"/>
      <c r="CUF228" s="265"/>
      <c r="CUG228" s="265"/>
      <c r="CUH228" s="265"/>
      <c r="CUI228" s="265"/>
      <c r="CUJ228" s="265"/>
      <c r="CUK228" s="265"/>
      <c r="CUL228" s="265"/>
      <c r="CUM228" s="265"/>
      <c r="CUN228" s="265"/>
      <c r="CUO228" s="265"/>
      <c r="CUP228" s="265"/>
      <c r="CUQ228" s="265"/>
      <c r="CUR228" s="265"/>
      <c r="CUS228" s="265"/>
      <c r="CUT228" s="265"/>
      <c r="CUU228" s="265"/>
      <c r="CUV228" s="265"/>
      <c r="CUW228" s="265"/>
      <c r="CUX228" s="265"/>
      <c r="CUY228" s="265"/>
      <c r="CUZ228" s="265"/>
      <c r="CVA228" s="265"/>
      <c r="CVB228" s="265"/>
      <c r="CVC228" s="265"/>
      <c r="CVD228" s="265"/>
      <c r="CVE228" s="265"/>
      <c r="CVF228" s="265"/>
      <c r="CVG228" s="265"/>
      <c r="CVH228" s="265"/>
      <c r="CVI228" s="265"/>
      <c r="CVJ228" s="265"/>
      <c r="CVK228" s="265"/>
      <c r="CVL228" s="265"/>
      <c r="CVM228" s="265"/>
      <c r="CVN228" s="265"/>
      <c r="CVO228" s="265"/>
      <c r="CVP228" s="265"/>
      <c r="CVQ228" s="265"/>
      <c r="CVR228" s="265"/>
      <c r="CVS228" s="265"/>
      <c r="CVT228" s="265"/>
      <c r="CVU228" s="265"/>
      <c r="CVV228" s="265"/>
      <c r="CVW228" s="265"/>
      <c r="CVX228" s="265"/>
      <c r="CVY228" s="265"/>
      <c r="CVZ228" s="265"/>
      <c r="CWA228" s="265"/>
      <c r="CWB228" s="265"/>
      <c r="CWC228" s="265"/>
      <c r="CWD228" s="265"/>
      <c r="CWE228" s="265"/>
      <c r="CWF228" s="265"/>
      <c r="CWG228" s="265"/>
      <c r="CWH228" s="265"/>
      <c r="CWI228" s="265"/>
      <c r="CWJ228" s="265"/>
      <c r="CWK228" s="265"/>
      <c r="CWL228" s="265"/>
      <c r="CWM228" s="265"/>
      <c r="CWN228" s="265"/>
      <c r="CWO228" s="265"/>
      <c r="CWP228" s="265"/>
      <c r="CWQ228" s="265"/>
      <c r="CWR228" s="265"/>
      <c r="CWS228" s="265"/>
      <c r="CWT228" s="265"/>
      <c r="CWU228" s="265"/>
      <c r="CWV228" s="265"/>
      <c r="CWW228" s="265"/>
      <c r="CWX228" s="265"/>
      <c r="CWY228" s="265"/>
      <c r="CWZ228" s="265"/>
      <c r="CXA228" s="265"/>
      <c r="CXB228" s="265"/>
      <c r="CXC228" s="265"/>
      <c r="CXD228" s="265"/>
      <c r="CXE228" s="265"/>
      <c r="CXF228" s="265"/>
      <c r="CXG228" s="265"/>
      <c r="CXH228" s="265"/>
      <c r="CXI228" s="265"/>
      <c r="CXJ228" s="265"/>
      <c r="CXK228" s="265"/>
      <c r="CXL228" s="265"/>
      <c r="CXM228" s="265"/>
      <c r="CXN228" s="265"/>
      <c r="CXO228" s="265"/>
      <c r="CXP228" s="265"/>
      <c r="CXQ228" s="265"/>
      <c r="CXR228" s="265"/>
      <c r="CXS228" s="265"/>
      <c r="CXT228" s="265"/>
      <c r="CXU228" s="265"/>
      <c r="CXV228" s="265"/>
      <c r="CXW228" s="265"/>
      <c r="CXX228" s="265"/>
      <c r="CXY228" s="265"/>
      <c r="CXZ228" s="265"/>
      <c r="CYA228" s="265"/>
      <c r="CYB228" s="265"/>
      <c r="CYC228" s="265"/>
      <c r="CYD228" s="265"/>
      <c r="CYE228" s="265"/>
      <c r="CYF228" s="265"/>
      <c r="CYG228" s="265"/>
      <c r="CYH228" s="265"/>
      <c r="CYI228" s="265"/>
      <c r="CYJ228" s="265"/>
      <c r="CYK228" s="265"/>
      <c r="CYL228" s="265"/>
      <c r="CYM228" s="265"/>
      <c r="CYN228" s="265"/>
      <c r="CYO228" s="265"/>
      <c r="CYP228" s="265"/>
      <c r="CYQ228" s="265"/>
      <c r="CYR228" s="265"/>
      <c r="CYS228" s="265"/>
      <c r="CYT228" s="265"/>
      <c r="CYU228" s="265"/>
      <c r="CYV228" s="265"/>
      <c r="CYW228" s="265"/>
      <c r="CYX228" s="265"/>
      <c r="CYY228" s="265"/>
      <c r="CYZ228" s="265"/>
      <c r="CZA228" s="265"/>
      <c r="CZB228" s="265"/>
      <c r="CZC228" s="265"/>
      <c r="CZD228" s="265"/>
      <c r="CZE228" s="265"/>
      <c r="CZF228" s="265"/>
      <c r="CZG228" s="265"/>
      <c r="CZH228" s="265"/>
      <c r="CZI228" s="265"/>
      <c r="CZJ228" s="265"/>
      <c r="CZK228" s="265"/>
      <c r="CZL228" s="265"/>
      <c r="CZM228" s="265"/>
      <c r="CZN228" s="265"/>
      <c r="CZO228" s="265"/>
      <c r="CZP228" s="265"/>
      <c r="CZQ228" s="265"/>
      <c r="CZR228" s="265"/>
      <c r="CZS228" s="265"/>
      <c r="CZT228" s="265"/>
      <c r="CZU228" s="265"/>
      <c r="CZV228" s="265"/>
      <c r="CZW228" s="265"/>
      <c r="CZX228" s="265"/>
      <c r="CZY228" s="265"/>
      <c r="CZZ228" s="265"/>
      <c r="DAA228" s="265"/>
      <c r="DAB228" s="265"/>
      <c r="DAC228" s="265"/>
      <c r="DAD228" s="265"/>
      <c r="DAE228" s="265"/>
      <c r="DAF228" s="265"/>
      <c r="DAG228" s="265"/>
      <c r="DAH228" s="265"/>
      <c r="DAI228" s="265"/>
      <c r="DAJ228" s="265"/>
      <c r="DAK228" s="265"/>
      <c r="DAL228" s="265"/>
      <c r="DAM228" s="265"/>
      <c r="DAN228" s="265"/>
      <c r="DAO228" s="265"/>
      <c r="DAP228" s="265"/>
      <c r="DAQ228" s="265"/>
      <c r="DAR228" s="265"/>
      <c r="DAS228" s="265"/>
      <c r="DAT228" s="265"/>
      <c r="DAU228" s="265"/>
      <c r="DAV228" s="265"/>
      <c r="DAW228" s="265"/>
      <c r="DAX228" s="265"/>
      <c r="DAY228" s="265"/>
      <c r="DAZ228" s="265"/>
      <c r="DBA228" s="265"/>
      <c r="DBB228" s="265"/>
      <c r="DBC228" s="265"/>
      <c r="DBD228" s="265"/>
      <c r="DBE228" s="265"/>
      <c r="DBF228" s="265"/>
      <c r="DBG228" s="265"/>
      <c r="DBH228" s="265"/>
      <c r="DBI228" s="265"/>
      <c r="DBJ228" s="265"/>
      <c r="DBK228" s="265"/>
      <c r="DBL228" s="265"/>
      <c r="DBM228" s="265"/>
      <c r="DBN228" s="265"/>
      <c r="DBO228" s="265"/>
      <c r="DBP228" s="265"/>
      <c r="DBQ228" s="265"/>
      <c r="DBR228" s="265"/>
      <c r="DBS228" s="265"/>
      <c r="DBT228" s="265"/>
      <c r="DBU228" s="265"/>
      <c r="DBV228" s="265"/>
      <c r="DBW228" s="265"/>
      <c r="DBX228" s="265"/>
      <c r="DBY228" s="265"/>
      <c r="DBZ228" s="265"/>
      <c r="DCA228" s="265"/>
      <c r="DCB228" s="265"/>
      <c r="DCC228" s="265"/>
      <c r="DCD228" s="265"/>
      <c r="DCE228" s="265"/>
      <c r="DCF228" s="265"/>
      <c r="DCG228" s="265"/>
      <c r="DCH228" s="265"/>
      <c r="DCI228" s="265"/>
      <c r="DCJ228" s="265"/>
      <c r="DCK228" s="265"/>
      <c r="DCL228" s="265"/>
      <c r="DCM228" s="265"/>
      <c r="DCN228" s="265"/>
      <c r="DCO228" s="265"/>
      <c r="DCP228" s="265"/>
      <c r="DCQ228" s="265"/>
      <c r="DCR228" s="265"/>
      <c r="DCS228" s="265"/>
      <c r="DCT228" s="265"/>
      <c r="DCU228" s="265"/>
      <c r="DCV228" s="265"/>
      <c r="DCW228" s="265"/>
      <c r="DCX228" s="265"/>
      <c r="DCY228" s="265"/>
      <c r="DCZ228" s="265"/>
      <c r="DDA228" s="265"/>
      <c r="DDB228" s="265"/>
      <c r="DDC228" s="265"/>
      <c r="DDD228" s="265"/>
      <c r="DDE228" s="265"/>
      <c r="DDF228" s="265"/>
      <c r="DDG228" s="265"/>
      <c r="DDH228" s="265"/>
      <c r="DDI228" s="265"/>
      <c r="DDJ228" s="265"/>
      <c r="DDK228" s="265"/>
      <c r="DDL228" s="265"/>
      <c r="DDM228" s="265"/>
      <c r="DDN228" s="265"/>
      <c r="DDO228" s="265"/>
      <c r="DDP228" s="265"/>
      <c r="DDQ228" s="265"/>
      <c r="DDR228" s="265"/>
      <c r="DDS228" s="265"/>
      <c r="DDT228" s="265"/>
      <c r="DDU228" s="265"/>
      <c r="DDV228" s="265"/>
      <c r="DDW228" s="265"/>
      <c r="DDX228" s="265"/>
      <c r="DDY228" s="265"/>
      <c r="DDZ228" s="265"/>
      <c r="DEA228" s="265"/>
      <c r="DEB228" s="265"/>
      <c r="DEC228" s="265"/>
      <c r="DED228" s="265"/>
      <c r="DEE228" s="265"/>
      <c r="DEF228" s="265"/>
      <c r="DEG228" s="265"/>
      <c r="DEH228" s="265"/>
      <c r="DEI228" s="265"/>
      <c r="DEJ228" s="265"/>
      <c r="DEK228" s="265"/>
      <c r="DEL228" s="265"/>
      <c r="DEM228" s="265"/>
      <c r="DEN228" s="265"/>
      <c r="DEO228" s="265"/>
      <c r="DEP228" s="265"/>
      <c r="DEQ228" s="265"/>
      <c r="DER228" s="265"/>
      <c r="DES228" s="265"/>
      <c r="DET228" s="265"/>
      <c r="DEU228" s="265"/>
      <c r="DEV228" s="265"/>
      <c r="DEW228" s="265"/>
      <c r="DEX228" s="265"/>
      <c r="DEY228" s="265"/>
      <c r="DEZ228" s="265"/>
      <c r="DFA228" s="265"/>
      <c r="DFB228" s="265"/>
      <c r="DFC228" s="265"/>
      <c r="DFD228" s="265"/>
      <c r="DFE228" s="265"/>
      <c r="DFF228" s="265"/>
      <c r="DFG228" s="265"/>
      <c r="DFH228" s="265"/>
      <c r="DFI228" s="265"/>
      <c r="DFJ228" s="265"/>
      <c r="DFK228" s="265"/>
      <c r="DFL228" s="265"/>
      <c r="DFM228" s="265"/>
      <c r="DFN228" s="265"/>
      <c r="DFO228" s="265"/>
      <c r="DFP228" s="265"/>
      <c r="DFQ228" s="265"/>
      <c r="DFR228" s="265"/>
      <c r="DFS228" s="265"/>
      <c r="DFT228" s="265"/>
      <c r="DFU228" s="265"/>
      <c r="DFV228" s="265"/>
      <c r="DFW228" s="265"/>
      <c r="DFX228" s="265"/>
      <c r="DFY228" s="265"/>
      <c r="DFZ228" s="265"/>
      <c r="DGA228" s="265"/>
      <c r="DGB228" s="265"/>
      <c r="DGC228" s="265"/>
      <c r="DGD228" s="265"/>
      <c r="DGE228" s="265"/>
      <c r="DGF228" s="265"/>
      <c r="DGG228" s="265"/>
      <c r="DGH228" s="265"/>
      <c r="DGI228" s="265"/>
      <c r="DGJ228" s="265"/>
      <c r="DGK228" s="265"/>
      <c r="DGL228" s="265"/>
      <c r="DGM228" s="265"/>
      <c r="DGN228" s="265"/>
      <c r="DGO228" s="265"/>
      <c r="DGP228" s="265"/>
      <c r="DGQ228" s="265"/>
      <c r="DGR228" s="265"/>
      <c r="DGS228" s="265"/>
      <c r="DGT228" s="265"/>
      <c r="DGU228" s="265"/>
      <c r="DGV228" s="265"/>
      <c r="DGW228" s="265"/>
      <c r="DGX228" s="265"/>
      <c r="DGY228" s="265"/>
      <c r="DGZ228" s="265"/>
      <c r="DHA228" s="265"/>
      <c r="DHB228" s="265"/>
      <c r="DHC228" s="265"/>
      <c r="DHD228" s="265"/>
      <c r="DHE228" s="265"/>
      <c r="DHF228" s="265"/>
      <c r="DHG228" s="265"/>
      <c r="DHH228" s="265"/>
      <c r="DHI228" s="265"/>
      <c r="DHJ228" s="265"/>
      <c r="DHK228" s="265"/>
      <c r="DHL228" s="265"/>
      <c r="DHM228" s="265"/>
      <c r="DHN228" s="265"/>
      <c r="DHO228" s="265"/>
      <c r="DHP228" s="265"/>
      <c r="DHQ228" s="265"/>
      <c r="DHR228" s="265"/>
      <c r="DHS228" s="265"/>
      <c r="DHT228" s="265"/>
      <c r="DHU228" s="265"/>
      <c r="DHV228" s="265"/>
      <c r="DHW228" s="265"/>
      <c r="DHX228" s="265"/>
      <c r="DHY228" s="265"/>
      <c r="DHZ228" s="265"/>
      <c r="DIA228" s="265"/>
      <c r="DIB228" s="265"/>
      <c r="DIC228" s="265"/>
      <c r="DID228" s="265"/>
      <c r="DIE228" s="265"/>
      <c r="DIF228" s="265"/>
      <c r="DIG228" s="265"/>
      <c r="DIH228" s="265"/>
      <c r="DII228" s="265"/>
      <c r="DIJ228" s="265"/>
      <c r="DIK228" s="265"/>
      <c r="DIL228" s="265"/>
      <c r="DIM228" s="265"/>
      <c r="DIN228" s="265"/>
      <c r="DIO228" s="265"/>
      <c r="DIP228" s="265"/>
      <c r="DIQ228" s="265"/>
      <c r="DIR228" s="265"/>
      <c r="DIS228" s="265"/>
      <c r="DIT228" s="265"/>
      <c r="DIU228" s="265"/>
      <c r="DIV228" s="265"/>
      <c r="DIW228" s="265"/>
      <c r="DIX228" s="265"/>
      <c r="DIY228" s="265"/>
      <c r="DIZ228" s="265"/>
      <c r="DJA228" s="265"/>
      <c r="DJB228" s="265"/>
      <c r="DJC228" s="265"/>
      <c r="DJD228" s="265"/>
      <c r="DJE228" s="265"/>
      <c r="DJF228" s="265"/>
      <c r="DJG228" s="265"/>
      <c r="DJH228" s="265"/>
      <c r="DJI228" s="265"/>
      <c r="DJJ228" s="265"/>
      <c r="DJK228" s="265"/>
      <c r="DJL228" s="265"/>
      <c r="DJM228" s="265"/>
      <c r="DJN228" s="265"/>
      <c r="DJO228" s="265"/>
      <c r="DJP228" s="265"/>
      <c r="DJQ228" s="265"/>
      <c r="DJR228" s="265"/>
      <c r="DJS228" s="265"/>
      <c r="DJT228" s="265"/>
      <c r="DJU228" s="265"/>
      <c r="DJV228" s="265"/>
      <c r="DJW228" s="265"/>
      <c r="DJX228" s="265"/>
      <c r="DJY228" s="265"/>
      <c r="DJZ228" s="265"/>
      <c r="DKA228" s="265"/>
      <c r="DKB228" s="265"/>
      <c r="DKC228" s="265"/>
      <c r="DKD228" s="265"/>
      <c r="DKE228" s="265"/>
      <c r="DKF228" s="265"/>
      <c r="DKG228" s="265"/>
      <c r="DKH228" s="265"/>
      <c r="DKI228" s="265"/>
      <c r="DKJ228" s="265"/>
      <c r="DKK228" s="265"/>
      <c r="DKL228" s="265"/>
      <c r="DKM228" s="265"/>
      <c r="DKN228" s="265"/>
      <c r="DKO228" s="265"/>
      <c r="DKP228" s="265"/>
      <c r="DKQ228" s="265"/>
      <c r="DKR228" s="265"/>
      <c r="DKS228" s="265"/>
      <c r="DKT228" s="265"/>
      <c r="DKU228" s="265"/>
      <c r="DKV228" s="265"/>
      <c r="DKW228" s="265"/>
      <c r="DKX228" s="265"/>
      <c r="DKY228" s="265"/>
      <c r="DKZ228" s="265"/>
      <c r="DLA228" s="265"/>
      <c r="DLB228" s="265"/>
      <c r="DLC228" s="265"/>
      <c r="DLD228" s="265"/>
      <c r="DLE228" s="265"/>
      <c r="DLF228" s="265"/>
      <c r="DLG228" s="265"/>
      <c r="DLH228" s="265"/>
      <c r="DLI228" s="265"/>
      <c r="DLJ228" s="265"/>
      <c r="DLK228" s="265"/>
      <c r="DLL228" s="265"/>
      <c r="DLM228" s="265"/>
      <c r="DLN228" s="265"/>
      <c r="DLO228" s="265"/>
      <c r="DLP228" s="265"/>
      <c r="DLQ228" s="265"/>
      <c r="DLR228" s="265"/>
      <c r="DLS228" s="265"/>
      <c r="DLT228" s="265"/>
      <c r="DLU228" s="265"/>
      <c r="DLV228" s="265"/>
      <c r="DLW228" s="265"/>
      <c r="DLX228" s="265"/>
      <c r="DLY228" s="265"/>
      <c r="DLZ228" s="265"/>
      <c r="DMA228" s="265"/>
      <c r="DMB228" s="265"/>
      <c r="DMC228" s="265"/>
      <c r="DMD228" s="265"/>
      <c r="DME228" s="265"/>
      <c r="DMF228" s="265"/>
      <c r="DMG228" s="265"/>
      <c r="DMH228" s="265"/>
      <c r="DMI228" s="265"/>
      <c r="DMJ228" s="265"/>
      <c r="DMK228" s="265"/>
      <c r="DML228" s="265"/>
      <c r="DMM228" s="265"/>
      <c r="DMN228" s="265"/>
      <c r="DMO228" s="265"/>
      <c r="DMP228" s="265"/>
      <c r="DMQ228" s="265"/>
      <c r="DMR228" s="265"/>
      <c r="DMS228" s="265"/>
      <c r="DMT228" s="265"/>
      <c r="DMU228" s="265"/>
      <c r="DMV228" s="265"/>
      <c r="DMW228" s="265"/>
      <c r="DMX228" s="265"/>
      <c r="DMY228" s="265"/>
      <c r="DMZ228" s="265"/>
      <c r="DNA228" s="265"/>
      <c r="DNB228" s="265"/>
      <c r="DNC228" s="265"/>
      <c r="DND228" s="265"/>
      <c r="DNE228" s="265"/>
      <c r="DNF228" s="265"/>
      <c r="DNG228" s="265"/>
      <c r="DNH228" s="265"/>
      <c r="DNI228" s="265"/>
      <c r="DNJ228" s="265"/>
      <c r="DNK228" s="265"/>
      <c r="DNL228" s="265"/>
      <c r="DNM228" s="265"/>
      <c r="DNN228" s="265"/>
      <c r="DNO228" s="265"/>
      <c r="DNP228" s="265"/>
      <c r="DNQ228" s="265"/>
      <c r="DNR228" s="265"/>
      <c r="DNS228" s="265"/>
      <c r="DNT228" s="265"/>
      <c r="DNU228" s="265"/>
      <c r="DNV228" s="265"/>
      <c r="DNW228" s="265"/>
      <c r="DNX228" s="265"/>
      <c r="DNY228" s="265"/>
      <c r="DNZ228" s="265"/>
      <c r="DOA228" s="265"/>
      <c r="DOB228" s="265"/>
      <c r="DOC228" s="265"/>
      <c r="DOD228" s="265"/>
      <c r="DOE228" s="265"/>
      <c r="DOF228" s="265"/>
      <c r="DOG228" s="265"/>
      <c r="DOH228" s="265"/>
      <c r="DOI228" s="265"/>
      <c r="DOJ228" s="265"/>
      <c r="DOK228" s="265"/>
      <c r="DOL228" s="265"/>
      <c r="DOM228" s="265"/>
      <c r="DON228" s="265"/>
      <c r="DOO228" s="265"/>
      <c r="DOP228" s="265"/>
      <c r="DOQ228" s="265"/>
      <c r="DOR228" s="265"/>
      <c r="DOS228" s="265"/>
      <c r="DOT228" s="265"/>
      <c r="DOU228" s="265"/>
      <c r="DOV228" s="265"/>
      <c r="DOW228" s="265"/>
      <c r="DOX228" s="265"/>
      <c r="DOY228" s="265"/>
      <c r="DOZ228" s="265"/>
      <c r="DPA228" s="265"/>
      <c r="DPB228" s="265"/>
      <c r="DPC228" s="265"/>
      <c r="DPD228" s="265"/>
      <c r="DPE228" s="265"/>
      <c r="DPF228" s="265"/>
      <c r="DPG228" s="265"/>
      <c r="DPH228" s="265"/>
      <c r="DPI228" s="265"/>
      <c r="DPJ228" s="265"/>
      <c r="DPK228" s="265"/>
      <c r="DPL228" s="265"/>
      <c r="DPM228" s="265"/>
      <c r="DPN228" s="265"/>
      <c r="DPO228" s="265"/>
      <c r="DPP228" s="265"/>
      <c r="DPQ228" s="265"/>
      <c r="DPR228" s="265"/>
      <c r="DPS228" s="265"/>
      <c r="DPT228" s="265"/>
      <c r="DPU228" s="265"/>
      <c r="DPV228" s="265"/>
      <c r="DPW228" s="265"/>
      <c r="DPX228" s="265"/>
      <c r="DPY228" s="265"/>
      <c r="DPZ228" s="265"/>
      <c r="DQA228" s="265"/>
      <c r="DQB228" s="265"/>
      <c r="DQC228" s="265"/>
      <c r="DQD228" s="265"/>
      <c r="DQE228" s="265"/>
      <c r="DQF228" s="265"/>
      <c r="DQG228" s="265"/>
      <c r="DQH228" s="265"/>
      <c r="DQI228" s="265"/>
      <c r="DQJ228" s="265"/>
      <c r="DQK228" s="265"/>
      <c r="DQL228" s="265"/>
      <c r="DQM228" s="265"/>
      <c r="DQN228" s="265"/>
      <c r="DQO228" s="265"/>
      <c r="DQP228" s="265"/>
      <c r="DQQ228" s="265"/>
      <c r="DQR228" s="265"/>
      <c r="DQS228" s="265"/>
      <c r="DQT228" s="265"/>
      <c r="DQU228" s="265"/>
      <c r="DQV228" s="265"/>
      <c r="DQW228" s="265"/>
      <c r="DQX228" s="265"/>
      <c r="DQY228" s="265"/>
      <c r="DQZ228" s="265"/>
      <c r="DRA228" s="265"/>
      <c r="DRB228" s="265"/>
      <c r="DRC228" s="265"/>
      <c r="DRD228" s="265"/>
      <c r="DRE228" s="265"/>
      <c r="DRF228" s="265"/>
      <c r="DRG228" s="265"/>
      <c r="DRH228" s="265"/>
      <c r="DRI228" s="265"/>
      <c r="DRJ228" s="265"/>
      <c r="DRK228" s="265"/>
      <c r="DRL228" s="265"/>
      <c r="DRM228" s="265"/>
      <c r="DRN228" s="265"/>
      <c r="DRO228" s="265"/>
      <c r="DRP228" s="265"/>
      <c r="DRQ228" s="265"/>
      <c r="DRR228" s="265"/>
      <c r="DRS228" s="265"/>
      <c r="DRT228" s="265"/>
      <c r="DRU228" s="265"/>
      <c r="DRV228" s="265"/>
      <c r="DRW228" s="265"/>
      <c r="DRX228" s="265"/>
      <c r="DRY228" s="265"/>
      <c r="DRZ228" s="265"/>
      <c r="DSA228" s="265"/>
      <c r="DSB228" s="265"/>
      <c r="DSC228" s="265"/>
      <c r="DSD228" s="265"/>
      <c r="DSE228" s="265"/>
      <c r="DSF228" s="265"/>
      <c r="DSG228" s="265"/>
      <c r="DSH228" s="265"/>
      <c r="DSI228" s="265"/>
      <c r="DSJ228" s="265"/>
      <c r="DSK228" s="265"/>
      <c r="DSL228" s="265"/>
      <c r="DSM228" s="265"/>
      <c r="DSN228" s="265"/>
      <c r="DSO228" s="265"/>
      <c r="DSP228" s="265"/>
      <c r="DSQ228" s="265"/>
      <c r="DSR228" s="265"/>
      <c r="DSS228" s="265"/>
      <c r="DST228" s="265"/>
      <c r="DSU228" s="265"/>
      <c r="DSV228" s="265"/>
      <c r="DSW228" s="265"/>
      <c r="DSX228" s="265"/>
      <c r="DSY228" s="265"/>
      <c r="DSZ228" s="265"/>
      <c r="DTA228" s="265"/>
      <c r="DTB228" s="265"/>
      <c r="DTC228" s="265"/>
      <c r="DTD228" s="265"/>
      <c r="DTE228" s="265"/>
      <c r="DTF228" s="265"/>
      <c r="DTG228" s="265"/>
      <c r="DTH228" s="265"/>
      <c r="DTI228" s="265"/>
      <c r="DTJ228" s="265"/>
      <c r="DTK228" s="265"/>
      <c r="DTL228" s="265"/>
      <c r="DTM228" s="265"/>
      <c r="DTN228" s="265"/>
      <c r="DTO228" s="265"/>
      <c r="DTP228" s="265"/>
      <c r="DTQ228" s="265"/>
      <c r="DTR228" s="265"/>
      <c r="DTS228" s="265"/>
      <c r="DTT228" s="265"/>
      <c r="DTU228" s="265"/>
      <c r="DTV228" s="265"/>
      <c r="DTW228" s="265"/>
      <c r="DTX228" s="265"/>
      <c r="DTY228" s="265"/>
      <c r="DTZ228" s="265"/>
      <c r="DUA228" s="265"/>
      <c r="DUB228" s="265"/>
      <c r="DUC228" s="265"/>
      <c r="DUD228" s="265"/>
      <c r="DUE228" s="265"/>
      <c r="DUF228" s="265"/>
      <c r="DUG228" s="265"/>
      <c r="DUH228" s="265"/>
      <c r="DUI228" s="265"/>
      <c r="DUJ228" s="265"/>
      <c r="DUK228" s="265"/>
      <c r="DUL228" s="265"/>
      <c r="DUM228" s="265"/>
      <c r="DUN228" s="265"/>
      <c r="DUO228" s="265"/>
      <c r="DUP228" s="265"/>
      <c r="DUQ228" s="265"/>
      <c r="DUR228" s="265"/>
      <c r="DUS228" s="265"/>
      <c r="DUT228" s="265"/>
      <c r="DUU228" s="265"/>
      <c r="DUV228" s="265"/>
      <c r="DUW228" s="265"/>
      <c r="DUX228" s="265"/>
      <c r="DUY228" s="265"/>
      <c r="DUZ228" s="265"/>
      <c r="DVA228" s="265"/>
      <c r="DVB228" s="265"/>
      <c r="DVC228" s="265"/>
      <c r="DVD228" s="265"/>
      <c r="DVE228" s="265"/>
      <c r="DVF228" s="265"/>
      <c r="DVG228" s="265"/>
      <c r="DVH228" s="265"/>
      <c r="DVI228" s="265"/>
      <c r="DVJ228" s="265"/>
      <c r="DVK228" s="265"/>
      <c r="DVL228" s="265"/>
      <c r="DVM228" s="265"/>
      <c r="DVN228" s="265"/>
      <c r="DVO228" s="265"/>
      <c r="DVP228" s="265"/>
      <c r="DVQ228" s="265"/>
      <c r="DVR228" s="265"/>
      <c r="DVS228" s="265"/>
      <c r="DVT228" s="265"/>
      <c r="DVU228" s="265"/>
      <c r="DVV228" s="265"/>
      <c r="DVW228" s="265"/>
      <c r="DVX228" s="265"/>
      <c r="DVY228" s="265"/>
      <c r="DVZ228" s="265"/>
      <c r="DWA228" s="265"/>
      <c r="DWB228" s="265"/>
      <c r="DWC228" s="265"/>
      <c r="DWD228" s="265"/>
      <c r="DWE228" s="265"/>
      <c r="DWF228" s="265"/>
      <c r="DWG228" s="265"/>
      <c r="DWH228" s="265"/>
      <c r="DWI228" s="265"/>
      <c r="DWJ228" s="265"/>
      <c r="DWK228" s="265"/>
      <c r="DWL228" s="265"/>
      <c r="DWM228" s="265"/>
      <c r="DWN228" s="265"/>
      <c r="DWO228" s="265"/>
      <c r="DWP228" s="265"/>
      <c r="DWQ228" s="265"/>
      <c r="DWR228" s="265"/>
      <c r="DWS228" s="265"/>
      <c r="DWT228" s="265"/>
      <c r="DWU228" s="265"/>
      <c r="DWV228" s="265"/>
      <c r="DWW228" s="265"/>
      <c r="DWX228" s="265"/>
      <c r="DWY228" s="265"/>
      <c r="DWZ228" s="265"/>
      <c r="DXA228" s="265"/>
      <c r="DXB228" s="265"/>
      <c r="DXC228" s="265"/>
      <c r="DXD228" s="265"/>
      <c r="DXE228" s="265"/>
      <c r="DXF228" s="265"/>
      <c r="DXG228" s="265"/>
      <c r="DXH228" s="265"/>
      <c r="DXI228" s="265"/>
      <c r="DXJ228" s="265"/>
      <c r="DXK228" s="265"/>
      <c r="DXL228" s="265"/>
      <c r="DXM228" s="265"/>
      <c r="DXN228" s="265"/>
      <c r="DXO228" s="265"/>
      <c r="DXP228" s="265"/>
      <c r="DXQ228" s="265"/>
      <c r="DXR228" s="265"/>
      <c r="DXS228" s="265"/>
      <c r="DXT228" s="265"/>
      <c r="DXU228" s="265"/>
      <c r="DXV228" s="265"/>
      <c r="DXW228" s="265"/>
      <c r="DXX228" s="265"/>
      <c r="DXY228" s="265"/>
      <c r="DXZ228" s="265"/>
      <c r="DYA228" s="265"/>
      <c r="DYB228" s="265"/>
      <c r="DYC228" s="265"/>
      <c r="DYD228" s="265"/>
      <c r="DYE228" s="265"/>
      <c r="DYF228" s="265"/>
      <c r="DYG228" s="265"/>
      <c r="DYH228" s="265"/>
      <c r="DYI228" s="265"/>
      <c r="DYJ228" s="265"/>
      <c r="DYK228" s="265"/>
      <c r="DYL228" s="265"/>
      <c r="DYM228" s="265"/>
      <c r="DYN228" s="265"/>
      <c r="DYO228" s="265"/>
      <c r="DYP228" s="265"/>
      <c r="DYQ228" s="265"/>
      <c r="DYR228" s="265"/>
      <c r="DYS228" s="265"/>
      <c r="DYT228" s="265"/>
      <c r="DYU228" s="265"/>
      <c r="DYV228" s="265"/>
      <c r="DYW228" s="265"/>
      <c r="DYX228" s="265"/>
      <c r="DYY228" s="265"/>
      <c r="DYZ228" s="265"/>
      <c r="DZA228" s="265"/>
      <c r="DZB228" s="265"/>
      <c r="DZC228" s="265"/>
      <c r="DZD228" s="265"/>
      <c r="DZE228" s="265"/>
      <c r="DZF228" s="265"/>
      <c r="DZG228" s="265"/>
      <c r="DZH228" s="265"/>
      <c r="DZI228" s="265"/>
      <c r="DZJ228" s="265"/>
      <c r="DZK228" s="265"/>
      <c r="DZL228" s="265"/>
      <c r="DZM228" s="265"/>
      <c r="DZN228" s="265"/>
      <c r="DZO228" s="265"/>
      <c r="DZP228" s="265"/>
      <c r="DZQ228" s="265"/>
      <c r="DZR228" s="265"/>
      <c r="DZS228" s="265"/>
      <c r="DZT228" s="265"/>
      <c r="DZU228" s="265"/>
      <c r="DZV228" s="265"/>
      <c r="DZW228" s="265"/>
      <c r="DZX228" s="265"/>
      <c r="DZY228" s="265"/>
      <c r="DZZ228" s="265"/>
      <c r="EAA228" s="265"/>
      <c r="EAB228" s="265"/>
      <c r="EAC228" s="265"/>
      <c r="EAD228" s="265"/>
      <c r="EAE228" s="265"/>
      <c r="EAF228" s="265"/>
      <c r="EAG228" s="265"/>
      <c r="EAH228" s="265"/>
      <c r="EAI228" s="265"/>
      <c r="EAJ228" s="265"/>
      <c r="EAK228" s="265"/>
      <c r="EAL228" s="265"/>
      <c r="EAM228" s="265"/>
      <c r="EAN228" s="265"/>
      <c r="EAO228" s="265"/>
      <c r="EAP228" s="265"/>
      <c r="EAQ228" s="265"/>
      <c r="EAR228" s="265"/>
      <c r="EAS228" s="265"/>
      <c r="EAT228" s="265"/>
      <c r="EAU228" s="265"/>
      <c r="EAV228" s="265"/>
      <c r="EAW228" s="265"/>
      <c r="EAX228" s="265"/>
      <c r="EAY228" s="265"/>
      <c r="EAZ228" s="265"/>
      <c r="EBA228" s="265"/>
      <c r="EBB228" s="265"/>
      <c r="EBC228" s="265"/>
      <c r="EBD228" s="265"/>
      <c r="EBE228" s="265"/>
      <c r="EBF228" s="265"/>
      <c r="EBG228" s="265"/>
      <c r="EBH228" s="265"/>
      <c r="EBI228" s="265"/>
      <c r="EBJ228" s="265"/>
      <c r="EBK228" s="265"/>
      <c r="EBL228" s="265"/>
      <c r="EBM228" s="265"/>
      <c r="EBN228" s="265"/>
      <c r="EBO228" s="265"/>
      <c r="EBP228" s="265"/>
      <c r="EBQ228" s="265"/>
      <c r="EBR228" s="265"/>
      <c r="EBS228" s="265"/>
      <c r="EBT228" s="265"/>
      <c r="EBU228" s="265"/>
      <c r="EBV228" s="265"/>
      <c r="EBW228" s="265"/>
      <c r="EBX228" s="265"/>
      <c r="EBY228" s="265"/>
      <c r="EBZ228" s="265"/>
      <c r="ECA228" s="265"/>
      <c r="ECB228" s="265"/>
      <c r="ECC228" s="265"/>
      <c r="ECD228" s="265"/>
      <c r="ECE228" s="265"/>
      <c r="ECF228" s="265"/>
      <c r="ECG228" s="265"/>
      <c r="ECH228" s="265"/>
      <c r="ECI228" s="265"/>
      <c r="ECJ228" s="265"/>
      <c r="ECK228" s="265"/>
      <c r="ECL228" s="265"/>
      <c r="ECM228" s="265"/>
      <c r="ECN228" s="265"/>
      <c r="ECO228" s="265"/>
      <c r="ECP228" s="265"/>
      <c r="ECQ228" s="265"/>
      <c r="ECR228" s="265"/>
      <c r="ECS228" s="265"/>
      <c r="ECT228" s="265"/>
      <c r="ECU228" s="265"/>
      <c r="ECV228" s="265"/>
      <c r="ECW228" s="265"/>
      <c r="ECX228" s="265"/>
      <c r="ECY228" s="265"/>
      <c r="ECZ228" s="265"/>
      <c r="EDA228" s="265"/>
      <c r="EDB228" s="265"/>
      <c r="EDC228" s="265"/>
      <c r="EDD228" s="265"/>
      <c r="EDE228" s="265"/>
      <c r="EDF228" s="265"/>
      <c r="EDG228" s="265"/>
      <c r="EDH228" s="265"/>
      <c r="EDI228" s="265"/>
      <c r="EDJ228" s="265"/>
      <c r="EDK228" s="265"/>
      <c r="EDL228" s="265"/>
      <c r="EDM228" s="265"/>
      <c r="EDN228" s="265"/>
      <c r="EDO228" s="265"/>
      <c r="EDP228" s="265"/>
      <c r="EDQ228" s="265"/>
      <c r="EDR228" s="265"/>
      <c r="EDS228" s="265"/>
      <c r="EDT228" s="265"/>
      <c r="EDU228" s="265"/>
      <c r="EDV228" s="265"/>
      <c r="EDW228" s="265"/>
      <c r="EDX228" s="265"/>
      <c r="EDY228" s="265"/>
      <c r="EDZ228" s="265"/>
      <c r="EEA228" s="265"/>
      <c r="EEB228" s="265"/>
      <c r="EEC228" s="265"/>
      <c r="EED228" s="265"/>
      <c r="EEE228" s="265"/>
      <c r="EEF228" s="265"/>
      <c r="EEG228" s="265"/>
      <c r="EEH228" s="265"/>
      <c r="EEI228" s="265"/>
      <c r="EEJ228" s="265"/>
      <c r="EEK228" s="265"/>
      <c r="EEL228" s="265"/>
      <c r="EEM228" s="265"/>
      <c r="EEN228" s="265"/>
      <c r="EEO228" s="265"/>
      <c r="EEP228" s="265"/>
      <c r="EEQ228" s="265"/>
      <c r="EER228" s="265"/>
      <c r="EES228" s="265"/>
      <c r="EET228" s="265"/>
      <c r="EEU228" s="265"/>
      <c r="EEV228" s="265"/>
      <c r="EEW228" s="265"/>
      <c r="EEX228" s="265"/>
      <c r="EEY228" s="265"/>
      <c r="EEZ228" s="265"/>
      <c r="EFA228" s="265"/>
      <c r="EFB228" s="265"/>
      <c r="EFC228" s="265"/>
      <c r="EFD228" s="265"/>
      <c r="EFE228" s="265"/>
      <c r="EFF228" s="265"/>
      <c r="EFG228" s="265"/>
      <c r="EFH228" s="265"/>
      <c r="EFI228" s="265"/>
      <c r="EFJ228" s="265"/>
      <c r="EFK228" s="265"/>
      <c r="EFL228" s="265"/>
      <c r="EFM228" s="265"/>
      <c r="EFN228" s="265"/>
      <c r="EFO228" s="265"/>
      <c r="EFP228" s="265"/>
      <c r="EFQ228" s="265"/>
      <c r="EFR228" s="265"/>
      <c r="EFS228" s="265"/>
      <c r="EFT228" s="265"/>
      <c r="EFU228" s="265"/>
      <c r="EFV228" s="265"/>
      <c r="EFW228" s="265"/>
      <c r="EFX228" s="265"/>
      <c r="EFY228" s="265"/>
      <c r="EFZ228" s="265"/>
      <c r="EGA228" s="265"/>
      <c r="EGB228" s="265"/>
      <c r="EGC228" s="265"/>
      <c r="EGD228" s="265"/>
      <c r="EGE228" s="265"/>
      <c r="EGF228" s="265"/>
      <c r="EGG228" s="265"/>
      <c r="EGH228" s="265"/>
      <c r="EGI228" s="265"/>
      <c r="EGJ228" s="265"/>
      <c r="EGK228" s="265"/>
      <c r="EGL228" s="265"/>
      <c r="EGM228" s="265"/>
      <c r="EGN228" s="265"/>
      <c r="EGO228" s="265"/>
      <c r="EGP228" s="265"/>
      <c r="EGQ228" s="265"/>
      <c r="EGR228" s="265"/>
      <c r="EGS228" s="265"/>
      <c r="EGT228" s="265"/>
      <c r="EGU228" s="265"/>
      <c r="EGV228" s="265"/>
      <c r="EGW228" s="265"/>
      <c r="EGX228" s="265"/>
      <c r="EGY228" s="265"/>
      <c r="EGZ228" s="265"/>
      <c r="EHA228" s="265"/>
      <c r="EHB228" s="265"/>
      <c r="EHC228" s="265"/>
      <c r="EHD228" s="265"/>
      <c r="EHE228" s="265"/>
      <c r="EHF228" s="265"/>
      <c r="EHG228" s="265"/>
      <c r="EHH228" s="265"/>
      <c r="EHI228" s="265"/>
      <c r="EHJ228" s="265"/>
      <c r="EHK228" s="265"/>
      <c r="EHL228" s="265"/>
      <c r="EHM228" s="265"/>
      <c r="EHN228" s="265"/>
      <c r="EHO228" s="265"/>
      <c r="EHP228" s="265"/>
      <c r="EHQ228" s="265"/>
      <c r="EHR228" s="265"/>
      <c r="EHS228" s="265"/>
      <c r="EHT228" s="265"/>
      <c r="EHU228" s="265"/>
      <c r="EHV228" s="265"/>
      <c r="EHW228" s="265"/>
      <c r="EHX228" s="265"/>
      <c r="EHY228" s="265"/>
      <c r="EHZ228" s="265"/>
      <c r="EIA228" s="265"/>
      <c r="EIB228" s="265"/>
      <c r="EIC228" s="265"/>
      <c r="EID228" s="265"/>
      <c r="EIE228" s="265"/>
      <c r="EIF228" s="265"/>
      <c r="EIG228" s="265"/>
      <c r="EIH228" s="265"/>
      <c r="EII228" s="265"/>
      <c r="EIJ228" s="265"/>
      <c r="EIK228" s="265"/>
      <c r="EIL228" s="265"/>
      <c r="EIM228" s="265"/>
      <c r="EIN228" s="265"/>
      <c r="EIO228" s="265"/>
      <c r="EIP228" s="265"/>
      <c r="EIQ228" s="265"/>
      <c r="EIR228" s="265"/>
      <c r="EIS228" s="265"/>
      <c r="EIT228" s="265"/>
      <c r="EIU228" s="265"/>
      <c r="EIV228" s="265"/>
      <c r="EIW228" s="265"/>
      <c r="EIX228" s="265"/>
      <c r="EIY228" s="265"/>
      <c r="EIZ228" s="265"/>
      <c r="EJA228" s="265"/>
      <c r="EJB228" s="265"/>
      <c r="EJC228" s="265"/>
      <c r="EJD228" s="265"/>
      <c r="EJE228" s="265"/>
      <c r="EJF228" s="265"/>
      <c r="EJG228" s="265"/>
      <c r="EJH228" s="265"/>
      <c r="EJI228" s="265"/>
      <c r="EJJ228" s="265"/>
      <c r="EJK228" s="265"/>
      <c r="EJL228" s="265"/>
      <c r="EJM228" s="265"/>
      <c r="EJN228" s="265"/>
      <c r="EJO228" s="265"/>
      <c r="EJP228" s="265"/>
      <c r="EJQ228" s="265"/>
      <c r="EJR228" s="265"/>
      <c r="EJS228" s="265"/>
      <c r="EJT228" s="265"/>
      <c r="EJU228" s="265"/>
      <c r="EJV228" s="265"/>
      <c r="EJW228" s="265"/>
      <c r="EJX228" s="265"/>
      <c r="EJY228" s="265"/>
      <c r="EJZ228" s="265"/>
      <c r="EKA228" s="265"/>
      <c r="EKB228" s="265"/>
      <c r="EKC228" s="265"/>
      <c r="EKD228" s="265"/>
      <c r="EKE228" s="265"/>
      <c r="EKF228" s="265"/>
      <c r="EKG228" s="265"/>
      <c r="EKH228" s="265"/>
      <c r="EKI228" s="265"/>
      <c r="EKJ228" s="265"/>
      <c r="EKK228" s="265"/>
      <c r="EKL228" s="265"/>
      <c r="EKM228" s="265"/>
      <c r="EKN228" s="265"/>
      <c r="EKO228" s="265"/>
      <c r="EKP228" s="265"/>
      <c r="EKQ228" s="265"/>
      <c r="EKR228" s="265"/>
      <c r="EKS228" s="265"/>
      <c r="EKT228" s="265"/>
      <c r="EKU228" s="265"/>
      <c r="EKV228" s="265"/>
      <c r="EKW228" s="265"/>
      <c r="EKX228" s="265"/>
      <c r="EKY228" s="265"/>
      <c r="EKZ228" s="265"/>
      <c r="ELA228" s="265"/>
      <c r="ELB228" s="265"/>
      <c r="ELC228" s="265"/>
      <c r="ELD228" s="265"/>
      <c r="ELE228" s="265"/>
      <c r="ELF228" s="265"/>
      <c r="ELG228" s="265"/>
      <c r="ELH228" s="265"/>
      <c r="ELI228" s="265"/>
      <c r="ELJ228" s="265"/>
      <c r="ELK228" s="265"/>
      <c r="ELL228" s="265"/>
      <c r="ELM228" s="265"/>
      <c r="ELN228" s="265"/>
      <c r="ELO228" s="265"/>
      <c r="ELP228" s="265"/>
      <c r="ELQ228" s="265"/>
      <c r="ELR228" s="265"/>
      <c r="ELS228" s="265"/>
      <c r="ELT228" s="265"/>
      <c r="ELU228" s="265"/>
      <c r="ELV228" s="265"/>
      <c r="ELW228" s="265"/>
      <c r="ELX228" s="265"/>
      <c r="ELY228" s="265"/>
      <c r="ELZ228" s="265"/>
      <c r="EMA228" s="265"/>
      <c r="EMB228" s="265"/>
      <c r="EMC228" s="265"/>
      <c r="EMD228" s="265"/>
      <c r="EME228" s="265"/>
      <c r="EMF228" s="265"/>
      <c r="EMG228" s="265"/>
      <c r="EMH228" s="265"/>
      <c r="EMI228" s="265"/>
      <c r="EMJ228" s="265"/>
      <c r="EMK228" s="265"/>
      <c r="EML228" s="265"/>
      <c r="EMM228" s="265"/>
      <c r="EMN228" s="265"/>
      <c r="EMO228" s="265"/>
      <c r="EMP228" s="265"/>
      <c r="EMQ228" s="265"/>
      <c r="EMR228" s="265"/>
      <c r="EMS228" s="265"/>
      <c r="EMT228" s="265"/>
      <c r="EMU228" s="265"/>
      <c r="EMV228" s="265"/>
      <c r="EMW228" s="265"/>
      <c r="EMX228" s="265"/>
      <c r="EMY228" s="265"/>
      <c r="EMZ228" s="265"/>
      <c r="ENA228" s="265"/>
      <c r="ENB228" s="265"/>
      <c r="ENC228" s="265"/>
      <c r="END228" s="265"/>
      <c r="ENE228" s="265"/>
      <c r="ENF228" s="265"/>
      <c r="ENG228" s="265"/>
      <c r="ENH228" s="265"/>
      <c r="ENI228" s="265"/>
      <c r="ENJ228" s="265"/>
      <c r="ENK228" s="265"/>
      <c r="ENL228" s="265"/>
      <c r="ENM228" s="265"/>
      <c r="ENN228" s="265"/>
      <c r="ENO228" s="265"/>
      <c r="ENP228" s="265"/>
      <c r="ENQ228" s="265"/>
      <c r="ENR228" s="265"/>
      <c r="ENS228" s="265"/>
      <c r="ENT228" s="265"/>
      <c r="ENU228" s="265"/>
      <c r="ENV228" s="265"/>
      <c r="ENW228" s="265"/>
      <c r="ENX228" s="265"/>
      <c r="ENY228" s="265"/>
      <c r="ENZ228" s="265"/>
      <c r="EOA228" s="265"/>
      <c r="EOB228" s="265"/>
      <c r="EOC228" s="265"/>
      <c r="EOD228" s="265"/>
      <c r="EOE228" s="265"/>
      <c r="EOF228" s="265"/>
      <c r="EOG228" s="265"/>
      <c r="EOH228" s="265"/>
      <c r="EOI228" s="265"/>
      <c r="EOJ228" s="265"/>
      <c r="EOK228" s="265"/>
      <c r="EOL228" s="265"/>
      <c r="EOM228" s="265"/>
      <c r="EON228" s="265"/>
      <c r="EOO228" s="265"/>
      <c r="EOP228" s="265"/>
      <c r="EOQ228" s="265"/>
      <c r="EOR228" s="265"/>
      <c r="EOS228" s="265"/>
      <c r="EOT228" s="265"/>
      <c r="EOU228" s="265"/>
      <c r="EOV228" s="265"/>
      <c r="EOW228" s="265"/>
      <c r="EOX228" s="265"/>
      <c r="EOY228" s="265"/>
      <c r="EOZ228" s="265"/>
      <c r="EPA228" s="265"/>
      <c r="EPB228" s="265"/>
      <c r="EPC228" s="265"/>
      <c r="EPD228" s="265"/>
      <c r="EPE228" s="265"/>
      <c r="EPF228" s="265"/>
      <c r="EPG228" s="265"/>
      <c r="EPH228" s="265"/>
      <c r="EPI228" s="265"/>
      <c r="EPJ228" s="265"/>
      <c r="EPK228" s="265"/>
      <c r="EPL228" s="265"/>
      <c r="EPM228" s="265"/>
      <c r="EPN228" s="265"/>
      <c r="EPO228" s="265"/>
      <c r="EPP228" s="265"/>
      <c r="EPQ228" s="265"/>
      <c r="EPR228" s="265"/>
      <c r="EPS228" s="265"/>
      <c r="EPT228" s="265"/>
      <c r="EPU228" s="265"/>
      <c r="EPV228" s="265"/>
      <c r="EPW228" s="265"/>
      <c r="EPX228" s="265"/>
      <c r="EPY228" s="265"/>
      <c r="EPZ228" s="265"/>
      <c r="EQA228" s="265"/>
      <c r="EQB228" s="265"/>
      <c r="EQC228" s="265"/>
      <c r="EQD228" s="265"/>
      <c r="EQE228" s="265"/>
      <c r="EQF228" s="265"/>
      <c r="EQG228" s="265"/>
      <c r="EQH228" s="265"/>
      <c r="EQI228" s="265"/>
      <c r="EQJ228" s="265"/>
      <c r="EQK228" s="265"/>
      <c r="EQL228" s="265"/>
      <c r="EQM228" s="265"/>
      <c r="EQN228" s="265"/>
      <c r="EQO228" s="265"/>
      <c r="EQP228" s="265"/>
      <c r="EQQ228" s="265"/>
      <c r="EQR228" s="265"/>
      <c r="EQS228" s="265"/>
      <c r="EQT228" s="265"/>
      <c r="EQU228" s="265"/>
      <c r="EQV228" s="265"/>
      <c r="EQW228" s="265"/>
      <c r="EQX228" s="265"/>
      <c r="EQY228" s="265"/>
      <c r="EQZ228" s="265"/>
      <c r="ERA228" s="265"/>
      <c r="ERB228" s="265"/>
      <c r="ERC228" s="265"/>
      <c r="ERD228" s="265"/>
      <c r="ERE228" s="265"/>
      <c r="ERF228" s="265"/>
      <c r="ERG228" s="265"/>
      <c r="ERH228" s="265"/>
      <c r="ERI228" s="265"/>
      <c r="ERJ228" s="265"/>
      <c r="ERK228" s="265"/>
      <c r="ERL228" s="265"/>
      <c r="ERM228" s="265"/>
      <c r="ERN228" s="265"/>
      <c r="ERO228" s="265"/>
      <c r="ERP228" s="265"/>
      <c r="ERQ228" s="265"/>
      <c r="ERR228" s="265"/>
      <c r="ERS228" s="265"/>
      <c r="ERT228" s="265"/>
      <c r="ERU228" s="265"/>
      <c r="ERV228" s="265"/>
      <c r="ERW228" s="265"/>
      <c r="ERX228" s="265"/>
      <c r="ERY228" s="265"/>
      <c r="ERZ228" s="265"/>
      <c r="ESA228" s="265"/>
      <c r="ESB228" s="265"/>
      <c r="ESC228" s="265"/>
      <c r="ESD228" s="265"/>
      <c r="ESE228" s="265"/>
      <c r="ESF228" s="265"/>
      <c r="ESG228" s="265"/>
      <c r="ESH228" s="265"/>
      <c r="ESI228" s="265"/>
      <c r="ESJ228" s="265"/>
      <c r="ESK228" s="265"/>
      <c r="ESL228" s="265"/>
      <c r="ESM228" s="265"/>
      <c r="ESN228" s="265"/>
      <c r="ESO228" s="265"/>
      <c r="ESP228" s="265"/>
      <c r="ESQ228" s="265"/>
      <c r="ESR228" s="265"/>
      <c r="ESS228" s="265"/>
      <c r="EST228" s="265"/>
      <c r="ESU228" s="265"/>
      <c r="ESV228" s="265"/>
      <c r="ESW228" s="265"/>
      <c r="ESX228" s="265"/>
      <c r="ESY228" s="265"/>
      <c r="ESZ228" s="265"/>
      <c r="ETA228" s="265"/>
      <c r="ETB228" s="265"/>
      <c r="ETC228" s="265"/>
      <c r="ETD228" s="265"/>
      <c r="ETE228" s="265"/>
      <c r="ETF228" s="265"/>
      <c r="ETG228" s="265"/>
      <c r="ETH228" s="265"/>
      <c r="ETI228" s="265"/>
      <c r="ETJ228" s="265"/>
      <c r="ETK228" s="265"/>
      <c r="ETL228" s="265"/>
      <c r="ETM228" s="265"/>
      <c r="ETN228" s="265"/>
      <c r="ETO228" s="265"/>
      <c r="ETP228" s="265"/>
      <c r="ETQ228" s="265"/>
      <c r="ETR228" s="265"/>
      <c r="ETS228" s="265"/>
      <c r="ETT228" s="265"/>
      <c r="ETU228" s="265"/>
      <c r="ETV228" s="265"/>
      <c r="ETW228" s="265"/>
      <c r="ETX228" s="265"/>
      <c r="ETY228" s="265"/>
      <c r="ETZ228" s="265"/>
      <c r="EUA228" s="265"/>
      <c r="EUB228" s="265"/>
      <c r="EUC228" s="265"/>
      <c r="EUD228" s="265"/>
      <c r="EUE228" s="265"/>
      <c r="EUF228" s="265"/>
      <c r="EUG228" s="265"/>
      <c r="EUH228" s="265"/>
      <c r="EUI228" s="265"/>
      <c r="EUJ228" s="265"/>
      <c r="EUK228" s="265"/>
      <c r="EUL228" s="265"/>
      <c r="EUM228" s="265"/>
      <c r="EUN228" s="265"/>
      <c r="EUO228" s="265"/>
      <c r="EUP228" s="265"/>
      <c r="EUQ228" s="265"/>
      <c r="EUR228" s="265"/>
      <c r="EUS228" s="265"/>
      <c r="EUT228" s="265"/>
      <c r="EUU228" s="265"/>
      <c r="EUV228" s="265"/>
      <c r="EUW228" s="265"/>
      <c r="EUX228" s="265"/>
      <c r="EUY228" s="265"/>
      <c r="EUZ228" s="265"/>
      <c r="EVA228" s="265"/>
      <c r="EVB228" s="265"/>
      <c r="EVC228" s="265"/>
      <c r="EVD228" s="265"/>
      <c r="EVE228" s="265"/>
      <c r="EVF228" s="265"/>
      <c r="EVG228" s="265"/>
      <c r="EVH228" s="265"/>
      <c r="EVI228" s="265"/>
      <c r="EVJ228" s="265"/>
      <c r="EVK228" s="265"/>
      <c r="EVL228" s="265"/>
      <c r="EVM228" s="265"/>
      <c r="EVN228" s="265"/>
      <c r="EVO228" s="265"/>
      <c r="EVP228" s="265"/>
      <c r="EVQ228" s="265"/>
      <c r="EVR228" s="265"/>
      <c r="EVS228" s="265"/>
      <c r="EVT228" s="265"/>
      <c r="EVU228" s="265"/>
      <c r="EVV228" s="265"/>
      <c r="EVW228" s="265"/>
      <c r="EVX228" s="265"/>
      <c r="EVY228" s="265"/>
      <c r="EVZ228" s="265"/>
      <c r="EWA228" s="265"/>
      <c r="EWB228" s="265"/>
      <c r="EWC228" s="265"/>
      <c r="EWD228" s="265"/>
      <c r="EWE228" s="265"/>
      <c r="EWF228" s="265"/>
      <c r="EWG228" s="265"/>
      <c r="EWH228" s="265"/>
      <c r="EWI228" s="265"/>
      <c r="EWJ228" s="265"/>
      <c r="EWK228" s="265"/>
      <c r="EWL228" s="265"/>
      <c r="EWM228" s="265"/>
      <c r="EWN228" s="265"/>
      <c r="EWO228" s="265"/>
      <c r="EWP228" s="265"/>
      <c r="EWQ228" s="265"/>
      <c r="EWR228" s="265"/>
      <c r="EWS228" s="265"/>
      <c r="EWT228" s="265"/>
      <c r="EWU228" s="265"/>
      <c r="EWV228" s="265"/>
      <c r="EWW228" s="265"/>
      <c r="EWX228" s="265"/>
      <c r="EWY228" s="265"/>
      <c r="EWZ228" s="265"/>
      <c r="EXA228" s="265"/>
      <c r="EXB228" s="265"/>
      <c r="EXC228" s="265"/>
      <c r="EXD228" s="265"/>
      <c r="EXE228" s="265"/>
      <c r="EXF228" s="265"/>
      <c r="EXG228" s="265"/>
      <c r="EXH228" s="265"/>
      <c r="EXI228" s="265"/>
      <c r="EXJ228" s="265"/>
      <c r="EXK228" s="265"/>
      <c r="EXL228" s="265"/>
      <c r="EXM228" s="265"/>
      <c r="EXN228" s="265"/>
      <c r="EXO228" s="265"/>
      <c r="EXP228" s="265"/>
      <c r="EXQ228" s="265"/>
      <c r="EXR228" s="265"/>
      <c r="EXS228" s="265"/>
      <c r="EXT228" s="265"/>
      <c r="EXU228" s="265"/>
      <c r="EXV228" s="265"/>
      <c r="EXW228" s="265"/>
      <c r="EXX228" s="265"/>
      <c r="EXY228" s="265"/>
      <c r="EXZ228" s="265"/>
      <c r="EYA228" s="265"/>
      <c r="EYB228" s="265"/>
      <c r="EYC228" s="265"/>
      <c r="EYD228" s="265"/>
      <c r="EYE228" s="265"/>
      <c r="EYF228" s="265"/>
      <c r="EYG228" s="265"/>
      <c r="EYH228" s="265"/>
      <c r="EYI228" s="265"/>
      <c r="EYJ228" s="265"/>
      <c r="EYK228" s="265"/>
      <c r="EYL228" s="265"/>
      <c r="EYM228" s="265"/>
      <c r="EYN228" s="265"/>
      <c r="EYO228" s="265"/>
      <c r="EYP228" s="265"/>
      <c r="EYQ228" s="265"/>
      <c r="EYR228" s="265"/>
      <c r="EYS228" s="265"/>
      <c r="EYT228" s="265"/>
      <c r="EYU228" s="265"/>
      <c r="EYV228" s="265"/>
      <c r="EYW228" s="265"/>
      <c r="EYX228" s="265"/>
      <c r="EYY228" s="265"/>
      <c r="EYZ228" s="265"/>
      <c r="EZA228" s="265"/>
      <c r="EZB228" s="265"/>
      <c r="EZC228" s="265"/>
      <c r="EZD228" s="265"/>
      <c r="EZE228" s="265"/>
      <c r="EZF228" s="265"/>
      <c r="EZG228" s="265"/>
      <c r="EZH228" s="265"/>
      <c r="EZI228" s="265"/>
      <c r="EZJ228" s="265"/>
      <c r="EZK228" s="265"/>
      <c r="EZL228" s="265"/>
      <c r="EZM228" s="265"/>
      <c r="EZN228" s="265"/>
      <c r="EZO228" s="265"/>
      <c r="EZP228" s="265"/>
      <c r="EZQ228" s="265"/>
      <c r="EZR228" s="265"/>
      <c r="EZS228" s="265"/>
      <c r="EZT228" s="265"/>
      <c r="EZU228" s="265"/>
      <c r="EZV228" s="265"/>
      <c r="EZW228" s="265"/>
      <c r="EZX228" s="265"/>
      <c r="EZY228" s="265"/>
      <c r="EZZ228" s="265"/>
      <c r="FAA228" s="265"/>
      <c r="FAB228" s="265"/>
      <c r="FAC228" s="265"/>
      <c r="FAD228" s="265"/>
      <c r="FAE228" s="265"/>
      <c r="FAF228" s="265"/>
      <c r="FAG228" s="265"/>
      <c r="FAH228" s="265"/>
      <c r="FAI228" s="265"/>
      <c r="FAJ228" s="265"/>
      <c r="FAK228" s="265"/>
      <c r="FAL228" s="265"/>
      <c r="FAM228" s="265"/>
      <c r="FAN228" s="265"/>
      <c r="FAO228" s="265"/>
      <c r="FAP228" s="265"/>
      <c r="FAQ228" s="265"/>
      <c r="FAR228" s="265"/>
      <c r="FAS228" s="265"/>
      <c r="FAT228" s="265"/>
      <c r="FAU228" s="265"/>
      <c r="FAV228" s="265"/>
      <c r="FAW228" s="265"/>
      <c r="FAX228" s="265"/>
      <c r="FAY228" s="265"/>
      <c r="FAZ228" s="265"/>
      <c r="FBA228" s="265"/>
      <c r="FBB228" s="265"/>
      <c r="FBC228" s="265"/>
      <c r="FBD228" s="265"/>
      <c r="FBE228" s="265"/>
      <c r="FBF228" s="265"/>
      <c r="FBG228" s="265"/>
      <c r="FBH228" s="265"/>
      <c r="FBI228" s="265"/>
      <c r="FBJ228" s="265"/>
      <c r="FBK228" s="265"/>
      <c r="FBL228" s="265"/>
      <c r="FBM228" s="265"/>
      <c r="FBN228" s="265"/>
      <c r="FBO228" s="265"/>
      <c r="FBP228" s="265"/>
      <c r="FBQ228" s="265"/>
      <c r="FBR228" s="265"/>
      <c r="FBS228" s="265"/>
      <c r="FBT228" s="265"/>
      <c r="FBU228" s="265"/>
      <c r="FBV228" s="265"/>
      <c r="FBW228" s="265"/>
      <c r="FBX228" s="265"/>
      <c r="FBY228" s="265"/>
      <c r="FBZ228" s="265"/>
      <c r="FCA228" s="265"/>
      <c r="FCB228" s="265"/>
      <c r="FCC228" s="265"/>
      <c r="FCD228" s="265"/>
      <c r="FCE228" s="265"/>
      <c r="FCF228" s="265"/>
      <c r="FCG228" s="265"/>
      <c r="FCH228" s="265"/>
      <c r="FCI228" s="265"/>
      <c r="FCJ228" s="265"/>
      <c r="FCK228" s="265"/>
      <c r="FCL228" s="265"/>
      <c r="FCM228" s="265"/>
      <c r="FCN228" s="265"/>
      <c r="FCO228" s="265"/>
      <c r="FCP228" s="265"/>
      <c r="FCQ228" s="265"/>
      <c r="FCR228" s="265"/>
      <c r="FCS228" s="265"/>
      <c r="FCT228" s="265"/>
      <c r="FCU228" s="265"/>
      <c r="FCV228" s="265"/>
      <c r="FCW228" s="265"/>
      <c r="FCX228" s="265"/>
      <c r="FCY228" s="265"/>
      <c r="FCZ228" s="265"/>
      <c r="FDA228" s="265"/>
      <c r="FDB228" s="265"/>
      <c r="FDC228" s="265"/>
      <c r="FDD228" s="265"/>
      <c r="FDE228" s="265"/>
      <c r="FDF228" s="265"/>
      <c r="FDG228" s="265"/>
      <c r="FDH228" s="265"/>
      <c r="FDI228" s="265"/>
      <c r="FDJ228" s="265"/>
      <c r="FDK228" s="265"/>
      <c r="FDL228" s="265"/>
      <c r="FDM228" s="265"/>
      <c r="FDN228" s="265"/>
      <c r="FDO228" s="265"/>
      <c r="FDP228" s="265"/>
      <c r="FDQ228" s="265"/>
      <c r="FDR228" s="265"/>
      <c r="FDS228" s="265"/>
      <c r="FDT228" s="265"/>
      <c r="FDU228" s="265"/>
      <c r="FDV228" s="265"/>
      <c r="FDW228" s="265"/>
      <c r="FDX228" s="265"/>
      <c r="FDY228" s="265"/>
      <c r="FDZ228" s="265"/>
      <c r="FEA228" s="265"/>
      <c r="FEB228" s="265"/>
      <c r="FEC228" s="265"/>
      <c r="FED228" s="265"/>
      <c r="FEE228" s="265"/>
      <c r="FEF228" s="265"/>
      <c r="FEG228" s="265"/>
      <c r="FEH228" s="265"/>
      <c r="FEI228" s="265"/>
      <c r="FEJ228" s="265"/>
      <c r="FEK228" s="265"/>
      <c r="FEL228" s="265"/>
      <c r="FEM228" s="265"/>
      <c r="FEN228" s="265"/>
      <c r="FEO228" s="265"/>
      <c r="FEP228" s="265"/>
      <c r="FEQ228" s="265"/>
      <c r="FER228" s="265"/>
      <c r="FES228" s="265"/>
      <c r="FET228" s="265"/>
      <c r="FEU228" s="265"/>
      <c r="FEV228" s="265"/>
      <c r="FEW228" s="265"/>
      <c r="FEX228" s="265"/>
      <c r="FEY228" s="265"/>
      <c r="FEZ228" s="265"/>
      <c r="FFA228" s="265"/>
      <c r="FFB228" s="265"/>
      <c r="FFC228" s="265"/>
      <c r="FFD228" s="265"/>
      <c r="FFE228" s="265"/>
      <c r="FFF228" s="265"/>
      <c r="FFG228" s="265"/>
      <c r="FFH228" s="265"/>
      <c r="FFI228" s="265"/>
      <c r="FFJ228" s="265"/>
      <c r="FFK228" s="265"/>
      <c r="FFL228" s="265"/>
      <c r="FFM228" s="265"/>
      <c r="FFN228" s="265"/>
      <c r="FFO228" s="265"/>
      <c r="FFP228" s="265"/>
      <c r="FFQ228" s="265"/>
      <c r="FFR228" s="265"/>
      <c r="FFS228" s="265"/>
      <c r="FFT228" s="265"/>
      <c r="FFU228" s="265"/>
      <c r="FFV228" s="265"/>
      <c r="FFW228" s="265"/>
      <c r="FFX228" s="265"/>
      <c r="FFY228" s="265"/>
      <c r="FFZ228" s="265"/>
      <c r="FGA228" s="265"/>
      <c r="FGB228" s="265"/>
      <c r="FGC228" s="265"/>
      <c r="FGD228" s="265"/>
      <c r="FGE228" s="265"/>
      <c r="FGF228" s="265"/>
      <c r="FGG228" s="265"/>
      <c r="FGH228" s="265"/>
      <c r="FGI228" s="265"/>
      <c r="FGJ228" s="265"/>
      <c r="FGK228" s="265"/>
      <c r="FGL228" s="265"/>
      <c r="FGM228" s="265"/>
      <c r="FGN228" s="265"/>
      <c r="FGO228" s="265"/>
      <c r="FGP228" s="265"/>
      <c r="FGQ228" s="265"/>
      <c r="FGR228" s="265"/>
      <c r="FGS228" s="265"/>
      <c r="FGT228" s="265"/>
      <c r="FGU228" s="265"/>
      <c r="FGV228" s="265"/>
      <c r="FGW228" s="265"/>
      <c r="FGX228" s="265"/>
      <c r="FGY228" s="265"/>
      <c r="FGZ228" s="265"/>
      <c r="FHA228" s="265"/>
      <c r="FHB228" s="265"/>
      <c r="FHC228" s="265"/>
      <c r="FHD228" s="265"/>
      <c r="FHE228" s="265"/>
      <c r="FHF228" s="265"/>
      <c r="FHG228" s="265"/>
      <c r="FHH228" s="265"/>
      <c r="FHI228" s="265"/>
      <c r="FHJ228" s="265"/>
      <c r="FHK228" s="265"/>
      <c r="FHL228" s="265"/>
      <c r="FHM228" s="265"/>
      <c r="FHN228" s="265"/>
      <c r="FHO228" s="265"/>
      <c r="FHP228" s="265"/>
      <c r="FHQ228" s="265"/>
      <c r="FHR228" s="265"/>
      <c r="FHS228" s="265"/>
      <c r="FHT228" s="265"/>
      <c r="FHU228" s="265"/>
      <c r="FHV228" s="265"/>
      <c r="FHW228" s="265"/>
      <c r="FHX228" s="265"/>
      <c r="FHY228" s="265"/>
      <c r="FHZ228" s="265"/>
      <c r="FIA228" s="265"/>
      <c r="FIB228" s="265"/>
      <c r="FIC228" s="265"/>
      <c r="FID228" s="265"/>
      <c r="FIE228" s="265"/>
      <c r="FIF228" s="265"/>
      <c r="FIG228" s="265"/>
      <c r="FIH228" s="265"/>
      <c r="FII228" s="265"/>
      <c r="FIJ228" s="265"/>
      <c r="FIK228" s="265"/>
      <c r="FIL228" s="265"/>
      <c r="FIM228" s="265"/>
      <c r="FIN228" s="265"/>
      <c r="FIO228" s="265"/>
      <c r="FIP228" s="265"/>
      <c r="FIQ228" s="265"/>
      <c r="FIR228" s="265"/>
      <c r="FIS228" s="265"/>
      <c r="FIT228" s="265"/>
      <c r="FIU228" s="265"/>
      <c r="FIV228" s="265"/>
      <c r="FIW228" s="265"/>
      <c r="FIX228" s="265"/>
      <c r="FIY228" s="265"/>
      <c r="FIZ228" s="265"/>
      <c r="FJA228" s="265"/>
      <c r="FJB228" s="265"/>
      <c r="FJC228" s="265"/>
      <c r="FJD228" s="265"/>
      <c r="FJE228" s="265"/>
      <c r="FJF228" s="265"/>
      <c r="FJG228" s="265"/>
      <c r="FJH228" s="265"/>
      <c r="FJI228" s="265"/>
      <c r="FJJ228" s="265"/>
      <c r="FJK228" s="265"/>
      <c r="FJL228" s="265"/>
      <c r="FJM228" s="265"/>
      <c r="FJN228" s="265"/>
      <c r="FJO228" s="265"/>
      <c r="FJP228" s="265"/>
      <c r="FJQ228" s="265"/>
      <c r="FJR228" s="265"/>
      <c r="FJS228" s="265"/>
      <c r="FJT228" s="265"/>
      <c r="FJU228" s="265"/>
      <c r="FJV228" s="265"/>
      <c r="FJW228" s="265"/>
      <c r="FJX228" s="265"/>
      <c r="FJY228" s="265"/>
      <c r="FJZ228" s="265"/>
      <c r="FKA228" s="265"/>
      <c r="FKB228" s="265"/>
      <c r="FKC228" s="265"/>
      <c r="FKD228" s="265"/>
      <c r="FKE228" s="265"/>
      <c r="FKF228" s="265"/>
      <c r="FKG228" s="265"/>
      <c r="FKH228" s="265"/>
      <c r="FKI228" s="265"/>
      <c r="FKJ228" s="265"/>
      <c r="FKK228" s="265"/>
      <c r="FKL228" s="265"/>
      <c r="FKM228" s="265"/>
      <c r="FKN228" s="265"/>
      <c r="FKO228" s="265"/>
      <c r="FKP228" s="265"/>
      <c r="FKQ228" s="265"/>
      <c r="FKR228" s="265"/>
      <c r="FKS228" s="265"/>
      <c r="FKT228" s="265"/>
      <c r="FKU228" s="265"/>
      <c r="FKV228" s="265"/>
      <c r="FKW228" s="265"/>
      <c r="FKX228" s="265"/>
      <c r="FKY228" s="265"/>
      <c r="FKZ228" s="265"/>
      <c r="FLA228" s="265"/>
      <c r="FLB228" s="265"/>
      <c r="FLC228" s="265"/>
      <c r="FLD228" s="265"/>
      <c r="FLE228" s="265"/>
      <c r="FLF228" s="265"/>
      <c r="FLG228" s="265"/>
      <c r="FLH228" s="265"/>
      <c r="FLI228" s="265"/>
      <c r="FLJ228" s="265"/>
      <c r="FLK228" s="265"/>
      <c r="FLL228" s="265"/>
      <c r="FLM228" s="265"/>
      <c r="FLN228" s="265"/>
      <c r="FLO228" s="265"/>
      <c r="FLP228" s="265"/>
      <c r="FLQ228" s="265"/>
      <c r="FLR228" s="265"/>
      <c r="FLS228" s="265"/>
      <c r="FLT228" s="265"/>
      <c r="FLU228" s="265"/>
      <c r="FLV228" s="265"/>
      <c r="FLW228" s="265"/>
      <c r="FLX228" s="265"/>
      <c r="FLY228" s="265"/>
      <c r="FLZ228" s="265"/>
      <c r="FMA228" s="265"/>
      <c r="FMB228" s="265"/>
      <c r="FMC228" s="265"/>
      <c r="FMD228" s="265"/>
      <c r="FME228" s="265"/>
      <c r="FMF228" s="265"/>
      <c r="FMG228" s="265"/>
      <c r="FMH228" s="265"/>
      <c r="FMI228" s="265"/>
      <c r="FMJ228" s="265"/>
      <c r="FMK228" s="265"/>
      <c r="FML228" s="265"/>
      <c r="FMM228" s="265"/>
      <c r="FMN228" s="265"/>
      <c r="FMO228" s="265"/>
      <c r="FMP228" s="265"/>
      <c r="FMQ228" s="265"/>
      <c r="FMR228" s="265"/>
      <c r="FMS228" s="265"/>
      <c r="FMT228" s="265"/>
      <c r="FMU228" s="265"/>
      <c r="FMV228" s="265"/>
      <c r="FMW228" s="265"/>
      <c r="FMX228" s="265"/>
      <c r="FMY228" s="265"/>
      <c r="FMZ228" s="265"/>
      <c r="FNA228" s="265"/>
      <c r="FNB228" s="265"/>
      <c r="FNC228" s="265"/>
      <c r="FND228" s="265"/>
      <c r="FNE228" s="265"/>
      <c r="FNF228" s="265"/>
      <c r="FNG228" s="265"/>
      <c r="FNH228" s="265"/>
      <c r="FNI228" s="265"/>
      <c r="FNJ228" s="265"/>
      <c r="FNK228" s="265"/>
      <c r="FNL228" s="265"/>
      <c r="FNM228" s="265"/>
      <c r="FNN228" s="265"/>
      <c r="FNO228" s="265"/>
      <c r="FNP228" s="265"/>
      <c r="FNQ228" s="265"/>
      <c r="FNR228" s="265"/>
      <c r="FNS228" s="265"/>
      <c r="FNT228" s="265"/>
      <c r="FNU228" s="265"/>
      <c r="FNV228" s="265"/>
      <c r="FNW228" s="265"/>
      <c r="FNX228" s="265"/>
      <c r="FNY228" s="265"/>
      <c r="FNZ228" s="265"/>
      <c r="FOA228" s="265"/>
      <c r="FOB228" s="265"/>
      <c r="FOC228" s="265"/>
      <c r="FOD228" s="265"/>
      <c r="FOE228" s="265"/>
      <c r="FOF228" s="265"/>
      <c r="FOG228" s="265"/>
      <c r="FOH228" s="265"/>
      <c r="FOI228" s="265"/>
      <c r="FOJ228" s="265"/>
      <c r="FOK228" s="265"/>
      <c r="FOL228" s="265"/>
      <c r="FOM228" s="265"/>
      <c r="FON228" s="265"/>
      <c r="FOO228" s="265"/>
      <c r="FOP228" s="265"/>
      <c r="FOQ228" s="265"/>
      <c r="FOR228" s="265"/>
      <c r="FOS228" s="265"/>
      <c r="FOT228" s="265"/>
      <c r="FOU228" s="265"/>
      <c r="FOV228" s="265"/>
      <c r="FOW228" s="265"/>
      <c r="FOX228" s="265"/>
      <c r="FOY228" s="265"/>
      <c r="FOZ228" s="265"/>
      <c r="FPA228" s="265"/>
      <c r="FPB228" s="265"/>
      <c r="FPC228" s="265"/>
      <c r="FPD228" s="265"/>
      <c r="FPE228" s="265"/>
      <c r="FPF228" s="265"/>
      <c r="FPG228" s="265"/>
      <c r="FPH228" s="265"/>
      <c r="FPI228" s="265"/>
      <c r="FPJ228" s="265"/>
      <c r="FPK228" s="265"/>
      <c r="FPL228" s="265"/>
      <c r="FPM228" s="265"/>
      <c r="FPN228" s="265"/>
      <c r="FPO228" s="265"/>
      <c r="FPP228" s="265"/>
      <c r="FPQ228" s="265"/>
      <c r="FPR228" s="265"/>
      <c r="FPS228" s="265"/>
      <c r="FPT228" s="265"/>
      <c r="FPU228" s="265"/>
      <c r="FPV228" s="265"/>
      <c r="FPW228" s="265"/>
      <c r="FPX228" s="265"/>
      <c r="FPY228" s="265"/>
      <c r="FPZ228" s="265"/>
      <c r="FQA228" s="265"/>
      <c r="FQB228" s="265"/>
      <c r="FQC228" s="265"/>
      <c r="FQD228" s="265"/>
      <c r="FQE228" s="265"/>
      <c r="FQF228" s="265"/>
      <c r="FQG228" s="265"/>
      <c r="FQH228" s="265"/>
      <c r="FQI228" s="265"/>
      <c r="FQJ228" s="265"/>
      <c r="FQK228" s="265"/>
      <c r="FQL228" s="265"/>
      <c r="FQM228" s="265"/>
      <c r="FQN228" s="265"/>
      <c r="FQO228" s="265"/>
      <c r="FQP228" s="265"/>
      <c r="FQQ228" s="265"/>
      <c r="FQR228" s="265"/>
      <c r="FQS228" s="265"/>
      <c r="FQT228" s="265"/>
      <c r="FQU228" s="265"/>
      <c r="FQV228" s="265"/>
      <c r="FQW228" s="265"/>
      <c r="FQX228" s="265"/>
      <c r="FQY228" s="265"/>
      <c r="FQZ228" s="265"/>
      <c r="FRA228" s="265"/>
      <c r="FRB228" s="265"/>
      <c r="FRC228" s="265"/>
      <c r="FRD228" s="265"/>
      <c r="FRE228" s="265"/>
      <c r="FRF228" s="265"/>
      <c r="FRG228" s="265"/>
      <c r="FRH228" s="265"/>
      <c r="FRI228" s="265"/>
      <c r="FRJ228" s="265"/>
      <c r="FRK228" s="265"/>
      <c r="FRL228" s="265"/>
      <c r="FRM228" s="265"/>
      <c r="FRN228" s="265"/>
      <c r="FRO228" s="265"/>
      <c r="FRP228" s="265"/>
      <c r="FRQ228" s="265"/>
      <c r="FRR228" s="265"/>
      <c r="FRS228" s="265"/>
      <c r="FRT228" s="265"/>
      <c r="FRU228" s="265"/>
      <c r="FRV228" s="265"/>
      <c r="FRW228" s="265"/>
      <c r="FRX228" s="265"/>
      <c r="FRY228" s="265"/>
      <c r="FRZ228" s="265"/>
      <c r="FSA228" s="265"/>
      <c r="FSB228" s="265"/>
      <c r="FSC228" s="265"/>
      <c r="FSD228" s="265"/>
      <c r="FSE228" s="265"/>
      <c r="FSF228" s="265"/>
      <c r="FSG228" s="265"/>
      <c r="FSH228" s="265"/>
      <c r="FSI228" s="265"/>
      <c r="FSJ228" s="265"/>
      <c r="FSK228" s="265"/>
      <c r="FSL228" s="265"/>
      <c r="FSM228" s="265"/>
      <c r="FSN228" s="265"/>
      <c r="FSO228" s="265"/>
      <c r="FSP228" s="265"/>
      <c r="FSQ228" s="265"/>
      <c r="FSR228" s="265"/>
      <c r="FSS228" s="265"/>
      <c r="FST228" s="265"/>
      <c r="FSU228" s="265"/>
      <c r="FSV228" s="265"/>
      <c r="FSW228" s="265"/>
      <c r="FSX228" s="265"/>
      <c r="FSY228" s="265"/>
      <c r="FSZ228" s="265"/>
      <c r="FTA228" s="265"/>
    </row>
    <row r="229" spans="1:4577" s="265" customFormat="1" ht="15.75">
      <c r="A229" s="668"/>
      <c r="B229" s="655"/>
      <c r="C229" s="698"/>
      <c r="D229" s="699"/>
      <c r="E229" s="678"/>
      <c r="F229" s="677"/>
      <c r="G229" s="677"/>
      <c r="H229" s="658"/>
      <c r="I229" s="658"/>
      <c r="J229" s="658"/>
      <c r="K229" s="656"/>
      <c r="L229" s="184"/>
      <c r="M229" s="184"/>
    </row>
    <row r="230" spans="1:4577" s="265" customFormat="1" ht="15.75">
      <c r="A230" s="668"/>
      <c r="B230" s="698"/>
      <c r="C230" s="697"/>
      <c r="D230" s="681"/>
      <c r="E230" s="678"/>
      <c r="F230" s="677"/>
      <c r="G230" s="677"/>
      <c r="H230" s="667"/>
      <c r="I230" s="667"/>
      <c r="J230" s="658"/>
      <c r="K230" s="656"/>
      <c r="L230" s="184"/>
      <c r="M230" s="184"/>
    </row>
    <row r="231" spans="1:4577" s="265" customFormat="1" ht="15.75">
      <c r="A231" s="668"/>
      <c r="B231" s="698"/>
      <c r="C231" s="697"/>
      <c r="D231" s="681"/>
      <c r="E231" s="678"/>
      <c r="F231" s="677"/>
      <c r="G231" s="677"/>
      <c r="H231" s="667"/>
      <c r="I231" s="667"/>
      <c r="J231" s="658"/>
      <c r="K231" s="656"/>
      <c r="L231" s="184"/>
      <c r="M231" s="184"/>
    </row>
    <row r="232" spans="1:4577" s="265" customFormat="1" ht="15.75">
      <c r="A232" s="668"/>
      <c r="B232" s="655"/>
      <c r="C232" s="698"/>
      <c r="D232" s="681"/>
      <c r="E232" s="678"/>
      <c r="F232" s="680"/>
      <c r="G232" s="677"/>
      <c r="H232" s="667"/>
      <c r="I232" s="667"/>
      <c r="J232" s="658"/>
      <c r="K232" s="656"/>
      <c r="L232" s="184"/>
      <c r="M232" s="184"/>
    </row>
    <row r="233" spans="1:4577" s="265" customFormat="1" ht="15.75">
      <c r="A233" s="668"/>
      <c r="B233" s="655"/>
      <c r="C233" s="698"/>
      <c r="D233" s="681"/>
      <c r="E233" s="678"/>
      <c r="F233" s="680"/>
      <c r="G233" s="677"/>
      <c r="H233" s="667"/>
      <c r="I233" s="667"/>
      <c r="J233" s="658"/>
      <c r="K233" s="656"/>
      <c r="L233" s="184"/>
      <c r="M233" s="184"/>
    </row>
    <row r="234" spans="1:4577" s="265" customFormat="1" ht="15.75">
      <c r="A234" s="668"/>
      <c r="B234" s="655"/>
      <c r="C234" s="698"/>
      <c r="D234" s="681"/>
      <c r="E234" s="678"/>
      <c r="F234" s="680"/>
      <c r="G234" s="677"/>
      <c r="H234" s="667"/>
      <c r="I234" s="667"/>
      <c r="J234" s="658"/>
      <c r="K234" s="656"/>
      <c r="L234" s="184"/>
      <c r="M234" s="184"/>
    </row>
    <row r="235" spans="1:4577" s="265" customFormat="1">
      <c r="A235" s="668"/>
      <c r="B235" s="655"/>
      <c r="C235" s="697"/>
      <c r="D235" s="681"/>
      <c r="E235" s="678"/>
      <c r="F235" s="680"/>
      <c r="G235" s="677"/>
      <c r="H235" s="667"/>
      <c r="I235" s="667"/>
      <c r="J235" s="658"/>
      <c r="K235" s="656"/>
      <c r="L235" s="184"/>
      <c r="M235" s="184"/>
    </row>
    <row r="236" spans="1:4577" s="265" customFormat="1">
      <c r="A236" s="668"/>
      <c r="B236" s="655"/>
      <c r="C236" s="697"/>
      <c r="D236" s="681"/>
      <c r="E236" s="678"/>
      <c r="F236" s="680"/>
      <c r="G236" s="677"/>
      <c r="H236" s="667"/>
      <c r="I236" s="667"/>
      <c r="J236" s="658"/>
      <c r="K236" s="656"/>
      <c r="L236" s="184"/>
      <c r="M236" s="184"/>
    </row>
    <row r="237" spans="1:4577" s="265" customFormat="1" ht="15.75">
      <c r="A237" s="668"/>
      <c r="B237" s="655"/>
      <c r="C237" s="711"/>
      <c r="D237" s="681"/>
      <c r="E237" s="678"/>
      <c r="F237" s="680"/>
      <c r="G237" s="677"/>
      <c r="H237" s="667"/>
      <c r="I237" s="667"/>
      <c r="J237" s="658"/>
      <c r="K237" s="656"/>
      <c r="L237" s="184"/>
      <c r="M237" s="184"/>
    </row>
    <row r="238" spans="1:4577" s="265" customFormat="1" ht="15.75">
      <c r="A238" s="668"/>
      <c r="B238" s="698"/>
      <c r="C238" s="702"/>
      <c r="D238" s="681"/>
      <c r="E238" s="678"/>
      <c r="F238" s="677"/>
      <c r="G238" s="677"/>
      <c r="H238" s="667"/>
      <c r="I238" s="667"/>
      <c r="J238" s="658"/>
      <c r="K238" s="656"/>
      <c r="L238" s="184"/>
      <c r="M238" s="184"/>
    </row>
    <row r="239" spans="1:4577" s="265" customFormat="1" ht="15.75">
      <c r="A239" s="668"/>
      <c r="B239" s="655"/>
      <c r="C239" s="698"/>
      <c r="D239" s="681"/>
      <c r="E239" s="678"/>
      <c r="F239" s="677"/>
      <c r="G239" s="677"/>
      <c r="H239" s="667"/>
      <c r="I239" s="667"/>
      <c r="J239" s="658"/>
      <c r="K239" s="656"/>
      <c r="L239" s="184"/>
      <c r="M239" s="184"/>
    </row>
    <row r="240" spans="1:4577" s="265" customFormat="1">
      <c r="A240" s="668"/>
      <c r="B240" s="681"/>
      <c r="C240" s="702"/>
      <c r="D240" s="681"/>
      <c r="E240" s="678"/>
      <c r="F240" s="677"/>
      <c r="G240" s="677"/>
      <c r="H240" s="658"/>
      <c r="I240" s="658"/>
      <c r="J240" s="658"/>
      <c r="K240" s="656"/>
      <c r="L240" s="184"/>
      <c r="M240" s="184"/>
    </row>
    <row r="241" spans="1:13" s="265" customFormat="1" ht="15.75">
      <c r="A241" s="668"/>
      <c r="B241" s="655"/>
      <c r="C241" s="698"/>
      <c r="D241" s="699"/>
      <c r="E241" s="678"/>
      <c r="F241" s="677"/>
      <c r="G241" s="677"/>
      <c r="H241" s="658"/>
      <c r="I241" s="658"/>
      <c r="J241" s="658"/>
      <c r="K241" s="656"/>
      <c r="L241" s="184"/>
      <c r="M241" s="184"/>
    </row>
    <row r="242" spans="1:13" s="265" customFormat="1" ht="15.75">
      <c r="A242" s="668"/>
      <c r="B242" s="698"/>
      <c r="C242" s="699"/>
      <c r="D242" s="699"/>
      <c r="E242" s="678"/>
      <c r="F242" s="677"/>
      <c r="G242" s="677"/>
      <c r="H242" s="658"/>
      <c r="I242" s="658"/>
      <c r="J242" s="658"/>
      <c r="K242" s="656"/>
      <c r="L242" s="184"/>
      <c r="M242" s="184"/>
    </row>
    <row r="243" spans="1:13" s="265" customFormat="1">
      <c r="A243" s="668"/>
      <c r="B243" s="655"/>
      <c r="C243" s="699"/>
      <c r="D243" s="699"/>
      <c r="E243" s="678"/>
      <c r="F243" s="677"/>
      <c r="G243" s="677"/>
      <c r="H243" s="667"/>
      <c r="I243" s="667"/>
      <c r="J243" s="658"/>
      <c r="K243" s="656"/>
      <c r="L243" s="184"/>
      <c r="M243" s="184"/>
    </row>
    <row r="244" spans="1:13" s="265" customFormat="1">
      <c r="A244" s="668"/>
      <c r="B244" s="655"/>
      <c r="C244" s="699"/>
      <c r="D244" s="699"/>
      <c r="E244" s="678"/>
      <c r="F244" s="677"/>
      <c r="G244" s="677"/>
      <c r="H244" s="667"/>
      <c r="I244" s="667"/>
      <c r="J244" s="658"/>
      <c r="K244" s="656"/>
      <c r="L244" s="184"/>
      <c r="M244" s="184"/>
    </row>
    <row r="245" spans="1:13" s="265" customFormat="1">
      <c r="A245" s="668"/>
      <c r="B245" s="655"/>
      <c r="C245" s="712"/>
      <c r="D245" s="699"/>
      <c r="E245" s="678"/>
      <c r="F245" s="677"/>
      <c r="G245" s="677"/>
      <c r="H245" s="667"/>
      <c r="I245" s="667"/>
      <c r="J245" s="658"/>
      <c r="K245" s="656"/>
      <c r="L245" s="184"/>
      <c r="M245" s="184"/>
    </row>
    <row r="246" spans="1:13" s="265" customFormat="1">
      <c r="A246" s="668"/>
      <c r="B246" s="655"/>
      <c r="C246" s="699"/>
      <c r="D246" s="699"/>
      <c r="E246" s="678"/>
      <c r="F246" s="677"/>
      <c r="G246" s="677"/>
      <c r="H246" s="658"/>
      <c r="I246" s="658"/>
      <c r="J246" s="658"/>
      <c r="K246" s="656"/>
      <c r="L246" s="184"/>
      <c r="M246" s="184"/>
    </row>
    <row r="247" spans="1:13" s="265" customFormat="1" ht="15.75">
      <c r="A247" s="668"/>
      <c r="B247" s="655"/>
      <c r="C247" s="689"/>
      <c r="D247" s="699"/>
      <c r="E247" s="678"/>
      <c r="F247" s="677"/>
      <c r="G247" s="677"/>
      <c r="H247" s="658"/>
      <c r="I247" s="658"/>
      <c r="J247" s="658"/>
      <c r="K247" s="656"/>
      <c r="L247" s="184"/>
      <c r="M247" s="184"/>
    </row>
    <row r="248" spans="1:13" s="265" customFormat="1">
      <c r="A248" s="668"/>
      <c r="B248" s="664"/>
      <c r="C248" s="664"/>
      <c r="D248" s="682"/>
      <c r="E248" s="678"/>
      <c r="F248" s="677"/>
      <c r="G248" s="677"/>
      <c r="H248" s="658"/>
      <c r="I248" s="683"/>
      <c r="J248" s="658"/>
      <c r="K248" s="656"/>
      <c r="L248" s="184"/>
      <c r="M248" s="184"/>
    </row>
    <row r="249" spans="1:13" s="265" customFormat="1">
      <c r="A249" s="668"/>
      <c r="B249" s="664"/>
      <c r="C249" s="664"/>
      <c r="D249" s="682"/>
      <c r="E249" s="678"/>
      <c r="F249" s="677"/>
      <c r="G249" s="677"/>
      <c r="H249" s="658"/>
      <c r="I249" s="683"/>
      <c r="J249" s="658"/>
      <c r="K249" s="656"/>
      <c r="L249" s="184"/>
      <c r="M249" s="184"/>
    </row>
    <row r="250" spans="1:13" s="265" customFormat="1">
      <c r="A250" s="668"/>
      <c r="B250" s="664"/>
      <c r="C250" s="664"/>
      <c r="D250" s="682"/>
      <c r="E250" s="678"/>
      <c r="F250" s="677"/>
      <c r="G250" s="677"/>
      <c r="H250" s="658"/>
      <c r="I250" s="683"/>
      <c r="J250" s="658"/>
      <c r="K250" s="656"/>
      <c r="L250" s="184"/>
      <c r="M250" s="184"/>
    </row>
    <row r="251" spans="1:13" s="265" customFormat="1">
      <c r="A251" s="668"/>
      <c r="B251" s="664"/>
      <c r="C251" s="664"/>
      <c r="D251" s="682"/>
      <c r="E251" s="678"/>
      <c r="F251" s="677"/>
      <c r="G251" s="677"/>
      <c r="H251" s="658"/>
      <c r="I251" s="683"/>
      <c r="J251" s="658"/>
      <c r="K251" s="656"/>
      <c r="L251" s="184"/>
      <c r="M251" s="184"/>
    </row>
    <row r="252" spans="1:13" s="265" customFormat="1">
      <c r="A252" s="668"/>
      <c r="B252" s="664"/>
      <c r="C252" s="664"/>
      <c r="D252" s="682"/>
      <c r="E252" s="678"/>
      <c r="F252" s="677"/>
      <c r="G252" s="677"/>
      <c r="H252" s="658"/>
      <c r="I252" s="683"/>
      <c r="J252" s="658"/>
      <c r="K252" s="656"/>
      <c r="L252" s="184"/>
      <c r="M252" s="184"/>
    </row>
    <row r="253" spans="1:13" s="265" customFormat="1">
      <c r="A253" s="668"/>
      <c r="B253" s="664"/>
      <c r="C253" s="664"/>
      <c r="D253" s="682"/>
      <c r="E253" s="678"/>
      <c r="F253" s="677"/>
      <c r="G253" s="677"/>
      <c r="H253" s="658"/>
      <c r="I253" s="683"/>
      <c r="J253" s="658"/>
      <c r="K253" s="656"/>
      <c r="L253" s="184"/>
      <c r="M253" s="184"/>
    </row>
    <row r="254" spans="1:13" s="265" customFormat="1">
      <c r="A254" s="668"/>
      <c r="B254" s="664"/>
      <c r="C254" s="664"/>
      <c r="D254" s="682"/>
      <c r="E254" s="678"/>
      <c r="F254" s="677"/>
      <c r="G254" s="677"/>
      <c r="H254" s="658"/>
      <c r="I254" s="683"/>
      <c r="J254" s="658"/>
      <c r="K254" s="656"/>
      <c r="M254" s="184"/>
    </row>
    <row r="255" spans="1:13" s="265" customFormat="1">
      <c r="A255" s="655"/>
      <c r="B255" s="664"/>
      <c r="C255" s="664"/>
      <c r="D255" s="665"/>
      <c r="E255" s="665"/>
      <c r="F255" s="677"/>
      <c r="G255" s="677"/>
      <c r="H255" s="658"/>
      <c r="I255" s="683"/>
      <c r="J255" s="658"/>
      <c r="K255" s="656"/>
      <c r="M255" s="184"/>
    </row>
    <row r="256" spans="1:13" s="265" customFormat="1">
      <c r="A256" s="263"/>
      <c r="B256" s="117"/>
      <c r="C256" s="117"/>
      <c r="D256" s="116"/>
      <c r="E256" s="116"/>
      <c r="F256" s="268"/>
      <c r="G256" s="268"/>
      <c r="H256" s="271"/>
      <c r="I256" s="269"/>
      <c r="J256" s="271"/>
      <c r="K256" s="184"/>
      <c r="L256" s="267"/>
      <c r="M256" s="184"/>
    </row>
    <row r="257" spans="1:13" s="265" customFormat="1">
      <c r="B257" s="117"/>
      <c r="C257" s="117"/>
      <c r="D257" s="116"/>
      <c r="E257" s="116"/>
      <c r="F257" s="268"/>
      <c r="G257" s="268"/>
      <c r="H257" s="116"/>
      <c r="I257" s="269"/>
      <c r="J257" s="116"/>
      <c r="K257" s="184"/>
      <c r="M257" s="184"/>
    </row>
    <row r="258" spans="1:13" s="265" customFormat="1">
      <c r="B258" s="118"/>
      <c r="C258" s="117"/>
      <c r="D258" s="114"/>
      <c r="E258" s="118"/>
      <c r="F258" s="272"/>
      <c r="G258" s="272"/>
      <c r="H258" s="116"/>
      <c r="I258" s="269"/>
      <c r="J258" s="116"/>
      <c r="K258" s="184"/>
      <c r="M258" s="184"/>
    </row>
    <row r="259" spans="1:13" s="265" customFormat="1">
      <c r="A259" s="263"/>
      <c r="B259" s="117"/>
      <c r="C259" s="117"/>
      <c r="D259" s="120"/>
      <c r="E259" s="120"/>
      <c r="F259" s="273"/>
      <c r="G259" s="273"/>
      <c r="H259" s="122"/>
      <c r="I259" s="269"/>
      <c r="J259" s="115"/>
      <c r="K259" s="184"/>
      <c r="M259" s="184"/>
    </row>
    <row r="260" spans="1:13" s="265" customFormat="1">
      <c r="A260" s="263"/>
      <c r="B260" s="117"/>
      <c r="C260" s="117"/>
      <c r="D260" s="120"/>
      <c r="E260" s="120"/>
      <c r="F260" s="273"/>
      <c r="G260" s="273"/>
      <c r="H260" s="122"/>
      <c r="I260" s="269"/>
      <c r="J260" s="115"/>
      <c r="K260" s="184"/>
      <c r="M260" s="184"/>
    </row>
    <row r="261" spans="1:13" s="265" customFormat="1">
      <c r="A261" s="263"/>
      <c r="B261" s="117"/>
      <c r="C261" s="117"/>
      <c r="D261" s="120"/>
      <c r="E261" s="120"/>
      <c r="F261" s="273"/>
      <c r="G261" s="273"/>
      <c r="H261" s="122"/>
      <c r="I261" s="269"/>
      <c r="J261" s="122"/>
      <c r="K261" s="184"/>
      <c r="M261" s="184"/>
    </row>
    <row r="262" spans="1:13" s="265" customFormat="1">
      <c r="A262" s="263"/>
      <c r="C262" s="117"/>
      <c r="D262" s="120"/>
      <c r="E262" s="120"/>
      <c r="F262" s="273"/>
      <c r="G262" s="273"/>
      <c r="H262" s="122"/>
      <c r="I262" s="269"/>
      <c r="J262" s="122"/>
      <c r="K262" s="184"/>
      <c r="M262" s="184"/>
    </row>
    <row r="263" spans="1:13" s="265" customFormat="1">
      <c r="A263" s="263"/>
      <c r="B263" s="117"/>
      <c r="C263" s="117"/>
      <c r="D263" s="120"/>
      <c r="E263" s="120"/>
      <c r="F263" s="268"/>
      <c r="G263" s="268"/>
      <c r="H263" s="122"/>
      <c r="I263" s="269"/>
      <c r="J263" s="115"/>
      <c r="K263" s="184"/>
      <c r="M263" s="184"/>
    </row>
    <row r="264" spans="1:13" s="265" customFormat="1">
      <c r="A264" s="263"/>
      <c r="B264" s="117"/>
      <c r="C264" s="117"/>
      <c r="D264" s="120"/>
      <c r="E264" s="120"/>
      <c r="F264" s="268"/>
      <c r="G264" s="268"/>
      <c r="H264" s="122"/>
      <c r="I264" s="269"/>
      <c r="J264" s="115"/>
      <c r="K264" s="184"/>
      <c r="M264" s="184"/>
    </row>
    <row r="265" spans="1:13" s="265" customFormat="1">
      <c r="A265" s="263"/>
      <c r="B265" s="117"/>
      <c r="C265" s="117"/>
      <c r="D265" s="120"/>
      <c r="E265" s="120"/>
      <c r="F265" s="268"/>
      <c r="G265" s="268"/>
      <c r="H265" s="122"/>
      <c r="I265" s="269"/>
      <c r="J265" s="115"/>
      <c r="K265" s="184"/>
      <c r="M265" s="184"/>
    </row>
    <row r="266" spans="1:13" s="265" customFormat="1">
      <c r="A266" s="263"/>
      <c r="B266" s="117"/>
      <c r="C266" s="117"/>
      <c r="D266" s="120"/>
      <c r="E266" s="120"/>
      <c r="F266" s="713"/>
      <c r="G266" s="713"/>
      <c r="H266" s="122"/>
      <c r="I266" s="269"/>
      <c r="J266" s="115"/>
      <c r="K266" s="184"/>
      <c r="M266" s="184"/>
    </row>
    <row r="267" spans="1:13" s="265" customFormat="1">
      <c r="A267" s="263"/>
      <c r="B267" s="117"/>
      <c r="C267" s="117"/>
      <c r="D267" s="120"/>
      <c r="E267" s="120"/>
      <c r="F267" s="714"/>
      <c r="G267" s="714"/>
      <c r="H267" s="122"/>
      <c r="I267" s="269"/>
      <c r="J267" s="122"/>
      <c r="K267" s="184"/>
      <c r="M267" s="184"/>
    </row>
    <row r="268" spans="1:13" s="265" customFormat="1">
      <c r="B268" s="117"/>
      <c r="C268" s="117"/>
      <c r="D268" s="120"/>
      <c r="E268" s="120"/>
      <c r="F268" s="715"/>
      <c r="G268" s="715"/>
      <c r="H268" s="122"/>
      <c r="I268" s="269"/>
      <c r="J268" s="122"/>
      <c r="K268" s="184"/>
      <c r="M268" s="184"/>
    </row>
    <row r="269" spans="1:13" s="265" customFormat="1">
      <c r="A269" s="263"/>
      <c r="B269" s="117"/>
      <c r="C269" s="117"/>
      <c r="D269" s="716"/>
      <c r="E269" s="716"/>
      <c r="F269" s="717"/>
      <c r="G269" s="713"/>
      <c r="H269" s="122"/>
      <c r="I269" s="269"/>
      <c r="J269" s="115"/>
      <c r="K269" s="184"/>
      <c r="M269" s="184"/>
    </row>
    <row r="270" spans="1:13" s="265" customFormat="1">
      <c r="A270" s="263"/>
      <c r="B270" s="117"/>
      <c r="C270" s="117"/>
      <c r="D270" s="120"/>
      <c r="E270" s="120"/>
      <c r="F270" s="713"/>
      <c r="G270" s="713"/>
      <c r="H270" s="122"/>
      <c r="I270" s="269"/>
      <c r="J270" s="115"/>
      <c r="K270" s="184"/>
      <c r="M270" s="184"/>
    </row>
    <row r="271" spans="1:13" s="265" customFormat="1">
      <c r="A271" s="263"/>
      <c r="B271" s="117"/>
      <c r="C271" s="117"/>
      <c r="D271" s="120"/>
      <c r="E271" s="120"/>
      <c r="F271" s="713"/>
      <c r="G271" s="713"/>
      <c r="H271" s="116"/>
      <c r="I271" s="269"/>
      <c r="J271" s="116"/>
      <c r="K271" s="184"/>
      <c r="M271" s="184"/>
    </row>
    <row r="272" spans="1:13" s="265" customFormat="1">
      <c r="B272" s="117"/>
      <c r="C272" s="117"/>
      <c r="D272" s="718"/>
      <c r="E272" s="718"/>
      <c r="F272" s="718"/>
      <c r="G272" s="718"/>
      <c r="H272" s="718"/>
      <c r="I272" s="269"/>
      <c r="J272" s="718"/>
      <c r="K272" s="184"/>
      <c r="M272" s="184"/>
    </row>
    <row r="273" spans="1:13" s="265" customFormat="1">
      <c r="A273" s="263"/>
      <c r="B273" s="117"/>
      <c r="C273" s="117"/>
      <c r="D273" s="116"/>
      <c r="E273" s="116"/>
      <c r="F273" s="268"/>
      <c r="G273" s="268"/>
      <c r="H273" s="116"/>
      <c r="I273" s="269"/>
      <c r="J273" s="116"/>
      <c r="K273" s="184"/>
      <c r="M273" s="184"/>
    </row>
    <row r="274" spans="1:13" s="265" customFormat="1">
      <c r="B274" s="117"/>
      <c r="C274" s="117"/>
      <c r="D274" s="116"/>
      <c r="E274" s="116"/>
      <c r="F274" s="268"/>
      <c r="G274" s="268"/>
      <c r="H274" s="122"/>
      <c r="I274" s="269"/>
      <c r="J274" s="122"/>
      <c r="K274" s="184"/>
      <c r="M274" s="184"/>
    </row>
    <row r="275" spans="1:13" s="265" customFormat="1">
      <c r="A275" s="263"/>
      <c r="B275" s="117"/>
      <c r="C275" s="117"/>
      <c r="D275" s="118"/>
      <c r="E275" s="118"/>
      <c r="F275" s="713"/>
      <c r="G275" s="268"/>
      <c r="H275" s="122"/>
      <c r="I275" s="269"/>
      <c r="J275" s="115"/>
      <c r="K275" s="184"/>
      <c r="M275" s="184"/>
    </row>
    <row r="276" spans="1:13" s="265" customFormat="1">
      <c r="A276" s="263"/>
      <c r="B276" s="117"/>
      <c r="C276" s="117"/>
      <c r="D276" s="118"/>
      <c r="E276" s="118"/>
      <c r="F276" s="713"/>
      <c r="G276" s="713"/>
      <c r="H276" s="122"/>
      <c r="I276" s="269"/>
      <c r="J276" s="115"/>
      <c r="K276" s="184"/>
      <c r="M276" s="184"/>
    </row>
    <row r="277" spans="1:13" s="265" customFormat="1">
      <c r="A277" s="263"/>
      <c r="B277" s="117"/>
      <c r="C277" s="117"/>
      <c r="D277" s="719"/>
      <c r="E277" s="719"/>
      <c r="F277" s="720"/>
      <c r="G277" s="720"/>
      <c r="H277" s="116"/>
      <c r="I277" s="269"/>
      <c r="J277" s="116"/>
      <c r="K277" s="184"/>
      <c r="M277" s="184"/>
    </row>
    <row r="278" spans="1:13" s="265" customFormat="1">
      <c r="B278" s="117"/>
      <c r="C278" s="117"/>
      <c r="D278" s="120"/>
      <c r="E278" s="120"/>
      <c r="F278" s="720"/>
      <c r="G278" s="720"/>
      <c r="H278" s="122"/>
      <c r="I278" s="269"/>
      <c r="J278" s="122"/>
      <c r="K278" s="184"/>
      <c r="M278" s="184"/>
    </row>
    <row r="279" spans="1:13" s="265" customFormat="1">
      <c r="A279" s="263"/>
      <c r="B279" s="117"/>
      <c r="C279" s="117"/>
      <c r="D279" s="120"/>
      <c r="E279" s="120"/>
      <c r="F279" s="720"/>
      <c r="G279" s="720"/>
      <c r="H279" s="122"/>
      <c r="I279" s="269"/>
      <c r="J279" s="122"/>
      <c r="K279" s="184"/>
      <c r="M279" s="184"/>
    </row>
    <row r="280" spans="1:13" s="265" customFormat="1">
      <c r="B280" s="117"/>
      <c r="C280" s="117"/>
      <c r="D280" s="120"/>
      <c r="E280" s="120"/>
      <c r="F280" s="720"/>
      <c r="G280" s="720"/>
      <c r="H280" s="116"/>
      <c r="I280" s="269"/>
      <c r="J280" s="116"/>
      <c r="K280" s="184"/>
      <c r="L280" s="267"/>
      <c r="M280" s="184"/>
    </row>
    <row r="281" spans="1:13" s="265" customFormat="1">
      <c r="A281" s="263"/>
      <c r="B281" s="117"/>
      <c r="C281" s="117"/>
      <c r="D281" s="115"/>
      <c r="E281" s="115"/>
      <c r="F281" s="720"/>
      <c r="G281" s="720"/>
      <c r="H281" s="116"/>
      <c r="I281" s="269"/>
      <c r="J281" s="116"/>
      <c r="K281" s="184"/>
      <c r="M281" s="184"/>
    </row>
    <row r="282" spans="1:13" s="265" customFormat="1">
      <c r="B282" s="117"/>
      <c r="C282" s="117"/>
      <c r="D282" s="116"/>
      <c r="E282" s="116"/>
      <c r="F282" s="268"/>
      <c r="G282" s="268"/>
      <c r="H282" s="721"/>
      <c r="I282" s="269"/>
      <c r="J282" s="721"/>
      <c r="K282" s="184"/>
      <c r="M282" s="184"/>
    </row>
    <row r="283" spans="1:13" s="710" customFormat="1">
      <c r="A283" s="270"/>
      <c r="B283" s="722"/>
      <c r="C283" s="722"/>
      <c r="D283" s="723"/>
      <c r="E283" s="723"/>
      <c r="F283" s="724"/>
      <c r="G283" s="724"/>
      <c r="H283" s="725"/>
      <c r="I283" s="726"/>
      <c r="J283" s="725"/>
      <c r="K283" s="727"/>
      <c r="L283" s="728"/>
      <c r="M283" s="727"/>
    </row>
    <row r="284" spans="1:13" s="265" customFormat="1">
      <c r="A284" s="263"/>
      <c r="B284" s="117"/>
      <c r="C284" s="117"/>
      <c r="D284" s="115"/>
      <c r="E284" s="115"/>
      <c r="F284" s="268"/>
      <c r="G284" s="268"/>
      <c r="H284" s="268"/>
      <c r="I284" s="269"/>
      <c r="J284" s="268"/>
      <c r="K284" s="184"/>
      <c r="M284" s="184"/>
    </row>
    <row r="285" spans="1:13" s="265" customFormat="1">
      <c r="A285" s="263"/>
      <c r="B285" s="117"/>
      <c r="C285" s="117"/>
      <c r="D285" s="115"/>
      <c r="E285" s="115"/>
      <c r="F285" s="268"/>
      <c r="G285" s="268"/>
      <c r="H285" s="268"/>
      <c r="I285" s="269"/>
      <c r="J285" s="268"/>
      <c r="K285" s="184"/>
      <c r="M285" s="184"/>
    </row>
    <row r="286" spans="1:13" s="265" customFormat="1">
      <c r="A286" s="263"/>
      <c r="B286" s="115"/>
      <c r="D286" s="114"/>
      <c r="E286" s="115"/>
      <c r="F286" s="268"/>
      <c r="G286" s="268"/>
      <c r="H286" s="729"/>
      <c r="I286" s="269"/>
      <c r="J286" s="729"/>
      <c r="K286" s="184"/>
      <c r="M286" s="184"/>
    </row>
    <row r="287" spans="1:13" s="265" customFormat="1">
      <c r="A287" s="263"/>
      <c r="B287" s="117"/>
      <c r="C287" s="115"/>
      <c r="D287" s="114"/>
      <c r="E287" s="115"/>
      <c r="F287" s="268"/>
      <c r="G287" s="268"/>
      <c r="H287" s="729"/>
      <c r="I287" s="269"/>
      <c r="J287" s="729"/>
      <c r="K287" s="184"/>
      <c r="M287" s="184"/>
    </row>
    <row r="288" spans="1:13" s="265" customFormat="1">
      <c r="A288" s="263"/>
      <c r="B288" s="117"/>
      <c r="C288" s="117"/>
      <c r="D288" s="116"/>
      <c r="E288" s="116"/>
      <c r="F288" s="268"/>
      <c r="G288" s="268"/>
      <c r="H288" s="122"/>
      <c r="I288" s="269"/>
      <c r="J288" s="115"/>
      <c r="K288" s="184"/>
      <c r="M288" s="184"/>
    </row>
    <row r="289" spans="1:13" s="265" customFormat="1">
      <c r="A289" s="263"/>
      <c r="B289" s="117"/>
      <c r="C289" s="117"/>
      <c r="D289" s="115"/>
      <c r="E289" s="115"/>
      <c r="F289" s="268"/>
      <c r="G289" s="268"/>
      <c r="H289" s="122"/>
      <c r="I289" s="269"/>
      <c r="J289" s="115"/>
      <c r="K289" s="184"/>
      <c r="M289" s="184"/>
    </row>
    <row r="290" spans="1:13" s="265" customFormat="1">
      <c r="A290" s="263"/>
      <c r="B290" s="117"/>
      <c r="C290" s="117"/>
      <c r="D290" s="115"/>
      <c r="E290" s="115"/>
      <c r="F290" s="268"/>
      <c r="G290" s="268"/>
      <c r="H290" s="122"/>
      <c r="I290" s="269"/>
      <c r="J290" s="115"/>
      <c r="K290" s="184"/>
      <c r="M290" s="184"/>
    </row>
    <row r="291" spans="1:13" s="265" customFormat="1">
      <c r="A291" s="263"/>
      <c r="B291" s="117"/>
      <c r="C291" s="117"/>
      <c r="D291" s="264"/>
      <c r="E291" s="116"/>
      <c r="F291" s="268"/>
      <c r="G291" s="268"/>
      <c r="H291" s="116"/>
      <c r="I291" s="269"/>
      <c r="J291" s="116"/>
      <c r="K291" s="184"/>
      <c r="M291" s="184"/>
    </row>
    <row r="292" spans="1:13" s="265" customFormat="1">
      <c r="A292" s="263"/>
      <c r="B292" s="117"/>
      <c r="C292" s="119"/>
      <c r="D292" s="116"/>
      <c r="E292" s="116"/>
      <c r="F292" s="268"/>
      <c r="G292" s="268"/>
      <c r="H292" s="116"/>
      <c r="I292" s="269"/>
      <c r="J292" s="116"/>
      <c r="K292" s="184"/>
      <c r="M292" s="184"/>
    </row>
    <row r="293" spans="1:13" s="265" customFormat="1">
      <c r="A293" s="263"/>
      <c r="B293" s="117"/>
      <c r="C293" s="117"/>
      <c r="D293" s="116"/>
      <c r="E293" s="116"/>
      <c r="F293" s="268"/>
      <c r="G293" s="268"/>
      <c r="H293" s="116"/>
      <c r="I293" s="269"/>
      <c r="J293" s="116"/>
      <c r="K293" s="184"/>
      <c r="M293" s="184"/>
    </row>
    <row r="294" spans="1:13" s="265" customFormat="1">
      <c r="A294" s="263"/>
      <c r="B294" s="117"/>
      <c r="C294" s="117"/>
      <c r="D294" s="116"/>
      <c r="E294" s="116"/>
      <c r="F294" s="116"/>
      <c r="G294" s="116"/>
      <c r="H294" s="122"/>
      <c r="I294" s="269"/>
      <c r="J294" s="115"/>
      <c r="K294" s="184"/>
      <c r="M294" s="184"/>
    </row>
    <row r="295" spans="1:13" s="265" customFormat="1">
      <c r="A295" s="263"/>
      <c r="B295" s="117"/>
      <c r="C295" s="117"/>
      <c r="D295" s="116"/>
      <c r="E295" s="116"/>
      <c r="F295" s="116"/>
      <c r="G295" s="116"/>
      <c r="H295" s="122"/>
      <c r="I295" s="269"/>
      <c r="J295" s="115"/>
      <c r="K295" s="184"/>
      <c r="M295" s="184"/>
    </row>
    <row r="296" spans="1:13" s="265" customFormat="1">
      <c r="A296" s="263"/>
      <c r="B296" s="117"/>
      <c r="C296" s="117"/>
      <c r="D296" s="116"/>
      <c r="E296" s="116"/>
      <c r="F296" s="116"/>
      <c r="G296" s="116"/>
      <c r="H296" s="122"/>
      <c r="I296" s="269"/>
      <c r="J296" s="115"/>
      <c r="K296" s="184"/>
      <c r="M296" s="184"/>
    </row>
    <row r="297" spans="1:13" s="265" customFormat="1">
      <c r="A297" s="263"/>
      <c r="B297" s="117"/>
      <c r="C297" s="117"/>
      <c r="D297" s="115"/>
      <c r="E297" s="115"/>
      <c r="F297" s="268"/>
      <c r="G297" s="268"/>
      <c r="H297" s="116"/>
      <c r="I297" s="269"/>
      <c r="J297" s="116"/>
      <c r="K297" s="184"/>
      <c r="M297" s="184"/>
    </row>
    <row r="298" spans="1:13" s="265" customFormat="1">
      <c r="A298" s="263"/>
      <c r="B298" s="117"/>
      <c r="C298" s="117"/>
      <c r="D298" s="115"/>
      <c r="E298" s="115"/>
      <c r="F298" s="268"/>
      <c r="G298" s="268"/>
      <c r="H298" s="116"/>
      <c r="I298" s="269"/>
      <c r="J298" s="116"/>
      <c r="K298" s="184"/>
      <c r="M298" s="184"/>
    </row>
    <row r="299" spans="1:13" s="265" customFormat="1">
      <c r="A299" s="266"/>
      <c r="B299" s="117"/>
      <c r="C299" s="117"/>
      <c r="D299" s="115"/>
      <c r="E299" s="115"/>
      <c r="F299" s="268"/>
      <c r="G299" s="268"/>
      <c r="H299" s="122"/>
      <c r="I299" s="269"/>
      <c r="J299" s="115"/>
      <c r="K299" s="184"/>
      <c r="M299" s="184"/>
    </row>
    <row r="300" spans="1:13" s="265" customFormat="1">
      <c r="A300" s="263"/>
      <c r="B300" s="117"/>
      <c r="C300" s="117"/>
      <c r="D300" s="115"/>
      <c r="E300" s="115"/>
      <c r="F300" s="268"/>
      <c r="G300" s="268"/>
      <c r="H300" s="122"/>
      <c r="I300" s="269"/>
      <c r="J300" s="115"/>
      <c r="K300" s="184"/>
      <c r="M300" s="184"/>
    </row>
    <row r="301" spans="1:13" s="265" customFormat="1">
      <c r="A301" s="263"/>
      <c r="B301" s="117"/>
      <c r="C301" s="117"/>
      <c r="D301" s="115"/>
      <c r="E301" s="115"/>
      <c r="F301" s="268"/>
      <c r="G301" s="268"/>
      <c r="H301" s="122"/>
      <c r="I301" s="269"/>
      <c r="J301" s="115"/>
      <c r="K301" s="184"/>
      <c r="M301" s="184"/>
    </row>
    <row r="302" spans="1:13" s="265" customFormat="1">
      <c r="A302" s="263"/>
      <c r="B302" s="117"/>
      <c r="C302" s="117"/>
      <c r="D302" s="730"/>
      <c r="E302" s="730"/>
      <c r="F302" s="268"/>
      <c r="G302" s="268"/>
      <c r="H302" s="122"/>
      <c r="I302" s="269"/>
      <c r="J302" s="115"/>
      <c r="K302" s="184"/>
      <c r="M302" s="184"/>
    </row>
    <row r="303" spans="1:13" s="265" customFormat="1">
      <c r="A303" s="263"/>
      <c r="B303" s="117"/>
      <c r="C303" s="117"/>
      <c r="D303" s="115"/>
      <c r="E303" s="115"/>
      <c r="F303" s="268"/>
      <c r="G303" s="268"/>
      <c r="H303" s="116"/>
      <c r="I303" s="269"/>
      <c r="J303" s="116"/>
      <c r="K303" s="731"/>
      <c r="M303" s="184"/>
    </row>
    <row r="304" spans="1:13" s="265" customFormat="1">
      <c r="A304" s="263"/>
      <c r="B304" s="117"/>
      <c r="C304" s="117"/>
      <c r="D304" s="115"/>
      <c r="E304" s="115"/>
      <c r="F304" s="268"/>
      <c r="G304" s="268"/>
      <c r="H304" s="116"/>
      <c r="I304" s="732"/>
      <c r="J304" s="116"/>
      <c r="K304" s="184"/>
      <c r="M304" s="184"/>
    </row>
    <row r="305" spans="1:13" s="265" customFormat="1">
      <c r="A305" s="263"/>
      <c r="B305" s="117"/>
      <c r="C305" s="117"/>
      <c r="D305" s="730"/>
      <c r="E305" s="730"/>
      <c r="F305" s="268"/>
      <c r="G305" s="268"/>
      <c r="H305" s="122"/>
      <c r="I305" s="269"/>
      <c r="J305" s="115"/>
      <c r="K305" s="184"/>
      <c r="M305" s="184"/>
    </row>
    <row r="306" spans="1:13" s="265" customFormat="1">
      <c r="A306" s="263"/>
      <c r="B306" s="117"/>
      <c r="C306" s="117"/>
      <c r="D306" s="730"/>
      <c r="E306" s="730"/>
      <c r="F306" s="268"/>
      <c r="G306" s="268"/>
      <c r="H306" s="116"/>
      <c r="I306" s="269"/>
      <c r="J306" s="116"/>
      <c r="K306" s="731"/>
      <c r="M306" s="184"/>
    </row>
    <row r="307" spans="1:13" s="265" customFormat="1">
      <c r="A307" s="263"/>
      <c r="B307" s="117"/>
      <c r="C307" s="117"/>
      <c r="D307" s="730"/>
      <c r="E307" s="730"/>
      <c r="F307" s="268"/>
      <c r="G307" s="268"/>
      <c r="H307" s="733"/>
      <c r="I307" s="269"/>
      <c r="J307" s="733"/>
      <c r="K307" s="184"/>
      <c r="M307" s="184"/>
    </row>
    <row r="308" spans="1:13" s="265" customFormat="1">
      <c r="A308" s="263"/>
      <c r="B308" s="117"/>
      <c r="C308" s="117"/>
      <c r="D308" s="730"/>
      <c r="E308" s="730"/>
      <c r="F308" s="268"/>
      <c r="G308" s="268"/>
      <c r="H308" s="271"/>
      <c r="I308" s="269"/>
      <c r="J308" s="271"/>
      <c r="K308" s="184"/>
      <c r="M308" s="184"/>
    </row>
    <row r="309" spans="1:13" s="265" customFormat="1">
      <c r="A309" s="263"/>
      <c r="B309" s="117"/>
      <c r="C309" s="117"/>
      <c r="D309" s="116"/>
      <c r="E309" s="116"/>
      <c r="F309" s="268"/>
      <c r="G309" s="268"/>
      <c r="H309" s="116"/>
      <c r="I309" s="269"/>
      <c r="J309" s="116"/>
      <c r="K309" s="184"/>
      <c r="M309" s="184"/>
    </row>
    <row r="310" spans="1:13" s="265" customFormat="1" ht="15.75">
      <c r="A310" s="263"/>
      <c r="B310" s="117"/>
      <c r="C310" s="117"/>
      <c r="D310" s="115"/>
      <c r="E310" s="115"/>
      <c r="F310" s="734"/>
      <c r="G310" s="734"/>
      <c r="H310" s="271"/>
      <c r="I310" s="269"/>
      <c r="J310" s="271"/>
      <c r="K310" s="184"/>
      <c r="M310" s="184"/>
    </row>
    <row r="311" spans="1:13" s="265" customFormat="1">
      <c r="A311" s="263"/>
      <c r="B311" s="117"/>
      <c r="C311" s="117"/>
      <c r="D311" s="115"/>
      <c r="E311" s="115"/>
      <c r="F311" s="735"/>
      <c r="G311" s="735"/>
      <c r="H311" s="116"/>
      <c r="I311" s="269"/>
      <c r="J311" s="116"/>
      <c r="K311" s="184"/>
      <c r="M311" s="184"/>
    </row>
    <row r="312" spans="1:13" s="265" customFormat="1">
      <c r="K312" s="184"/>
      <c r="M312" s="184"/>
    </row>
    <row r="313" spans="1:13" s="265" customFormat="1">
      <c r="K313" s="184"/>
      <c r="M313" s="184"/>
    </row>
    <row r="314" spans="1:13" s="265" customFormat="1">
      <c r="K314" s="184"/>
      <c r="M314" s="184"/>
    </row>
    <row r="315" spans="1:13" s="265" customFormat="1">
      <c r="K315" s="184"/>
      <c r="M315" s="184"/>
    </row>
    <row r="316" spans="1:13" s="265" customFormat="1">
      <c r="K316" s="184"/>
      <c r="M316" s="184"/>
    </row>
    <row r="317" spans="1:13" s="265" customFormat="1">
      <c r="K317" s="184"/>
      <c r="M317" s="184"/>
    </row>
    <row r="318" spans="1:13" s="265" customFormat="1">
      <c r="K318" s="184"/>
      <c r="M318" s="184"/>
    </row>
    <row r="319" spans="1:13" s="265" customFormat="1">
      <c r="K319" s="184"/>
      <c r="M319" s="184"/>
    </row>
    <row r="320" spans="1:13" s="265" customFormat="1">
      <c r="K320" s="184"/>
      <c r="M320" s="184"/>
    </row>
    <row r="321" spans="11:13" s="265" customFormat="1">
      <c r="K321" s="184"/>
      <c r="M321" s="184"/>
    </row>
    <row r="322" spans="11:13" s="265" customFormat="1">
      <c r="K322" s="184"/>
      <c r="M322" s="184"/>
    </row>
  </sheetData>
  <mergeCells count="3">
    <mergeCell ref="H155:I155"/>
    <mergeCell ref="H4:I4"/>
    <mergeCell ref="A4:B4"/>
  </mergeCells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4" tint="0.59999389629810485"/>
  </sheetPr>
  <dimension ref="A1:QQ2089"/>
  <sheetViews>
    <sheetView topLeftCell="C1" workbookViewId="0">
      <selection activeCell="C3" sqref="C3"/>
    </sheetView>
  </sheetViews>
  <sheetFormatPr defaultRowHeight="15"/>
  <cols>
    <col min="1" max="1" width="17.88671875" style="147" hidden="1" customWidth="1"/>
    <col min="2" max="2" width="14.5546875" style="147" hidden="1" customWidth="1"/>
    <col min="3" max="3" width="8.6640625" style="147" customWidth="1"/>
    <col min="4" max="4" width="1.21875" style="147" customWidth="1"/>
    <col min="5" max="5" width="43.6640625" style="147" customWidth="1"/>
    <col min="6" max="6" width="1.33203125" style="147" customWidth="1"/>
    <col min="7" max="7" width="3.5546875" style="155" customWidth="1"/>
    <col min="8" max="8" width="1.44140625" style="147" customWidth="1"/>
    <col min="9" max="9" width="16.21875" style="147" bestFit="1" customWidth="1"/>
    <col min="10" max="10" width="1.88671875" style="147" customWidth="1"/>
    <col min="11" max="11" width="13.109375" style="147" bestFit="1" customWidth="1"/>
    <col min="12" max="12" width="1.6640625" style="147" customWidth="1"/>
    <col min="13" max="13" width="13.5546875" style="147" bestFit="1" customWidth="1"/>
    <col min="14" max="14" width="1.21875" style="147" customWidth="1"/>
    <col min="15" max="15" width="13.109375" style="147" bestFit="1" customWidth="1"/>
    <col min="16" max="16" width="1.21875" style="147" customWidth="1"/>
    <col min="17" max="17" width="13.109375" style="147" bestFit="1" customWidth="1"/>
    <col min="18" max="18" width="1.44140625" style="147" customWidth="1"/>
    <col min="19" max="19" width="12.109375" style="147" bestFit="1" customWidth="1"/>
    <col min="20" max="20" width="1.109375" style="147" customWidth="1"/>
    <col min="21" max="21" width="13.5546875" style="147" bestFit="1" customWidth="1"/>
    <col min="22" max="22" width="2" style="147" customWidth="1"/>
    <col min="23" max="23" width="13.109375" style="147" bestFit="1" customWidth="1"/>
    <col min="24" max="24" width="1.5546875" style="147" customWidth="1"/>
    <col min="25" max="25" width="13.109375" style="147" bestFit="1" customWidth="1"/>
    <col min="26" max="26" width="1.44140625" style="147" customWidth="1"/>
    <col min="27" max="27" width="12" style="147" bestFit="1" customWidth="1"/>
    <col min="28" max="28" width="0.77734375" style="147" customWidth="1"/>
    <col min="29" max="29" width="12" style="147" bestFit="1" customWidth="1"/>
    <col min="30" max="30" width="1.44140625" style="147" customWidth="1"/>
    <col min="31" max="31" width="12.109375" style="147" bestFit="1" customWidth="1"/>
    <col min="32" max="32" width="1.6640625" style="147" customWidth="1"/>
    <col min="33" max="33" width="12" style="147" bestFit="1" customWidth="1"/>
    <col min="34" max="34" width="2.5546875" style="147" customWidth="1"/>
    <col min="35" max="35" width="15.44140625" style="147" bestFit="1" customWidth="1"/>
    <col min="36" max="36" width="13.5546875" style="147" bestFit="1" customWidth="1"/>
    <col min="37" max="37" width="8.88671875" style="147"/>
  </cols>
  <sheetData>
    <row r="1" spans="1:38">
      <c r="A1" s="87"/>
      <c r="B1" s="146"/>
      <c r="H1" s="148"/>
      <c r="I1" s="1101"/>
      <c r="J1" s="1102"/>
      <c r="L1" s="148"/>
    </row>
    <row r="2" spans="1:38">
      <c r="AJ2" s="147" t="s">
        <v>832</v>
      </c>
    </row>
    <row r="3" spans="1:38" ht="15.75">
      <c r="C3" s="250" t="s">
        <v>840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</row>
    <row r="4" spans="1:38" ht="15.75">
      <c r="C4" s="94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94"/>
      <c r="AE4" s="251"/>
      <c r="AF4" s="251"/>
      <c r="AG4" s="251"/>
    </row>
    <row r="5" spans="1:38" ht="15.75">
      <c r="C5" s="250" t="s">
        <v>834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</row>
    <row r="6" spans="1:38" ht="15.75">
      <c r="C6" s="250" t="s">
        <v>847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</row>
    <row r="7" spans="1:38" ht="7.15" customHeight="1"/>
    <row r="8" spans="1:38"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38" ht="15.75">
      <c r="I9" s="27"/>
      <c r="J9" s="40"/>
      <c r="K9" s="1085" t="s">
        <v>248</v>
      </c>
      <c r="L9" s="1085"/>
      <c r="M9" s="1085"/>
      <c r="N9" s="1085"/>
      <c r="O9" s="1085"/>
      <c r="P9" s="1085"/>
      <c r="Q9" s="1085"/>
      <c r="R9" s="1085"/>
      <c r="S9" s="1085"/>
      <c r="T9" s="1085"/>
      <c r="U9" s="1085"/>
      <c r="V9" s="40"/>
      <c r="W9" s="129" t="s">
        <v>249</v>
      </c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40"/>
      <c r="AI9" s="27"/>
      <c r="AJ9" s="27"/>
      <c r="AK9" s="27"/>
      <c r="AL9" s="27"/>
    </row>
    <row r="10" spans="1:38" ht="15.75">
      <c r="C10" s="148"/>
      <c r="D10" s="148"/>
      <c r="E10" s="148"/>
      <c r="G10" s="45" t="s">
        <v>183</v>
      </c>
      <c r="I10" s="42" t="s">
        <v>211</v>
      </c>
      <c r="J10" s="27"/>
      <c r="K10" s="40"/>
      <c r="L10" s="40"/>
      <c r="M10" s="42"/>
      <c r="N10" s="42"/>
      <c r="O10" s="42"/>
      <c r="P10" s="42"/>
      <c r="Q10" s="42"/>
      <c r="R10" s="40"/>
      <c r="S10" s="42"/>
      <c r="T10" s="42"/>
      <c r="U10" s="42"/>
      <c r="V10" s="27"/>
      <c r="W10" s="40"/>
      <c r="X10" s="40"/>
      <c r="Y10" s="42"/>
      <c r="Z10" s="42"/>
      <c r="AA10" s="42"/>
      <c r="AB10" s="42"/>
      <c r="AC10" s="42"/>
      <c r="AD10" s="40"/>
      <c r="AE10" s="42"/>
      <c r="AF10" s="42"/>
      <c r="AG10" s="42"/>
      <c r="AH10" s="40"/>
      <c r="AI10" s="27"/>
      <c r="AJ10" s="27"/>
      <c r="AK10" s="27"/>
      <c r="AL10" s="27"/>
    </row>
    <row r="11" spans="1:38" ht="15.75">
      <c r="B11" s="148"/>
      <c r="C11" s="1085" t="s">
        <v>254</v>
      </c>
      <c r="D11" s="1085"/>
      <c r="E11" s="1085"/>
      <c r="F11" s="148"/>
      <c r="G11" s="41" t="s">
        <v>269</v>
      </c>
      <c r="H11" s="148"/>
      <c r="I11" s="41" t="s">
        <v>168</v>
      </c>
      <c r="J11" s="40"/>
      <c r="K11" s="41" t="s">
        <v>314</v>
      </c>
      <c r="L11" s="27"/>
      <c r="M11" s="41" t="s">
        <v>310</v>
      </c>
      <c r="N11" s="40"/>
      <c r="O11" s="41" t="s">
        <v>311</v>
      </c>
      <c r="P11" s="42"/>
      <c r="Q11" s="41" t="s">
        <v>312</v>
      </c>
      <c r="R11" s="27"/>
      <c r="S11" s="41" t="s">
        <v>452</v>
      </c>
      <c r="T11" s="42"/>
      <c r="U11" s="291" t="s">
        <v>414</v>
      </c>
      <c r="V11" s="27"/>
      <c r="W11" s="41" t="s">
        <v>314</v>
      </c>
      <c r="X11" s="27"/>
      <c r="Y11" s="41" t="s">
        <v>310</v>
      </c>
      <c r="Z11" s="40"/>
      <c r="AA11" s="41" t="s">
        <v>311</v>
      </c>
      <c r="AB11" s="42"/>
      <c r="AC11" s="41" t="s">
        <v>312</v>
      </c>
      <c r="AD11" s="27"/>
      <c r="AE11" s="41" t="s">
        <v>452</v>
      </c>
      <c r="AF11" s="42"/>
      <c r="AG11" s="291" t="s">
        <v>414</v>
      </c>
      <c r="AH11" s="27"/>
      <c r="AI11" s="27"/>
      <c r="AJ11" s="27"/>
      <c r="AK11" s="27"/>
      <c r="AL11" s="27"/>
    </row>
    <row r="12" spans="1:38" ht="15.75">
      <c r="C12" s="1086">
        <v>-1</v>
      </c>
      <c r="D12" s="1086"/>
      <c r="E12" s="1086"/>
      <c r="F12" s="27"/>
      <c r="G12" s="46">
        <v>-2</v>
      </c>
      <c r="H12" s="27"/>
      <c r="I12" s="46">
        <v>-3</v>
      </c>
      <c r="J12" s="27"/>
      <c r="K12" s="46">
        <v>-4</v>
      </c>
      <c r="L12" s="27"/>
      <c r="M12" s="46">
        <v>-5</v>
      </c>
      <c r="N12" s="27"/>
      <c r="O12" s="46">
        <v>-6</v>
      </c>
      <c r="P12" s="46"/>
      <c r="Q12" s="46">
        <f>+O12-1</f>
        <v>-7</v>
      </c>
      <c r="R12" s="46"/>
      <c r="S12" s="46">
        <f>+Q12-1</f>
        <v>-8</v>
      </c>
      <c r="T12" s="46"/>
      <c r="U12" s="46">
        <f>S12-1</f>
        <v>-9</v>
      </c>
      <c r="V12" s="46"/>
      <c r="W12" s="46">
        <f t="shared" ref="W12" si="0">+U12-1</f>
        <v>-10</v>
      </c>
      <c r="X12" s="46"/>
      <c r="Y12" s="46">
        <f t="shared" ref="Y12" si="1">+W12-1</f>
        <v>-11</v>
      </c>
      <c r="Z12" s="46"/>
      <c r="AA12" s="46">
        <f t="shared" ref="AA12" si="2">+Y12-1</f>
        <v>-12</v>
      </c>
      <c r="AB12" s="46"/>
      <c r="AC12" s="46">
        <f t="shared" ref="AC12" si="3">+AA12-1</f>
        <v>-13</v>
      </c>
      <c r="AD12" s="46"/>
      <c r="AE12" s="46">
        <f t="shared" ref="AE12" si="4">+AC12-1</f>
        <v>-14</v>
      </c>
      <c r="AF12" s="46"/>
      <c r="AG12" s="46">
        <f t="shared" ref="AG12" si="5">+AE12-1</f>
        <v>-15</v>
      </c>
      <c r="AH12" s="46"/>
      <c r="AI12" s="149"/>
    </row>
    <row r="13" spans="1:38">
      <c r="E13" s="216"/>
      <c r="F13" s="216"/>
      <c r="G13" s="253"/>
      <c r="H13" s="216"/>
      <c r="I13" s="216"/>
    </row>
    <row r="14" spans="1:38" ht="15.75">
      <c r="C14" s="27" t="s">
        <v>234</v>
      </c>
      <c r="E14" s="216"/>
      <c r="F14" s="216"/>
      <c r="G14" s="253"/>
      <c r="H14" s="216"/>
      <c r="I14" s="641"/>
      <c r="W14" s="147" t="s">
        <v>247</v>
      </c>
    </row>
    <row r="15" spans="1:38">
      <c r="E15" s="216"/>
      <c r="F15" s="216"/>
      <c r="G15" s="253"/>
      <c r="H15" s="216"/>
      <c r="I15" s="641"/>
    </row>
    <row r="16" spans="1:38" ht="15.75">
      <c r="C16" s="27" t="s">
        <v>223</v>
      </c>
      <c r="E16" s="216"/>
      <c r="F16" s="216"/>
      <c r="G16" s="253"/>
      <c r="H16" s="216"/>
      <c r="I16" s="641"/>
    </row>
    <row r="17" spans="1:37" ht="3" customHeight="1">
      <c r="E17" s="216"/>
      <c r="F17" s="216"/>
      <c r="G17" s="253"/>
      <c r="H17" s="216"/>
      <c r="I17" s="641"/>
    </row>
    <row r="18" spans="1:37">
      <c r="E18" s="441" t="s">
        <v>43</v>
      </c>
      <c r="F18" s="216"/>
      <c r="G18" s="253"/>
      <c r="H18" s="216"/>
      <c r="I18" s="641"/>
    </row>
    <row r="19" spans="1:37">
      <c r="C19" s="109">
        <v>710</v>
      </c>
      <c r="E19" s="252" t="s">
        <v>54</v>
      </c>
      <c r="F19" s="216"/>
      <c r="G19" s="253">
        <v>1</v>
      </c>
      <c r="H19" s="216"/>
      <c r="I19" s="745">
        <f>+Linkin!H7</f>
        <v>0</v>
      </c>
      <c r="K19" s="152">
        <f>ROUND(VLOOKUP($G19,factors,+K$375,FALSE)*$I19,0)</f>
        <v>0</v>
      </c>
      <c r="M19" s="152">
        <f>ROUND(VLOOKUP($G19,factors,+M$375,FALSE)*$I19,0)</f>
        <v>0</v>
      </c>
      <c r="O19" s="152">
        <f>ROUND(VLOOKUP($G19,factors,+O$375,FALSE)*$I19,0)</f>
        <v>0</v>
      </c>
      <c r="Q19" s="152">
        <f>ROUND(VLOOKUP($G19,factors,+Q$375,FALSE)*$I19,0)</f>
        <v>0</v>
      </c>
      <c r="S19" s="152">
        <f>ROUND(VLOOKUP($G19,factors,+S$375,FALSE)*$I19,0)</f>
        <v>0</v>
      </c>
      <c r="U19" s="152">
        <f>ROUND(VLOOKUP($G19,factors,+U$375,FALSE)*$I19,0)</f>
        <v>0</v>
      </c>
      <c r="W19" s="152">
        <f>ROUND(VLOOKUP($G19,factors,+W$375,FALSE)*$I19,0)</f>
        <v>0</v>
      </c>
      <c r="Y19" s="152">
        <f>ROUND(VLOOKUP($G19,factors,+Y$375,FALSE)*$I19,0)</f>
        <v>0</v>
      </c>
      <c r="AA19" s="152">
        <f>ROUND(VLOOKUP($G19,factors,+AA$375,FALSE)*$I19,0)</f>
        <v>0</v>
      </c>
      <c r="AC19" s="152">
        <f>ROUND(VLOOKUP($G19,factors,+AC$375,FALSE)*$I19,0)</f>
        <v>0</v>
      </c>
      <c r="AE19" s="152">
        <f>ROUND(VLOOKUP($G19,factors,+AE$375,FALSE)*$I19,0)</f>
        <v>0</v>
      </c>
      <c r="AG19" s="152">
        <f>ROUND(VLOOKUP($G19,factors,+AG$375,FALSE)*$I19,0)</f>
        <v>0</v>
      </c>
      <c r="AI19" s="153">
        <f>SUM(K19:AG19)-I19</f>
        <v>0</v>
      </c>
    </row>
    <row r="20" spans="1:37">
      <c r="C20" s="109">
        <v>717</v>
      </c>
      <c r="E20" s="252" t="s">
        <v>459</v>
      </c>
      <c r="F20" s="216"/>
      <c r="G20" s="253">
        <v>1</v>
      </c>
      <c r="H20" s="216"/>
      <c r="I20" s="745">
        <f>+Linkin!H8</f>
        <v>0</v>
      </c>
      <c r="K20" s="152">
        <f>ROUND(VLOOKUP($G20,factors,+K$375,FALSE)*$I20,0)</f>
        <v>0</v>
      </c>
      <c r="M20" s="152">
        <f>ROUND(VLOOKUP($G20,factors,+M$375,FALSE)*$I20,0)</f>
        <v>0</v>
      </c>
      <c r="O20" s="152">
        <f>ROUND(VLOOKUP($G20,factors,+O$375,FALSE)*$I20,0)</f>
        <v>0</v>
      </c>
      <c r="Q20" s="152">
        <f>ROUND(VLOOKUP($G20,factors,+Q$375,FALSE)*$I20,0)</f>
        <v>0</v>
      </c>
      <c r="S20" s="152">
        <f>ROUND(VLOOKUP($G20,factors,+S$375,FALSE)*$I20,0)</f>
        <v>0</v>
      </c>
      <c r="U20" s="152">
        <f>ROUND(VLOOKUP($G20,factors,+U$375,FALSE)*$I20,0)</f>
        <v>0</v>
      </c>
      <c r="W20" s="152">
        <f>ROUND(VLOOKUP($G20,factors,+W$375,FALSE)*$I20,0)</f>
        <v>0</v>
      </c>
      <c r="Y20" s="152">
        <f>ROUND(VLOOKUP($G20,factors,+Y$375,FALSE)*$I20,0)</f>
        <v>0</v>
      </c>
      <c r="AA20" s="152">
        <f>ROUND(VLOOKUP($G20,factors,+AA$375,FALSE)*$I20,0)</f>
        <v>0</v>
      </c>
      <c r="AC20" s="152">
        <f>ROUND(VLOOKUP($G20,factors,+AC$375,FALSE)*$I20,0)</f>
        <v>0</v>
      </c>
      <c r="AE20" s="152">
        <f>ROUND(VLOOKUP($G20,factors,+AE$375,FALSE)*$I20,0)</f>
        <v>0</v>
      </c>
      <c r="AG20" s="152">
        <f>ROUND(VLOOKUP($G20,factors,+AG$375,FALSE)*$I20,0)</f>
        <v>0</v>
      </c>
      <c r="AI20" s="153">
        <f>SUM(K20:AG20)-I20</f>
        <v>0</v>
      </c>
    </row>
    <row r="21" spans="1:37">
      <c r="C21" s="109"/>
      <c r="E21" s="252"/>
      <c r="F21" s="216"/>
      <c r="G21" s="253"/>
      <c r="H21" s="216"/>
      <c r="I21" s="745"/>
      <c r="K21" s="152"/>
      <c r="M21" s="152"/>
      <c r="O21" s="152"/>
      <c r="Q21" s="152"/>
      <c r="S21" s="152"/>
      <c r="U21" s="152"/>
      <c r="W21" s="152"/>
      <c r="Y21" s="152"/>
      <c r="AA21" s="152"/>
      <c r="AC21" s="152"/>
      <c r="AE21" s="152"/>
      <c r="AG21" s="152"/>
      <c r="AI21" s="153"/>
    </row>
    <row r="22" spans="1:37">
      <c r="B22" s="150"/>
      <c r="C22" s="147" t="s">
        <v>105</v>
      </c>
      <c r="E22" s="252" t="s">
        <v>460</v>
      </c>
      <c r="F22" s="216"/>
      <c r="G22" s="253">
        <v>1</v>
      </c>
      <c r="H22" s="216"/>
      <c r="I22" s="745">
        <f>+Linkin!H10</f>
        <v>40000</v>
      </c>
      <c r="K22" s="152">
        <f>ROUND(VLOOKUP($G22,factors,+K$375,FALSE)*$I22,0)</f>
        <v>28488</v>
      </c>
      <c r="M22" s="152">
        <f>ROUND(VLOOKUP($G22,factors,+M$375,FALSE)*$I22,0)</f>
        <v>11512</v>
      </c>
      <c r="O22" s="152">
        <f>ROUND(VLOOKUP($G22,factors,+O$375,FALSE)*$I22,0)</f>
        <v>0</v>
      </c>
      <c r="Q22" s="152">
        <f>ROUND(VLOOKUP($G22,factors,+Q$375,FALSE)*$I22,0)</f>
        <v>0</v>
      </c>
      <c r="S22" s="152">
        <f>ROUND(VLOOKUP($G22,factors,+S$375,FALSE)*$I22,0)</f>
        <v>0</v>
      </c>
      <c r="U22" s="152">
        <f>ROUND(VLOOKUP($G22,factors,+U$375,FALSE)*$I22,0)</f>
        <v>0</v>
      </c>
      <c r="W22" s="152">
        <f>ROUND(VLOOKUP($G22,factors,+W$375,FALSE)*$I22,0)</f>
        <v>0</v>
      </c>
      <c r="Y22" s="152">
        <f>ROUND(VLOOKUP($G22,factors,+Y$375,FALSE)*$I22,0)</f>
        <v>0</v>
      </c>
      <c r="AA22" s="152">
        <f>ROUND(VLOOKUP($G22,factors,+AA$375,FALSE)*$I22,0)</f>
        <v>0</v>
      </c>
      <c r="AC22" s="152">
        <f>ROUND(VLOOKUP($G22,factors,+AC$375,FALSE)*$I22,0)</f>
        <v>0</v>
      </c>
      <c r="AE22" s="152">
        <f>ROUND(VLOOKUP($G22,factors,+AE$375,FALSE)*$I22,0)</f>
        <v>0</v>
      </c>
      <c r="AG22" s="152">
        <f>ROUND(VLOOKUP($G22,factors,+AG$375,FALSE)*$I22,0)</f>
        <v>0</v>
      </c>
      <c r="AI22" s="153">
        <f t="shared" ref="AI22:AI27" si="6">SUM(K22:AG22)-I22</f>
        <v>0</v>
      </c>
    </row>
    <row r="23" spans="1:37" s="47" customFormat="1">
      <c r="A23" s="147"/>
      <c r="B23" s="154"/>
      <c r="C23" s="155" t="s">
        <v>104</v>
      </c>
      <c r="D23" s="147"/>
      <c r="E23" s="252" t="s">
        <v>41</v>
      </c>
      <c r="F23" s="216"/>
      <c r="G23" s="253">
        <v>1</v>
      </c>
      <c r="H23" s="216"/>
      <c r="I23" s="745">
        <f>+Linkin!H11</f>
        <v>6770667</v>
      </c>
      <c r="J23" s="147"/>
      <c r="K23" s="152">
        <f>ROUND(VLOOKUP($G23,factors,+K$375,FALSE)*$I23,0)</f>
        <v>4822069</v>
      </c>
      <c r="L23" s="147"/>
      <c r="M23" s="152">
        <f>ROUND(VLOOKUP($G23,factors,+M$375,FALSE)*$I23,0)</f>
        <v>1948598</v>
      </c>
      <c r="N23" s="147"/>
      <c r="O23" s="157">
        <f>ROUND(VLOOKUP($G23,factors,+O$375,FALSE)*$I23,0)</f>
        <v>0</v>
      </c>
      <c r="P23" s="147"/>
      <c r="Q23" s="157">
        <f>ROUND(VLOOKUP($G23,factors,+Q$375,FALSE)*$I23,0)</f>
        <v>0</v>
      </c>
      <c r="R23" s="147"/>
      <c r="S23" s="157">
        <f>ROUND(VLOOKUP($G23,factors,+S$375,FALSE)*$I23,0)</f>
        <v>0</v>
      </c>
      <c r="T23" s="147"/>
      <c r="U23" s="157">
        <f>ROUND(VLOOKUP($G23,factors,+U$375,FALSE)*$I23,0)</f>
        <v>0</v>
      </c>
      <c r="V23" s="147"/>
      <c r="W23" s="157">
        <f>ROUND(VLOOKUP($G23,factors,+W$375,FALSE)*$I23,0)</f>
        <v>0</v>
      </c>
      <c r="X23" s="147"/>
      <c r="Y23" s="157">
        <f>ROUND(VLOOKUP($G23,factors,+Y$375,FALSE)*$I23,0)</f>
        <v>0</v>
      </c>
      <c r="Z23" s="147"/>
      <c r="AA23" s="157">
        <f>ROUND(VLOOKUP($G23,factors,+AA$375,FALSE)*$I23,0)</f>
        <v>0</v>
      </c>
      <c r="AB23" s="147"/>
      <c r="AC23" s="157">
        <f>ROUND(VLOOKUP($G23,factors,+AC$375,FALSE)*$I23,0)</f>
        <v>0</v>
      </c>
      <c r="AD23" s="147"/>
      <c r="AE23" s="157">
        <f>ROUND(VLOOKUP($G23,factors,+AE$375,FALSE)*$I23,0)</f>
        <v>0</v>
      </c>
      <c r="AF23" s="147"/>
      <c r="AG23" s="157">
        <f>ROUND(VLOOKUP($G23,factors,+AG$375,FALSE)*$I23,0)</f>
        <v>0</v>
      </c>
      <c r="AH23" s="147"/>
      <c r="AI23" s="153">
        <f t="shared" si="6"/>
        <v>0</v>
      </c>
      <c r="AJ23" s="147"/>
      <c r="AK23" s="147"/>
    </row>
    <row r="24" spans="1:37">
      <c r="B24" s="151"/>
      <c r="C24" s="155" t="s">
        <v>213</v>
      </c>
      <c r="E24" s="216" t="s">
        <v>215</v>
      </c>
      <c r="F24" s="216"/>
      <c r="G24" s="253"/>
      <c r="H24" s="216"/>
      <c r="I24" s="760">
        <f>SUM(I19:I23)</f>
        <v>6810667</v>
      </c>
      <c r="K24" s="260">
        <f t="shared" ref="K24" si="7">SUM(K19:K23)</f>
        <v>4850557</v>
      </c>
      <c r="M24" s="260">
        <f t="shared" ref="M24" si="8">SUM(M19:M23)</f>
        <v>1960110</v>
      </c>
      <c r="O24" s="152">
        <f t="shared" ref="O24" si="9">SUM(O19:O23)</f>
        <v>0</v>
      </c>
      <c r="Q24" s="152">
        <f t="shared" ref="Q24" si="10">SUM(Q19:Q23)</f>
        <v>0</v>
      </c>
      <c r="S24" s="152">
        <f t="shared" ref="S24:U24" si="11">SUM(S19:S23)</f>
        <v>0</v>
      </c>
      <c r="T24" s="159"/>
      <c r="U24" s="152">
        <f t="shared" si="11"/>
        <v>0</v>
      </c>
      <c r="W24" s="152">
        <f t="shared" ref="W24" si="12">SUM(W19:W23)</f>
        <v>0</v>
      </c>
      <c r="Y24" s="152">
        <f t="shared" ref="Y24" si="13">SUM(Y19:Y23)</f>
        <v>0</v>
      </c>
      <c r="AA24" s="152">
        <f t="shared" ref="AA24" si="14">SUM(AA19:AA23)</f>
        <v>0</v>
      </c>
      <c r="AC24" s="152">
        <f t="shared" ref="AC24:AG24" si="15">SUM(AC19:AC23)</f>
        <v>0</v>
      </c>
      <c r="AE24" s="152">
        <f t="shared" si="15"/>
        <v>0</v>
      </c>
      <c r="AG24" s="152">
        <f t="shared" si="15"/>
        <v>0</v>
      </c>
      <c r="AI24" s="153">
        <f t="shared" si="6"/>
        <v>0</v>
      </c>
    </row>
    <row r="25" spans="1:37">
      <c r="B25" s="151"/>
      <c r="C25" s="155"/>
      <c r="E25" s="216"/>
      <c r="F25" s="216"/>
      <c r="G25" s="253"/>
      <c r="H25" s="216"/>
      <c r="I25" s="454"/>
      <c r="K25" s="152"/>
      <c r="M25" s="152"/>
      <c r="O25" s="152"/>
      <c r="P25" s="152"/>
      <c r="Q25" s="152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I25" s="153">
        <f t="shared" si="6"/>
        <v>0</v>
      </c>
    </row>
    <row r="26" spans="1:37">
      <c r="B26" s="151"/>
      <c r="C26" s="155"/>
      <c r="E26" s="442" t="s">
        <v>371</v>
      </c>
      <c r="F26" s="216"/>
      <c r="G26" s="253"/>
      <c r="H26" s="216"/>
      <c r="I26" s="454"/>
      <c r="K26" s="152"/>
      <c r="M26" s="152"/>
      <c r="O26" s="152"/>
      <c r="P26" s="152"/>
      <c r="Q26" s="152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I26" s="153">
        <f t="shared" si="6"/>
        <v>0</v>
      </c>
    </row>
    <row r="27" spans="1:37">
      <c r="B27" s="151"/>
      <c r="C27" s="376" t="s">
        <v>362</v>
      </c>
      <c r="E27" s="252" t="s">
        <v>471</v>
      </c>
      <c r="F27" s="216"/>
      <c r="G27" s="253">
        <v>1</v>
      </c>
      <c r="H27" s="216"/>
      <c r="I27" s="450">
        <f>+Linkin!H15</f>
        <v>0</v>
      </c>
      <c r="K27" s="152">
        <f>ROUND(VLOOKUP($G27,factors,+K$375,FALSE)*$I27,0)</f>
        <v>0</v>
      </c>
      <c r="M27" s="152">
        <f>ROUND(VLOOKUP($G27,factors,+M$375,FALSE)*$I27,0)</f>
        <v>0</v>
      </c>
      <c r="N27" s="152"/>
      <c r="O27" s="152">
        <f>ROUND(VLOOKUP($G27,factors,+O$375,FALSE)*$I27,0)</f>
        <v>0</v>
      </c>
      <c r="P27" s="152"/>
      <c r="Q27" s="152">
        <f>ROUND(VLOOKUP($G27,factors,+Q$375,FALSE)*$I27,0)</f>
        <v>0</v>
      </c>
      <c r="R27" s="152"/>
      <c r="S27" s="152">
        <f>ROUND(VLOOKUP($G27,factors,+S$375,FALSE)*$I27,0)</f>
        <v>0</v>
      </c>
      <c r="T27" s="151"/>
      <c r="U27" s="152">
        <f>ROUND(VLOOKUP($G27,factors,+U$375,FALSE)*$I27,0)</f>
        <v>0</v>
      </c>
      <c r="V27" s="151"/>
      <c r="W27" s="152">
        <f>ROUND(VLOOKUP($G27,factors,+W$375,FALSE)*$I27,0)</f>
        <v>0</v>
      </c>
      <c r="X27" s="151"/>
      <c r="Y27" s="152">
        <f>ROUND(VLOOKUP($G27,factors,+Y$375,FALSE)*$I27,0)</f>
        <v>0</v>
      </c>
      <c r="Z27" s="151"/>
      <c r="AA27" s="152">
        <f>ROUND(VLOOKUP($G27,factors,+AA$375,FALSE)*$I27,0)</f>
        <v>0</v>
      </c>
      <c r="AB27" s="151"/>
      <c r="AC27" s="152">
        <f>ROUND(VLOOKUP($G27,factors,+AC$375,FALSE)*$I27,0)</f>
        <v>0</v>
      </c>
      <c r="AD27" s="151"/>
      <c r="AE27" s="152">
        <f>ROUND(VLOOKUP($G27,factors,+AE$375,FALSE)*$I27,0)</f>
        <v>0</v>
      </c>
      <c r="AF27" s="151"/>
      <c r="AG27" s="152">
        <f>ROUND(VLOOKUP($G27,factors,+AG$375,FALSE)*$I27,0)</f>
        <v>0</v>
      </c>
      <c r="AI27" s="153">
        <f t="shared" si="6"/>
        <v>0</v>
      </c>
    </row>
    <row r="28" spans="1:37">
      <c r="B28" s="151"/>
      <c r="C28" s="376" t="s">
        <v>363</v>
      </c>
      <c r="E28" s="252" t="s">
        <v>472</v>
      </c>
      <c r="F28" s="216"/>
      <c r="G28" s="253">
        <v>1</v>
      </c>
      <c r="H28" s="216"/>
      <c r="I28" s="450">
        <f>+Linkin!H16</f>
        <v>0</v>
      </c>
      <c r="K28" s="152">
        <f>ROUND(VLOOKUP($G28,factors,+K$375,FALSE)*$I28,0)</f>
        <v>0</v>
      </c>
      <c r="M28" s="152">
        <f>ROUND(VLOOKUP($G28,factors,+M$375,FALSE)*$I28,0)</f>
        <v>0</v>
      </c>
      <c r="N28" s="152"/>
      <c r="O28" s="152">
        <f>ROUND(VLOOKUP($G28,factors,+O$375,FALSE)*$I28,0)</f>
        <v>0</v>
      </c>
      <c r="P28" s="152"/>
      <c r="Q28" s="152">
        <f>ROUND(VLOOKUP($G28,factors,+Q$375,FALSE)*$I28,0)</f>
        <v>0</v>
      </c>
      <c r="R28" s="152"/>
      <c r="S28" s="152">
        <f>ROUND(VLOOKUP($G28,factors,+S$375,FALSE)*$I28,0)</f>
        <v>0</v>
      </c>
      <c r="T28" s="151"/>
      <c r="U28" s="152">
        <f>ROUND(VLOOKUP($G28,factors,+U$375,FALSE)*$I28,0)</f>
        <v>0</v>
      </c>
      <c r="V28" s="151"/>
      <c r="W28" s="152">
        <f>ROUND(VLOOKUP($G28,factors,+W$375,FALSE)*$I28,0)</f>
        <v>0</v>
      </c>
      <c r="X28" s="151"/>
      <c r="Y28" s="152">
        <f>ROUND(VLOOKUP($G28,factors,+Y$375,FALSE)*$I28,0)</f>
        <v>0</v>
      </c>
      <c r="Z28" s="151"/>
      <c r="AA28" s="152">
        <f>ROUND(VLOOKUP($G28,factors,+AA$375,FALSE)*$I28,0)</f>
        <v>0</v>
      </c>
      <c r="AB28" s="151"/>
      <c r="AC28" s="152">
        <f>ROUND(VLOOKUP($G28,factors,+AC$375,FALSE)*$I28,0)</f>
        <v>0</v>
      </c>
      <c r="AD28" s="151"/>
      <c r="AE28" s="152">
        <f>ROUND(VLOOKUP($G28,factors,+AE$375,FALSE)*$I28,0)</f>
        <v>0</v>
      </c>
      <c r="AF28" s="151"/>
      <c r="AG28" s="152">
        <f>ROUND(VLOOKUP($G28,factors,+AG$375,FALSE)*$I28,0)</f>
        <v>0</v>
      </c>
      <c r="AI28" s="153"/>
    </row>
    <row r="29" spans="1:37">
      <c r="B29" s="151"/>
      <c r="C29" s="376" t="s">
        <v>463</v>
      </c>
      <c r="E29" s="252" t="s">
        <v>461</v>
      </c>
      <c r="F29" s="216"/>
      <c r="G29" s="253">
        <v>1</v>
      </c>
      <c r="H29" s="216"/>
      <c r="I29" s="450">
        <f>+Linkin!H17</f>
        <v>0</v>
      </c>
      <c r="K29" s="152">
        <f>ROUND(VLOOKUP($G29,factors,+K$375,FALSE)*$I29,0)</f>
        <v>0</v>
      </c>
      <c r="M29" s="152">
        <f>ROUND(VLOOKUP($G29,factors,+M$375,FALSE)*$I29,0)</f>
        <v>0</v>
      </c>
      <c r="N29" s="152"/>
      <c r="O29" s="152">
        <f>ROUND(VLOOKUP($G29,factors,+O$375,FALSE)*$I29,0)</f>
        <v>0</v>
      </c>
      <c r="P29" s="152"/>
      <c r="Q29" s="152">
        <f>ROUND(VLOOKUP($G29,factors,+Q$375,FALSE)*$I29,0)</f>
        <v>0</v>
      </c>
      <c r="R29" s="152"/>
      <c r="S29" s="152">
        <f>ROUND(VLOOKUP($G29,factors,+S$375,FALSE)*$I29,0)</f>
        <v>0</v>
      </c>
      <c r="T29" s="151"/>
      <c r="U29" s="152">
        <f>ROUND(VLOOKUP($G29,factors,+U$375,FALSE)*$I29,0)</f>
        <v>0</v>
      </c>
      <c r="V29" s="151"/>
      <c r="W29" s="152">
        <f>ROUND(VLOOKUP($G29,factors,+W$375,FALSE)*$I29,0)</f>
        <v>0</v>
      </c>
      <c r="X29" s="151"/>
      <c r="Y29" s="152">
        <f>ROUND(VLOOKUP($G29,factors,+Y$375,FALSE)*$I29,0)</f>
        <v>0</v>
      </c>
      <c r="Z29" s="151"/>
      <c r="AA29" s="152">
        <f>ROUND(VLOOKUP($G29,factors,+AA$375,FALSE)*$I29,0)</f>
        <v>0</v>
      </c>
      <c r="AB29" s="151"/>
      <c r="AC29" s="152">
        <f>ROUND(VLOOKUP($G29,factors,+AC$375,FALSE)*$I29,0)</f>
        <v>0</v>
      </c>
      <c r="AD29" s="151"/>
      <c r="AE29" s="152">
        <f>ROUND(VLOOKUP($G29,factors,+AE$375,FALSE)*$I29,0)</f>
        <v>0</v>
      </c>
      <c r="AF29" s="151"/>
      <c r="AG29" s="152">
        <f>ROUND(VLOOKUP($G29,factors,+AG$375,FALSE)*$I29,0)</f>
        <v>0</v>
      </c>
      <c r="AI29" s="153"/>
    </row>
    <row r="30" spans="1:37">
      <c r="B30" s="151"/>
      <c r="C30" s="376" t="s">
        <v>464</v>
      </c>
      <c r="E30" s="252" t="s">
        <v>473</v>
      </c>
      <c r="F30" s="216"/>
      <c r="G30" s="253">
        <v>1</v>
      </c>
      <c r="H30" s="216"/>
      <c r="I30" s="451">
        <f>+Linkin!H18</f>
        <v>0</v>
      </c>
      <c r="K30" s="157">
        <f>ROUND(VLOOKUP($G30,factors,+K$375,FALSE)*$I30,0)</f>
        <v>0</v>
      </c>
      <c r="M30" s="157">
        <f>ROUND(VLOOKUP($G30,factors,+M$375,FALSE)*$I30,0)</f>
        <v>0</v>
      </c>
      <c r="N30" s="152"/>
      <c r="O30" s="157">
        <f>ROUND(VLOOKUP($G30,factors,+O$375,FALSE)*$I30,0)</f>
        <v>0</v>
      </c>
      <c r="P30" s="152"/>
      <c r="Q30" s="157">
        <f>ROUND(VLOOKUP($G30,factors,+Q$375,FALSE)*$I30,0)</f>
        <v>0</v>
      </c>
      <c r="R30" s="152"/>
      <c r="S30" s="157">
        <f>ROUND(VLOOKUP($G30,factors,+S$375,FALSE)*$I30,0)</f>
        <v>0</v>
      </c>
      <c r="T30" s="151"/>
      <c r="U30" s="157">
        <f>ROUND(VLOOKUP($G30,factors,+U$375,FALSE)*$I30,0)</f>
        <v>0</v>
      </c>
      <c r="V30" s="151"/>
      <c r="W30" s="157">
        <f>ROUND(VLOOKUP($G30,factors,+W$375,FALSE)*$I30,0)</f>
        <v>0</v>
      </c>
      <c r="X30" s="151"/>
      <c r="Y30" s="157">
        <f>ROUND(VLOOKUP($G30,factors,+Y$375,FALSE)*$I30,0)</f>
        <v>0</v>
      </c>
      <c r="Z30" s="151"/>
      <c r="AA30" s="157">
        <f>ROUND(VLOOKUP($G30,factors,+AA$375,FALSE)*$I30,0)</f>
        <v>0</v>
      </c>
      <c r="AB30" s="151"/>
      <c r="AC30" s="157">
        <f>ROUND(VLOOKUP($G30,factors,+AC$375,FALSE)*$I30,0)</f>
        <v>0</v>
      </c>
      <c r="AD30" s="151"/>
      <c r="AE30" s="157">
        <f>ROUND(VLOOKUP($G30,factors,+AE$375,FALSE)*$I30,0)</f>
        <v>0</v>
      </c>
      <c r="AF30" s="151"/>
      <c r="AG30" s="157">
        <f>ROUND(VLOOKUP($G30,factors,+AG$375,FALSE)*$I30,0)</f>
        <v>0</v>
      </c>
      <c r="AI30" s="153">
        <f t="shared" ref="AI30:AI47" si="16">SUM(K30:AG30)-I30</f>
        <v>0</v>
      </c>
    </row>
    <row r="31" spans="1:37">
      <c r="B31" s="151"/>
      <c r="C31" s="155"/>
      <c r="E31" s="216" t="s">
        <v>372</v>
      </c>
      <c r="F31" s="216"/>
      <c r="G31" s="253"/>
      <c r="H31" s="216"/>
      <c r="I31" s="450">
        <f>SUM(I27:I30)</f>
        <v>0</v>
      </c>
      <c r="K31" s="152">
        <f>SUM(K27:K30)</f>
        <v>0</v>
      </c>
      <c r="M31" s="152">
        <f>SUM(M27:M30)</f>
        <v>0</v>
      </c>
      <c r="O31" s="152">
        <f>SUM(O27:O30)</f>
        <v>0</v>
      </c>
      <c r="Q31" s="152">
        <f>SUM(Q27:Q30)</f>
        <v>0</v>
      </c>
      <c r="S31" s="152">
        <f>SUM(S27:S30)</f>
        <v>0</v>
      </c>
      <c r="T31" s="159"/>
      <c r="U31" s="152">
        <f>SUM(U27:U30)</f>
        <v>0</v>
      </c>
      <c r="W31" s="152">
        <f>SUM(W27:W30)</f>
        <v>0</v>
      </c>
      <c r="Y31" s="152">
        <f>SUM(Y27:Y30)</f>
        <v>0</v>
      </c>
      <c r="AA31" s="152">
        <f>SUM(AA27:AA30)</f>
        <v>0</v>
      </c>
      <c r="AC31" s="152">
        <f>SUM(AC27:AC30)</f>
        <v>0</v>
      </c>
      <c r="AE31" s="152">
        <f t="shared" ref="AE31" si="17">SUM(AE27:AE30)</f>
        <v>0</v>
      </c>
      <c r="AG31" s="152">
        <f t="shared" ref="AG31" si="18">SUM(AG27:AG30)</f>
        <v>0</v>
      </c>
      <c r="AI31" s="153">
        <f t="shared" si="16"/>
        <v>0</v>
      </c>
    </row>
    <row r="32" spans="1:37">
      <c r="B32" s="151"/>
      <c r="C32" s="155"/>
      <c r="E32" s="216"/>
      <c r="F32" s="216"/>
      <c r="G32" s="253"/>
      <c r="H32" s="216"/>
      <c r="I32" s="454"/>
      <c r="K32" s="152"/>
      <c r="M32" s="152"/>
      <c r="O32" s="152"/>
      <c r="P32" s="152"/>
      <c r="Q32" s="152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I32" s="153">
        <f t="shared" si="16"/>
        <v>0</v>
      </c>
    </row>
    <row r="33" spans="1:37">
      <c r="A33" s="406" t="s">
        <v>534</v>
      </c>
      <c r="B33" s="303"/>
      <c r="C33" s="155" t="s">
        <v>213</v>
      </c>
      <c r="E33" s="442" t="s">
        <v>224</v>
      </c>
      <c r="F33" s="216"/>
      <c r="G33" s="253"/>
      <c r="H33" s="216"/>
      <c r="I33" s="454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I33" s="153">
        <f t="shared" si="16"/>
        <v>0</v>
      </c>
    </row>
    <row r="34" spans="1:37" s="47" customFormat="1" ht="15.75" thickBot="1">
      <c r="A34" s="406" t="s">
        <v>535</v>
      </c>
      <c r="B34" s="407">
        <v>0</v>
      </c>
      <c r="C34" s="400" t="s">
        <v>470</v>
      </c>
      <c r="D34" s="147"/>
      <c r="E34" s="252" t="s">
        <v>466</v>
      </c>
      <c r="F34" s="216"/>
      <c r="G34" s="253">
        <v>1</v>
      </c>
      <c r="H34" s="216"/>
      <c r="I34" s="450">
        <f>+Linkin!H22</f>
        <v>0</v>
      </c>
      <c r="J34" s="147"/>
      <c r="K34" s="152">
        <f t="shared" ref="K34:K41" si="19">ROUND(VLOOKUP($G34,factors,+K$375,FALSE)*$I34,0)</f>
        <v>0</v>
      </c>
      <c r="L34" s="147"/>
      <c r="M34" s="152">
        <f t="shared" ref="M34:M41" si="20">ROUND(VLOOKUP($G34,factors,+M$375,FALSE)*$I34,0)</f>
        <v>0</v>
      </c>
      <c r="N34" s="152"/>
      <c r="O34" s="152">
        <f t="shared" ref="O34:O41" si="21">ROUND(VLOOKUP($G34,factors,+O$375,FALSE)*$I34,0)</f>
        <v>0</v>
      </c>
      <c r="P34" s="152"/>
      <c r="Q34" s="152">
        <f t="shared" ref="Q34:Q41" si="22">ROUND(VLOOKUP($G34,factors,+Q$375,FALSE)*$I34,0)</f>
        <v>0</v>
      </c>
      <c r="R34" s="152"/>
      <c r="S34" s="151">
        <f t="shared" ref="S34:S41" si="23">ROUND(VLOOKUP($G34,factors,+S$375,FALSE)*$I34,0)</f>
        <v>0</v>
      </c>
      <c r="T34" s="151"/>
      <c r="U34" s="151">
        <f t="shared" ref="U34:U41" si="24">ROUND(VLOOKUP($G34,factors,+U$375,FALSE)*$I34,0)</f>
        <v>0</v>
      </c>
      <c r="V34" s="151"/>
      <c r="W34" s="151">
        <f t="shared" ref="W34:W41" si="25">ROUND(VLOOKUP($G34,factors,+W$375,FALSE)*$I34,0)</f>
        <v>0</v>
      </c>
      <c r="X34" s="151"/>
      <c r="Y34" s="151">
        <f t="shared" ref="Y34:Y41" si="26">ROUND(VLOOKUP($G34,factors,+Y$375,FALSE)*$I34,0)</f>
        <v>0</v>
      </c>
      <c r="Z34" s="151"/>
      <c r="AA34" s="151">
        <f t="shared" ref="AA34:AA41" si="27">ROUND(VLOOKUP($G34,factors,+AA$375,FALSE)*$I34,0)</f>
        <v>0</v>
      </c>
      <c r="AB34" s="151"/>
      <c r="AC34" s="151">
        <f t="shared" ref="AC34:AC41" si="28">ROUND(VLOOKUP($G34,factors,+AC$375,FALSE)*$I34,0)</f>
        <v>0</v>
      </c>
      <c r="AD34" s="151"/>
      <c r="AE34" s="151">
        <f t="shared" ref="AE34:AE41" si="29">ROUND(VLOOKUP($G34,factors,+AE$375,FALSE)*$I34,0)</f>
        <v>0</v>
      </c>
      <c r="AF34" s="151"/>
      <c r="AG34" s="151">
        <f t="shared" ref="AG34:AG41" si="30">ROUND(VLOOKUP($G34,factors,+AG$375,FALSE)*$I34,0)</f>
        <v>0</v>
      </c>
      <c r="AH34" s="147"/>
      <c r="AI34" s="153">
        <f t="shared" si="16"/>
        <v>0</v>
      </c>
      <c r="AJ34" s="147"/>
      <c r="AK34" s="147"/>
    </row>
    <row r="35" spans="1:37" s="47" customFormat="1" ht="15.75" thickTop="1">
      <c r="A35" s="147"/>
      <c r="B35" s="151"/>
      <c r="C35" s="401">
        <v>804</v>
      </c>
      <c r="D35" s="147"/>
      <c r="E35" s="252" t="s">
        <v>47</v>
      </c>
      <c r="F35" s="216"/>
      <c r="G35" s="253">
        <v>1</v>
      </c>
      <c r="H35" s="216"/>
      <c r="I35" s="450">
        <f>+Linkin!H23*B34</f>
        <v>0</v>
      </c>
      <c r="J35" s="147"/>
      <c r="K35" s="152">
        <f t="shared" si="19"/>
        <v>0</v>
      </c>
      <c r="L35" s="147"/>
      <c r="M35" s="152">
        <f t="shared" si="20"/>
        <v>0</v>
      </c>
      <c r="N35" s="152"/>
      <c r="O35" s="152">
        <f t="shared" si="21"/>
        <v>0</v>
      </c>
      <c r="P35" s="152"/>
      <c r="Q35" s="152">
        <f t="shared" si="22"/>
        <v>0</v>
      </c>
      <c r="R35" s="152"/>
      <c r="S35" s="151">
        <f t="shared" si="23"/>
        <v>0</v>
      </c>
      <c r="T35" s="151"/>
      <c r="U35" s="151">
        <f t="shared" si="24"/>
        <v>0</v>
      </c>
      <c r="V35" s="151"/>
      <c r="W35" s="151">
        <f t="shared" si="25"/>
        <v>0</v>
      </c>
      <c r="X35" s="151"/>
      <c r="Y35" s="151">
        <f t="shared" si="26"/>
        <v>0</v>
      </c>
      <c r="Z35" s="151"/>
      <c r="AA35" s="151">
        <f t="shared" si="27"/>
        <v>0</v>
      </c>
      <c r="AB35" s="151"/>
      <c r="AC35" s="151">
        <f t="shared" si="28"/>
        <v>0</v>
      </c>
      <c r="AD35" s="151"/>
      <c r="AE35" s="151">
        <f t="shared" si="29"/>
        <v>0</v>
      </c>
      <c r="AF35" s="151"/>
      <c r="AG35" s="151">
        <f t="shared" si="30"/>
        <v>0</v>
      </c>
      <c r="AH35" s="147"/>
      <c r="AI35" s="153">
        <f t="shared" si="16"/>
        <v>0</v>
      </c>
      <c r="AJ35" s="147"/>
      <c r="AK35" s="147"/>
    </row>
    <row r="36" spans="1:37" s="47" customFormat="1">
      <c r="A36" s="147"/>
      <c r="B36" s="151"/>
      <c r="C36" s="401">
        <v>805.1</v>
      </c>
      <c r="D36" s="147"/>
      <c r="E36" s="252" t="s">
        <v>49</v>
      </c>
      <c r="F36" s="216"/>
      <c r="G36" s="253">
        <v>1</v>
      </c>
      <c r="H36" s="216"/>
      <c r="I36" s="450">
        <f>+Linkin!H26*B34</f>
        <v>0</v>
      </c>
      <c r="J36" s="147"/>
      <c r="K36" s="152">
        <f t="shared" si="19"/>
        <v>0</v>
      </c>
      <c r="L36" s="147"/>
      <c r="M36" s="152">
        <f t="shared" si="20"/>
        <v>0</v>
      </c>
      <c r="N36" s="152"/>
      <c r="O36" s="152">
        <f t="shared" si="21"/>
        <v>0</v>
      </c>
      <c r="P36" s="152"/>
      <c r="Q36" s="152">
        <f t="shared" si="22"/>
        <v>0</v>
      </c>
      <c r="R36" s="152"/>
      <c r="S36" s="151">
        <f t="shared" si="23"/>
        <v>0</v>
      </c>
      <c r="T36" s="151"/>
      <c r="U36" s="151">
        <f t="shared" si="24"/>
        <v>0</v>
      </c>
      <c r="V36" s="151"/>
      <c r="W36" s="151">
        <f t="shared" si="25"/>
        <v>0</v>
      </c>
      <c r="X36" s="151"/>
      <c r="Y36" s="151">
        <f t="shared" si="26"/>
        <v>0</v>
      </c>
      <c r="Z36" s="151"/>
      <c r="AA36" s="151">
        <f t="shared" si="27"/>
        <v>0</v>
      </c>
      <c r="AB36" s="151"/>
      <c r="AC36" s="151">
        <f t="shared" si="28"/>
        <v>0</v>
      </c>
      <c r="AD36" s="151"/>
      <c r="AE36" s="151">
        <f t="shared" si="29"/>
        <v>0</v>
      </c>
      <c r="AF36" s="151"/>
      <c r="AG36" s="151">
        <f t="shared" si="30"/>
        <v>0</v>
      </c>
      <c r="AH36" s="147"/>
      <c r="AI36" s="153">
        <f t="shared" si="16"/>
        <v>0</v>
      </c>
      <c r="AJ36" s="147"/>
      <c r="AK36" s="147"/>
    </row>
    <row r="37" spans="1:37" s="47" customFormat="1">
      <c r="A37" s="276"/>
      <c r="B37" s="151"/>
      <c r="C37" s="376">
        <v>805</v>
      </c>
      <c r="D37" s="743"/>
      <c r="E37" s="796" t="s">
        <v>48</v>
      </c>
      <c r="F37" s="252"/>
      <c r="G37" s="376">
        <v>1</v>
      </c>
      <c r="H37" s="252"/>
      <c r="I37" s="450">
        <f>Linkin!H25*B34</f>
        <v>0</v>
      </c>
      <c r="J37" s="147"/>
      <c r="K37" s="152">
        <f t="shared" si="19"/>
        <v>0</v>
      </c>
      <c r="L37" s="147"/>
      <c r="M37" s="152">
        <f t="shared" si="20"/>
        <v>0</v>
      </c>
      <c r="N37" s="152"/>
      <c r="O37" s="152">
        <f t="shared" si="21"/>
        <v>0</v>
      </c>
      <c r="P37" s="152"/>
      <c r="Q37" s="152">
        <f t="shared" si="22"/>
        <v>0</v>
      </c>
      <c r="R37" s="152"/>
      <c r="S37" s="151">
        <f t="shared" si="23"/>
        <v>0</v>
      </c>
      <c r="T37" s="151"/>
      <c r="U37" s="151">
        <f t="shared" si="24"/>
        <v>0</v>
      </c>
      <c r="V37" s="151"/>
      <c r="W37" s="151">
        <f t="shared" si="25"/>
        <v>0</v>
      </c>
      <c r="X37" s="151"/>
      <c r="Y37" s="151">
        <f t="shared" si="26"/>
        <v>0</v>
      </c>
      <c r="Z37" s="151"/>
      <c r="AA37" s="151">
        <f t="shared" si="27"/>
        <v>0</v>
      </c>
      <c r="AB37" s="151"/>
      <c r="AC37" s="151">
        <f t="shared" si="28"/>
        <v>0</v>
      </c>
      <c r="AD37" s="151"/>
      <c r="AE37" s="151">
        <f t="shared" si="29"/>
        <v>0</v>
      </c>
      <c r="AF37" s="151"/>
      <c r="AG37" s="151">
        <f t="shared" si="30"/>
        <v>0</v>
      </c>
      <c r="AH37" s="147"/>
      <c r="AI37" s="153"/>
      <c r="AJ37" s="147"/>
      <c r="AK37" s="147"/>
    </row>
    <row r="38" spans="1:37" s="47" customFormat="1">
      <c r="A38" s="147"/>
      <c r="B38" s="151"/>
      <c r="C38" s="401">
        <v>808.1</v>
      </c>
      <c r="D38" s="147"/>
      <c r="E38" s="252" t="s">
        <v>50</v>
      </c>
      <c r="F38" s="216"/>
      <c r="G38" s="253">
        <v>1</v>
      </c>
      <c r="H38" s="216"/>
      <c r="I38" s="450">
        <f>+Linkin!H29*B34</f>
        <v>0</v>
      </c>
      <c r="J38" s="147"/>
      <c r="K38" s="152">
        <f t="shared" si="19"/>
        <v>0</v>
      </c>
      <c r="L38" s="147"/>
      <c r="M38" s="152">
        <f t="shared" si="20"/>
        <v>0</v>
      </c>
      <c r="N38" s="152"/>
      <c r="O38" s="152">
        <f t="shared" si="21"/>
        <v>0</v>
      </c>
      <c r="P38" s="152"/>
      <c r="Q38" s="152">
        <f t="shared" si="22"/>
        <v>0</v>
      </c>
      <c r="R38" s="152"/>
      <c r="S38" s="151">
        <f t="shared" si="23"/>
        <v>0</v>
      </c>
      <c r="T38" s="151"/>
      <c r="U38" s="151">
        <f t="shared" si="24"/>
        <v>0</v>
      </c>
      <c r="V38" s="151"/>
      <c r="W38" s="151">
        <f t="shared" si="25"/>
        <v>0</v>
      </c>
      <c r="X38" s="151"/>
      <c r="Y38" s="151">
        <f t="shared" si="26"/>
        <v>0</v>
      </c>
      <c r="Z38" s="151"/>
      <c r="AA38" s="151">
        <f t="shared" si="27"/>
        <v>0</v>
      </c>
      <c r="AB38" s="151"/>
      <c r="AC38" s="151">
        <f t="shared" si="28"/>
        <v>0</v>
      </c>
      <c r="AD38" s="151"/>
      <c r="AE38" s="151">
        <f t="shared" si="29"/>
        <v>0</v>
      </c>
      <c r="AF38" s="151"/>
      <c r="AG38" s="151">
        <f t="shared" si="30"/>
        <v>0</v>
      </c>
      <c r="AH38" s="147"/>
      <c r="AI38" s="153">
        <f t="shared" si="16"/>
        <v>0</v>
      </c>
      <c r="AJ38" s="147"/>
      <c r="AK38" s="147"/>
    </row>
    <row r="39" spans="1:37" s="47" customFormat="1">
      <c r="A39" s="147"/>
      <c r="B39" s="151"/>
      <c r="C39" s="401">
        <v>808.2</v>
      </c>
      <c r="D39" s="147"/>
      <c r="E39" s="252" t="s">
        <v>300</v>
      </c>
      <c r="F39" s="216"/>
      <c r="G39" s="253">
        <v>1</v>
      </c>
      <c r="H39" s="216"/>
      <c r="I39" s="450">
        <f>+Linkin!H30*B34</f>
        <v>0</v>
      </c>
      <c r="J39" s="147"/>
      <c r="K39" s="152">
        <f t="shared" si="19"/>
        <v>0</v>
      </c>
      <c r="L39" s="147"/>
      <c r="M39" s="152">
        <f t="shared" si="20"/>
        <v>0</v>
      </c>
      <c r="N39" s="152"/>
      <c r="O39" s="152">
        <f t="shared" si="21"/>
        <v>0</v>
      </c>
      <c r="P39" s="152"/>
      <c r="Q39" s="152">
        <f t="shared" si="22"/>
        <v>0</v>
      </c>
      <c r="R39" s="152"/>
      <c r="S39" s="151">
        <f t="shared" si="23"/>
        <v>0</v>
      </c>
      <c r="T39" s="151"/>
      <c r="U39" s="151">
        <f t="shared" si="24"/>
        <v>0</v>
      </c>
      <c r="V39" s="151"/>
      <c r="W39" s="151">
        <f t="shared" si="25"/>
        <v>0</v>
      </c>
      <c r="X39" s="151"/>
      <c r="Y39" s="151">
        <f t="shared" si="26"/>
        <v>0</v>
      </c>
      <c r="Z39" s="151"/>
      <c r="AA39" s="151">
        <f t="shared" si="27"/>
        <v>0</v>
      </c>
      <c r="AB39" s="151"/>
      <c r="AC39" s="151">
        <f t="shared" si="28"/>
        <v>0</v>
      </c>
      <c r="AD39" s="151"/>
      <c r="AE39" s="151">
        <f t="shared" si="29"/>
        <v>0</v>
      </c>
      <c r="AF39" s="151"/>
      <c r="AG39" s="151">
        <f t="shared" si="30"/>
        <v>0</v>
      </c>
      <c r="AH39" s="147"/>
      <c r="AI39" s="153">
        <f t="shared" si="16"/>
        <v>0</v>
      </c>
      <c r="AJ39" s="147"/>
      <c r="AK39" s="147"/>
    </row>
    <row r="40" spans="1:37" s="47" customFormat="1">
      <c r="A40" s="147"/>
      <c r="B40" s="151"/>
      <c r="C40" s="401">
        <v>812</v>
      </c>
      <c r="D40" s="147"/>
      <c r="E40" s="252" t="s">
        <v>465</v>
      </c>
      <c r="F40" s="216"/>
      <c r="G40" s="253">
        <v>1</v>
      </c>
      <c r="H40" s="216"/>
      <c r="I40" s="450">
        <f>+Linkin!H31*B34</f>
        <v>0</v>
      </c>
      <c r="J40" s="147"/>
      <c r="K40" s="152">
        <f t="shared" si="19"/>
        <v>0</v>
      </c>
      <c r="L40" s="147"/>
      <c r="M40" s="152">
        <f t="shared" si="20"/>
        <v>0</v>
      </c>
      <c r="N40" s="152"/>
      <c r="O40" s="152">
        <f t="shared" si="21"/>
        <v>0</v>
      </c>
      <c r="P40" s="152"/>
      <c r="Q40" s="152">
        <f t="shared" si="22"/>
        <v>0</v>
      </c>
      <c r="R40" s="152"/>
      <c r="S40" s="151">
        <f t="shared" si="23"/>
        <v>0</v>
      </c>
      <c r="T40" s="151"/>
      <c r="U40" s="151">
        <f t="shared" si="24"/>
        <v>0</v>
      </c>
      <c r="V40" s="151"/>
      <c r="W40" s="151">
        <f t="shared" si="25"/>
        <v>0</v>
      </c>
      <c r="X40" s="151"/>
      <c r="Y40" s="151">
        <f t="shared" si="26"/>
        <v>0</v>
      </c>
      <c r="Z40" s="151"/>
      <c r="AA40" s="151">
        <f t="shared" si="27"/>
        <v>0</v>
      </c>
      <c r="AB40" s="151"/>
      <c r="AC40" s="151">
        <f t="shared" si="28"/>
        <v>0</v>
      </c>
      <c r="AD40" s="151"/>
      <c r="AE40" s="151">
        <f t="shared" si="29"/>
        <v>0</v>
      </c>
      <c r="AF40" s="151"/>
      <c r="AG40" s="151">
        <f t="shared" si="30"/>
        <v>0</v>
      </c>
      <c r="AH40" s="147"/>
      <c r="AI40" s="153">
        <f t="shared" si="16"/>
        <v>0</v>
      </c>
      <c r="AJ40" s="147"/>
      <c r="AK40" s="147"/>
    </row>
    <row r="41" spans="1:37" s="47" customFormat="1">
      <c r="A41" s="147"/>
      <c r="B41" s="150"/>
      <c r="C41" s="400">
        <v>813</v>
      </c>
      <c r="D41" s="147"/>
      <c r="E41" s="252" t="s">
        <v>224</v>
      </c>
      <c r="F41" s="216"/>
      <c r="G41" s="253">
        <v>1</v>
      </c>
      <c r="H41" s="216"/>
      <c r="I41" s="450">
        <f>Linkin!H32*B34</f>
        <v>0</v>
      </c>
      <c r="J41" s="147"/>
      <c r="K41" s="157">
        <f t="shared" si="19"/>
        <v>0</v>
      </c>
      <c r="L41" s="147"/>
      <c r="M41" s="157">
        <f t="shared" si="20"/>
        <v>0</v>
      </c>
      <c r="N41" s="152"/>
      <c r="O41" s="157">
        <f t="shared" si="21"/>
        <v>0</v>
      </c>
      <c r="P41" s="158"/>
      <c r="Q41" s="157">
        <f t="shared" si="22"/>
        <v>0</v>
      </c>
      <c r="R41" s="152"/>
      <c r="S41" s="156">
        <f t="shared" si="23"/>
        <v>0</v>
      </c>
      <c r="T41" s="159"/>
      <c r="U41" s="156">
        <f t="shared" si="24"/>
        <v>0</v>
      </c>
      <c r="V41" s="151"/>
      <c r="W41" s="156">
        <f t="shared" si="25"/>
        <v>0</v>
      </c>
      <c r="X41" s="151"/>
      <c r="Y41" s="156">
        <f t="shared" si="26"/>
        <v>0</v>
      </c>
      <c r="Z41" s="151"/>
      <c r="AA41" s="156">
        <f t="shared" si="27"/>
        <v>0</v>
      </c>
      <c r="AB41" s="159"/>
      <c r="AC41" s="156">
        <f t="shared" si="28"/>
        <v>0</v>
      </c>
      <c r="AD41" s="151"/>
      <c r="AE41" s="156">
        <f t="shared" si="29"/>
        <v>0</v>
      </c>
      <c r="AF41" s="151"/>
      <c r="AG41" s="156">
        <f t="shared" si="30"/>
        <v>0</v>
      </c>
      <c r="AH41" s="147"/>
      <c r="AI41" s="153">
        <f t="shared" si="16"/>
        <v>0</v>
      </c>
      <c r="AJ41" s="147"/>
      <c r="AK41" s="147"/>
    </row>
    <row r="42" spans="1:37">
      <c r="E42" s="216" t="s">
        <v>217</v>
      </c>
      <c r="F42" s="216"/>
      <c r="G42" s="253"/>
      <c r="H42" s="216"/>
      <c r="I42" s="761">
        <f>SUM(I34:I41)</f>
        <v>0</v>
      </c>
      <c r="K42" s="156">
        <f>SUM(K34:K41)</f>
        <v>0</v>
      </c>
      <c r="M42" s="156">
        <f>SUM(M34:M41)</f>
        <v>0</v>
      </c>
      <c r="O42" s="156">
        <f>SUM(O34:O41)</f>
        <v>0</v>
      </c>
      <c r="P42" s="159"/>
      <c r="Q42" s="156">
        <f>SUM(Q34:Q41)</f>
        <v>0</v>
      </c>
      <c r="S42" s="156">
        <f>SUM(S34:S41)</f>
        <v>0</v>
      </c>
      <c r="T42" s="159"/>
      <c r="U42" s="156">
        <f>SUM(U34:U41)</f>
        <v>0</v>
      </c>
      <c r="W42" s="156">
        <f>SUM(W34:W41)</f>
        <v>0</v>
      </c>
      <c r="Y42" s="156">
        <f>SUM(Y34:Y41)</f>
        <v>0</v>
      </c>
      <c r="AA42" s="156">
        <f>SUM(AA34:AA41)</f>
        <v>0</v>
      </c>
      <c r="AB42" s="159"/>
      <c r="AC42" s="156">
        <f>SUM(AC34:AC41)</f>
        <v>0</v>
      </c>
      <c r="AE42" s="156">
        <f>SUM(AE34:AE41)</f>
        <v>0</v>
      </c>
      <c r="AG42" s="156">
        <f>SUM(AG34:AG41)</f>
        <v>0</v>
      </c>
      <c r="AI42" s="153">
        <f t="shared" si="16"/>
        <v>0</v>
      </c>
    </row>
    <row r="43" spans="1:37">
      <c r="A43" s="216"/>
      <c r="E43" s="216"/>
      <c r="F43" s="216"/>
      <c r="G43" s="253"/>
      <c r="H43" s="216"/>
      <c r="I43" s="254"/>
      <c r="K43" s="151"/>
      <c r="M43" s="151"/>
      <c r="O43" s="151"/>
      <c r="P43" s="151"/>
      <c r="Q43" s="151"/>
      <c r="S43" s="151"/>
      <c r="T43" s="151"/>
      <c r="U43" s="151"/>
      <c r="W43" s="151"/>
      <c r="Y43" s="151"/>
      <c r="Z43" s="151"/>
      <c r="AA43" s="151"/>
      <c r="AB43" s="151"/>
      <c r="AC43" s="151"/>
      <c r="AE43" s="151"/>
      <c r="AG43" s="151"/>
      <c r="AI43" s="153">
        <f t="shared" si="16"/>
        <v>0</v>
      </c>
    </row>
    <row r="44" spans="1:37" ht="15.75">
      <c r="A44" s="216"/>
      <c r="B44" s="151"/>
      <c r="E44" s="443" t="s">
        <v>222</v>
      </c>
      <c r="F44" s="443"/>
      <c r="G44" s="444"/>
      <c r="H44" s="443"/>
      <c r="I44" s="445">
        <f>+I42++I24+I31</f>
        <v>6810667</v>
      </c>
      <c r="J44" s="27"/>
      <c r="K44" s="39">
        <f>+K42++K24+K31</f>
        <v>4850557</v>
      </c>
      <c r="L44" s="27"/>
      <c r="M44" s="39">
        <f>+M42++M24+M31</f>
        <v>1960110</v>
      </c>
      <c r="N44" s="27"/>
      <c r="O44" s="39">
        <f>+O42++O24+O31</f>
        <v>0</v>
      </c>
      <c r="P44" s="27"/>
      <c r="Q44" s="39">
        <f>+Q42++Q24+Q31</f>
        <v>0</v>
      </c>
      <c r="R44" s="27"/>
      <c r="S44" s="39">
        <f>+S42++S24+S31</f>
        <v>0</v>
      </c>
      <c r="T44" s="48"/>
      <c r="U44" s="39">
        <f>+U42++U24+U31</f>
        <v>0</v>
      </c>
      <c r="V44" s="27"/>
      <c r="W44" s="39">
        <f>+W42++W24+W31</f>
        <v>0</v>
      </c>
      <c r="X44" s="27"/>
      <c r="Y44" s="39">
        <f>+Y42++Y24+Y31</f>
        <v>0</v>
      </c>
      <c r="Z44" s="27"/>
      <c r="AA44" s="39">
        <f>+AA42++AA24+AA31</f>
        <v>0</v>
      </c>
      <c r="AB44" s="27"/>
      <c r="AC44" s="39">
        <f>+AC42++AC24+AC31</f>
        <v>0</v>
      </c>
      <c r="AD44" s="27"/>
      <c r="AE44" s="39">
        <f>+AE42++AE24+AE31</f>
        <v>0</v>
      </c>
      <c r="AF44" s="27"/>
      <c r="AG44" s="39">
        <f>+AG42++AG24+AG31</f>
        <v>0</v>
      </c>
      <c r="AH44" s="27"/>
      <c r="AI44" s="153">
        <f t="shared" si="16"/>
        <v>0</v>
      </c>
    </row>
    <row r="45" spans="1:37" ht="15.75">
      <c r="A45" s="216"/>
      <c r="B45" s="151"/>
      <c r="E45" s="443"/>
      <c r="F45" s="443"/>
      <c r="G45" s="444"/>
      <c r="H45" s="443"/>
      <c r="I45" s="686"/>
      <c r="J45" s="27"/>
      <c r="K45" s="48"/>
      <c r="L45" s="27"/>
      <c r="M45" s="48"/>
      <c r="N45" s="27"/>
      <c r="O45" s="48"/>
      <c r="P45" s="48"/>
      <c r="Q45" s="48"/>
      <c r="R45" s="27"/>
      <c r="S45" s="48"/>
      <c r="T45" s="48"/>
      <c r="U45" s="48"/>
      <c r="V45" s="27"/>
      <c r="W45" s="48"/>
      <c r="X45" s="27"/>
      <c r="Y45" s="48"/>
      <c r="Z45" s="27"/>
      <c r="AA45" s="48"/>
      <c r="AB45" s="48"/>
      <c r="AC45" s="48"/>
      <c r="AD45" s="27"/>
      <c r="AE45" s="48"/>
      <c r="AF45" s="27"/>
      <c r="AG45" s="48"/>
      <c r="AH45" s="27"/>
      <c r="AI45" s="153">
        <f t="shared" si="16"/>
        <v>0</v>
      </c>
    </row>
    <row r="46" spans="1:37" ht="27" customHeight="1">
      <c r="A46" s="641"/>
      <c r="B46" s="151"/>
      <c r="C46" s="27" t="s">
        <v>403</v>
      </c>
      <c r="E46" s="443"/>
      <c r="F46" s="443"/>
      <c r="G46" s="113"/>
      <c r="H46" s="443"/>
      <c r="I46" s="686"/>
      <c r="J46" s="27"/>
      <c r="K46" s="48"/>
      <c r="L46" s="27"/>
      <c r="M46" s="48"/>
      <c r="N46" s="27"/>
      <c r="O46" s="48"/>
      <c r="P46" s="48"/>
      <c r="Q46" s="48"/>
      <c r="R46" s="27"/>
      <c r="S46" s="48"/>
      <c r="T46" s="48"/>
      <c r="U46" s="48"/>
      <c r="V46" s="27"/>
      <c r="W46" s="48"/>
      <c r="X46" s="27"/>
      <c r="Y46" s="48"/>
      <c r="Z46" s="27"/>
      <c r="AA46" s="48"/>
      <c r="AB46" s="48"/>
      <c r="AC46" s="48"/>
      <c r="AD46" s="27"/>
      <c r="AE46" s="48"/>
      <c r="AF46" s="27"/>
      <c r="AG46" s="48"/>
      <c r="AH46" s="27"/>
      <c r="AI46" s="153">
        <f t="shared" si="16"/>
        <v>0</v>
      </c>
    </row>
    <row r="47" spans="1:37" s="147" customFormat="1" ht="15.75">
      <c r="A47" s="252"/>
      <c r="B47" s="145"/>
      <c r="C47" s="401">
        <v>840</v>
      </c>
      <c r="D47" s="87"/>
      <c r="E47" s="252" t="s">
        <v>474</v>
      </c>
      <c r="F47" s="447"/>
      <c r="G47" s="376" t="s">
        <v>589</v>
      </c>
      <c r="H47" s="447"/>
      <c r="I47" s="450">
        <f>B47</f>
        <v>0</v>
      </c>
      <c r="J47" s="162"/>
      <c r="K47" s="152">
        <f>ROUND(VLOOKUP($G47,factors,+K$375,FALSE)*$I47,0)</f>
        <v>0</v>
      </c>
      <c r="M47" s="152">
        <f>ROUND(VLOOKUP($G47,factors,+M$375,FALSE)*$I47,0)</f>
        <v>0</v>
      </c>
      <c r="N47" s="152"/>
      <c r="O47" s="152">
        <f>ROUND(VLOOKUP($G47,factors,+O$375,FALSE)*$I47,0)</f>
        <v>0</v>
      </c>
      <c r="P47" s="152"/>
      <c r="Q47" s="152">
        <f>ROUND(VLOOKUP($G47,factors,+Q$375,FALSE)*$I47,0)</f>
        <v>0</v>
      </c>
      <c r="R47" s="152"/>
      <c r="S47" s="151">
        <f>ROUND(VLOOKUP($G47,factors,+S$375,FALSE)*$I47,0)</f>
        <v>0</v>
      </c>
      <c r="T47" s="151"/>
      <c r="U47" s="151">
        <f>ROUND(VLOOKUP($G47,factors,+U$375,FALSE)*$I47,0)</f>
        <v>0</v>
      </c>
      <c r="V47" s="151"/>
      <c r="W47" s="151">
        <f>ROUND(VLOOKUP($G47,factors,+W$375,FALSE)*$I47,0)</f>
        <v>0</v>
      </c>
      <c r="X47" s="151"/>
      <c r="Y47" s="151">
        <f>ROUND(VLOOKUP($G47,factors,+Y$375,FALSE)*$I47,0)</f>
        <v>0</v>
      </c>
      <c r="Z47" s="151"/>
      <c r="AA47" s="151">
        <f>ROUND(VLOOKUP($G47,factors,+AA$375,FALSE)*$I47,0)</f>
        <v>0</v>
      </c>
      <c r="AB47" s="151"/>
      <c r="AC47" s="151">
        <f>ROUND(VLOOKUP($G47,factors,+AC$375,FALSE)*$I47,0)</f>
        <v>0</v>
      </c>
      <c r="AD47" s="151"/>
      <c r="AE47" s="151">
        <f>ROUND(VLOOKUP($G47,factors,+AE$375,FALSE)*$I47,0)</f>
        <v>0</v>
      </c>
      <c r="AF47" s="151"/>
      <c r="AG47" s="151">
        <f>ROUND(VLOOKUP($G47,factors,+AG$375,FALSE)*$I47,0)</f>
        <v>0</v>
      </c>
      <c r="AI47" s="153">
        <f t="shared" si="16"/>
        <v>0</v>
      </c>
    </row>
    <row r="48" spans="1:37" s="147" customFormat="1" ht="15.75">
      <c r="A48" s="252"/>
      <c r="B48" s="145"/>
      <c r="C48" s="401">
        <v>841</v>
      </c>
      <c r="D48" s="87"/>
      <c r="E48" s="252" t="s">
        <v>475</v>
      </c>
      <c r="F48" s="447"/>
      <c r="G48" s="253">
        <v>4</v>
      </c>
      <c r="H48" s="447"/>
      <c r="I48" s="450">
        <f>+Linkin!H46</f>
        <v>0</v>
      </c>
      <c r="J48" s="162"/>
      <c r="K48" s="152">
        <f>ROUND(VLOOKUP($G48,factors,+K$375,FALSE)*$I48,0)</f>
        <v>0</v>
      </c>
      <c r="M48" s="152">
        <f>ROUND(VLOOKUP($G48,factors,+M$375,FALSE)*$I48,0)</f>
        <v>0</v>
      </c>
      <c r="N48" s="152"/>
      <c r="O48" s="152">
        <f>ROUND(VLOOKUP($G48,factors,+O$375,FALSE)*$I48,0)</f>
        <v>0</v>
      </c>
      <c r="P48" s="152"/>
      <c r="Q48" s="152">
        <f>ROUND(VLOOKUP($G48,factors,+Q$375,FALSE)*$I48,0)</f>
        <v>0</v>
      </c>
      <c r="R48" s="152"/>
      <c r="S48" s="151">
        <f>ROUND(VLOOKUP($G48,factors,+S$375,FALSE)*$I48,0)</f>
        <v>0</v>
      </c>
      <c r="T48" s="151"/>
      <c r="U48" s="151">
        <f>ROUND(VLOOKUP($G48,factors,+U$375,FALSE)*$I48,0)</f>
        <v>0</v>
      </c>
      <c r="V48" s="151"/>
      <c r="W48" s="151">
        <f>ROUND(VLOOKUP($G48,factors,+W$375,FALSE)*$I48,0)</f>
        <v>0</v>
      </c>
      <c r="X48" s="151"/>
      <c r="Y48" s="151">
        <f>ROUND(VLOOKUP($G48,factors,+Y$375,FALSE)*$I48,0)</f>
        <v>0</v>
      </c>
      <c r="Z48" s="151"/>
      <c r="AA48" s="151">
        <f>ROUND(VLOOKUP($G48,factors,+AA$375,FALSE)*$I48,0)</f>
        <v>0</v>
      </c>
      <c r="AB48" s="151"/>
      <c r="AC48" s="151">
        <f>ROUND(VLOOKUP($G48,factors,+AC$375,FALSE)*$I48,0)</f>
        <v>0</v>
      </c>
      <c r="AD48" s="151"/>
      <c r="AE48" s="151">
        <f>ROUND(VLOOKUP($G48,factors,+AE$375,FALSE)*$I48,0)</f>
        <v>0</v>
      </c>
      <c r="AF48" s="151"/>
      <c r="AG48" s="151">
        <f>ROUND(VLOOKUP($G48,factors,+AG$375,FALSE)*$I48,0)</f>
        <v>0</v>
      </c>
      <c r="AI48" s="153"/>
    </row>
    <row r="49" spans="1:35" s="147" customFormat="1" ht="15.75">
      <c r="A49" s="216"/>
      <c r="B49" s="151"/>
      <c r="C49" s="401" t="s">
        <v>477</v>
      </c>
      <c r="E49" s="216" t="s">
        <v>476</v>
      </c>
      <c r="F49" s="447"/>
      <c r="G49" s="253">
        <v>4</v>
      </c>
      <c r="H49" s="447"/>
      <c r="I49" s="451">
        <f>+Linkin!H47</f>
        <v>0</v>
      </c>
      <c r="J49" s="162"/>
      <c r="K49" s="152">
        <f>ROUND(VLOOKUP($G49,factors,+K$375,FALSE)*$I49,0)</f>
        <v>0</v>
      </c>
      <c r="M49" s="152">
        <f>ROUND(VLOOKUP($G49,factors,+M$375,FALSE)*$I49,0)</f>
        <v>0</v>
      </c>
      <c r="N49" s="152"/>
      <c r="O49" s="152">
        <f>ROUND(VLOOKUP($G49,factors,+O$375,FALSE)*$I49,0)</f>
        <v>0</v>
      </c>
      <c r="P49" s="152"/>
      <c r="Q49" s="152">
        <f>ROUND(VLOOKUP($G49,factors,+Q$375,FALSE)*$I49,0)</f>
        <v>0</v>
      </c>
      <c r="R49" s="152"/>
      <c r="S49" s="151">
        <f>ROUND(VLOOKUP($G49,factors,+S$375,FALSE)*$I49,0)</f>
        <v>0</v>
      </c>
      <c r="T49" s="151"/>
      <c r="U49" s="151">
        <f>ROUND(VLOOKUP($G49,factors,+U$375,FALSE)*$I49,0)</f>
        <v>0</v>
      </c>
      <c r="V49" s="151"/>
      <c r="W49" s="151">
        <f>ROUND(VLOOKUP($G49,factors,+W$375,FALSE)*$I49,0)</f>
        <v>0</v>
      </c>
      <c r="X49" s="151"/>
      <c r="Y49" s="151">
        <f>ROUND(VLOOKUP($G49,factors,+Y$375,FALSE)*$I49,0)</f>
        <v>0</v>
      </c>
      <c r="Z49" s="151"/>
      <c r="AA49" s="151">
        <f>ROUND(VLOOKUP($G49,factors,+AA$375,FALSE)*$I49,0)</f>
        <v>0</v>
      </c>
      <c r="AB49" s="151"/>
      <c r="AC49" s="151">
        <f>ROUND(VLOOKUP($G49,factors,+AC$375,FALSE)*$I49,0)</f>
        <v>0</v>
      </c>
      <c r="AD49" s="151"/>
      <c r="AE49" s="151">
        <f>ROUND(VLOOKUP($G49,factors,+AE$375,FALSE)*$I49,0)</f>
        <v>0</v>
      </c>
      <c r="AF49" s="151"/>
      <c r="AG49" s="151">
        <f>ROUND(VLOOKUP($G49,factors,+AG$375,FALSE)*$I49,0)</f>
        <v>0</v>
      </c>
      <c r="AI49" s="153">
        <f t="shared" ref="AI49:AI63" si="31">SUM(K49:AG49)-I49</f>
        <v>0</v>
      </c>
    </row>
    <row r="50" spans="1:35" ht="15.75">
      <c r="A50" s="216"/>
      <c r="B50" s="151"/>
      <c r="E50" s="101"/>
      <c r="F50" s="443"/>
      <c r="G50" s="113"/>
      <c r="H50" s="443"/>
      <c r="I50" s="450"/>
      <c r="J50" s="27"/>
      <c r="K50" s="993"/>
      <c r="M50" s="993"/>
      <c r="N50" s="152"/>
      <c r="O50" s="993"/>
      <c r="P50" s="158"/>
      <c r="Q50" s="993"/>
      <c r="R50" s="152"/>
      <c r="S50" s="260"/>
      <c r="T50" s="159"/>
      <c r="U50" s="260"/>
      <c r="V50" s="151"/>
      <c r="W50" s="260"/>
      <c r="X50" s="151"/>
      <c r="Y50" s="260"/>
      <c r="Z50" s="151"/>
      <c r="AA50" s="260"/>
      <c r="AB50" s="159"/>
      <c r="AC50" s="260"/>
      <c r="AD50" s="151"/>
      <c r="AE50" s="260"/>
      <c r="AF50" s="151"/>
      <c r="AG50" s="260"/>
      <c r="AI50" s="153">
        <f t="shared" si="31"/>
        <v>0</v>
      </c>
    </row>
    <row r="51" spans="1:35" s="27" customFormat="1" ht="15" customHeight="1">
      <c r="B51" s="242">
        <f>+I51+I44</f>
        <v>6810667</v>
      </c>
      <c r="E51" s="443" t="s">
        <v>373</v>
      </c>
      <c r="F51" s="443"/>
      <c r="G51" s="444"/>
      <c r="H51" s="443"/>
      <c r="I51" s="446">
        <f>SUM(I47:I49)</f>
        <v>0</v>
      </c>
      <c r="K51" s="48">
        <f>SUM(K47:K49)</f>
        <v>0</v>
      </c>
      <c r="M51" s="48">
        <f>SUM(M47:M49)</f>
        <v>0</v>
      </c>
      <c r="O51" s="48">
        <f>SUM(O47:O49)</f>
        <v>0</v>
      </c>
      <c r="Q51" s="48">
        <f>SUM(Q47:Q49)</f>
        <v>0</v>
      </c>
      <c r="S51" s="48">
        <f>SUM(S47:S49)</f>
        <v>0</v>
      </c>
      <c r="T51" s="48"/>
      <c r="U51" s="48">
        <f>SUM(U47:U49)</f>
        <v>0</v>
      </c>
      <c r="W51" s="48">
        <f>SUM(W47:W49)</f>
        <v>0</v>
      </c>
      <c r="Y51" s="48">
        <f>SUM(Y47:Y49)</f>
        <v>0</v>
      </c>
      <c r="AA51" s="48">
        <f>SUM(AA47:AA49)</f>
        <v>0</v>
      </c>
      <c r="AC51" s="48">
        <f>SUM(AC47:AC49)</f>
        <v>0</v>
      </c>
      <c r="AE51" s="48">
        <f t="shared" ref="AE51" si="32">SUM(AE47:AE49)</f>
        <v>0</v>
      </c>
      <c r="AG51" s="48">
        <f t="shared" ref="AG51" si="33">SUM(AG47:AG49)</f>
        <v>0</v>
      </c>
      <c r="AI51" s="153">
        <f t="shared" si="31"/>
        <v>0</v>
      </c>
    </row>
    <row r="52" spans="1:35" ht="15.75">
      <c r="B52" s="151"/>
      <c r="E52" s="216"/>
      <c r="F52" s="443"/>
      <c r="G52" s="444"/>
      <c r="H52" s="443"/>
      <c r="I52" s="685"/>
      <c r="J52" s="27"/>
      <c r="K52" s="48"/>
      <c r="L52" s="27"/>
      <c r="M52" s="48"/>
      <c r="N52" s="27"/>
      <c r="O52" s="48"/>
      <c r="P52" s="48"/>
      <c r="Q52" s="48"/>
      <c r="R52" s="27"/>
      <c r="S52" s="48"/>
      <c r="T52" s="48"/>
      <c r="U52" s="48"/>
      <c r="V52" s="27"/>
      <c r="W52" s="48"/>
      <c r="X52" s="27"/>
      <c r="Y52" s="48"/>
      <c r="Z52" s="27"/>
      <c r="AA52" s="48"/>
      <c r="AB52" s="48"/>
      <c r="AC52" s="48"/>
      <c r="AD52" s="27"/>
      <c r="AE52" s="48"/>
      <c r="AF52" s="27"/>
      <c r="AG52" s="48"/>
      <c r="AH52" s="27"/>
      <c r="AI52" s="153">
        <f t="shared" si="31"/>
        <v>0</v>
      </c>
    </row>
    <row r="53" spans="1:35" ht="15.75">
      <c r="B53" s="151"/>
      <c r="C53" s="27" t="s">
        <v>374</v>
      </c>
      <c r="E53" s="443"/>
      <c r="F53" s="443"/>
      <c r="G53" s="113"/>
      <c r="H53" s="101"/>
      <c r="I53" s="685"/>
      <c r="J53" s="27"/>
      <c r="K53" s="48"/>
      <c r="L53" s="27"/>
      <c r="M53" s="48"/>
      <c r="N53" s="27"/>
      <c r="O53" s="48"/>
      <c r="P53" s="48"/>
      <c r="Q53" s="48"/>
      <c r="R53" s="27"/>
      <c r="S53" s="48"/>
      <c r="T53" s="48"/>
      <c r="U53" s="48"/>
      <c r="V53" s="27"/>
      <c r="W53" s="48"/>
      <c r="X53" s="27"/>
      <c r="Y53" s="48"/>
      <c r="Z53" s="27"/>
      <c r="AA53" s="48"/>
      <c r="AB53" s="48"/>
      <c r="AC53" s="48"/>
      <c r="AD53" s="27"/>
      <c r="AE53" s="48"/>
      <c r="AF53" s="27"/>
      <c r="AG53" s="48"/>
      <c r="AH53" s="27"/>
      <c r="AI53" s="153">
        <f t="shared" si="31"/>
        <v>0</v>
      </c>
    </row>
    <row r="54" spans="1:35" ht="15.75">
      <c r="B54" s="151"/>
      <c r="C54" s="155" t="s">
        <v>375</v>
      </c>
      <c r="E54" s="101" t="s">
        <v>368</v>
      </c>
      <c r="F54" s="443"/>
      <c r="G54" s="376">
        <v>4</v>
      </c>
      <c r="H54" s="101"/>
      <c r="I54" s="450">
        <f>+Linkin!H60</f>
        <v>0</v>
      </c>
      <c r="J54" s="27"/>
      <c r="K54" s="152">
        <f>ROUND(VLOOKUP($G54,factors,+K$375,FALSE)*$I54,0)</f>
        <v>0</v>
      </c>
      <c r="M54" s="152">
        <f>ROUND(VLOOKUP($G54,factors,+M$375,FALSE)*$I54,0)</f>
        <v>0</v>
      </c>
      <c r="N54" s="152"/>
      <c r="O54" s="152">
        <f>ROUND(VLOOKUP($G54,factors,+O$375,FALSE)*$I54,0)</f>
        <v>0</v>
      </c>
      <c r="P54" s="152"/>
      <c r="Q54" s="152">
        <f>ROUND(VLOOKUP($G54,factors,+Q$375,FALSE)*$I54,0)</f>
        <v>0</v>
      </c>
      <c r="R54" s="152"/>
      <c r="S54" s="151">
        <f>ROUND(VLOOKUP($G54,factors,+S$375,FALSE)*$I54,0)</f>
        <v>0</v>
      </c>
      <c r="T54" s="151"/>
      <c r="U54" s="151">
        <f>ROUND(VLOOKUP($G54,factors,+U$375,FALSE)*$I54,0)</f>
        <v>0</v>
      </c>
      <c r="V54" s="151"/>
      <c r="W54" s="151">
        <f>ROUND(VLOOKUP($G54,factors,+W$375,FALSE)*$I54,0)</f>
        <v>0</v>
      </c>
      <c r="X54" s="151"/>
      <c r="Y54" s="151">
        <f>ROUND(VLOOKUP($G54,factors,+Y$375,FALSE)*$I54,0)</f>
        <v>0</v>
      </c>
      <c r="Z54" s="151"/>
      <c r="AA54" s="151">
        <f>ROUND(VLOOKUP($G54,factors,+AA$375,FALSE)*$I54,0)</f>
        <v>0</v>
      </c>
      <c r="AB54" s="151"/>
      <c r="AC54" s="151">
        <f>ROUND(VLOOKUP($G54,factors,+AC$375,FALSE)*$I54,0)</f>
        <v>0</v>
      </c>
      <c r="AD54" s="151"/>
      <c r="AE54" s="151">
        <f>ROUND(VLOOKUP($G54,factors,+AE$375,FALSE)*$I54,0)</f>
        <v>0</v>
      </c>
      <c r="AF54" s="151"/>
      <c r="AG54" s="151">
        <f>ROUND(VLOOKUP($G54,factors,+AG$375,FALSE)*$I54,0)</f>
        <v>0</v>
      </c>
      <c r="AI54" s="153">
        <f t="shared" si="31"/>
        <v>0</v>
      </c>
    </row>
    <row r="55" spans="1:35" ht="15.75">
      <c r="B55" s="151"/>
      <c r="C55" s="155" t="s">
        <v>376</v>
      </c>
      <c r="E55" s="101" t="s">
        <v>369</v>
      </c>
      <c r="F55" s="443"/>
      <c r="G55" s="376">
        <v>4</v>
      </c>
      <c r="H55" s="101"/>
      <c r="I55" s="451">
        <f>+Linkin!H61*0</f>
        <v>0</v>
      </c>
      <c r="J55" s="443"/>
      <c r="K55" s="157">
        <f>ROUND(VLOOKUP($G55,factors,+K$375,FALSE)*$I55,0)</f>
        <v>0</v>
      </c>
      <c r="M55" s="157">
        <f>ROUND(VLOOKUP($G55,factors,+M$375,FALSE)*$I55,0)</f>
        <v>0</v>
      </c>
      <c r="N55" s="152"/>
      <c r="O55" s="157">
        <f>ROUND(VLOOKUP($G55,factors,+O$375,FALSE)*$I55,0)</f>
        <v>0</v>
      </c>
      <c r="P55" s="158"/>
      <c r="Q55" s="157">
        <f>ROUND(VLOOKUP($G55,factors,+Q$375,FALSE)*$I55,0)</f>
        <v>0</v>
      </c>
      <c r="R55" s="152"/>
      <c r="S55" s="156">
        <f>ROUND(VLOOKUP($G55,factors,+S$375,FALSE)*$I55,0)</f>
        <v>0</v>
      </c>
      <c r="T55" s="159"/>
      <c r="U55" s="156">
        <f>ROUND(VLOOKUP($G55,factors,+U$375,FALSE)*$I55,0)</f>
        <v>0</v>
      </c>
      <c r="V55" s="151"/>
      <c r="W55" s="156">
        <f>ROUND(VLOOKUP($G55,factors,+W$375,FALSE)*$I55,0)</f>
        <v>0</v>
      </c>
      <c r="X55" s="151"/>
      <c r="Y55" s="156">
        <f>ROUND(VLOOKUP($G55,factors,+Y$375,FALSE)*$I55,0)</f>
        <v>0</v>
      </c>
      <c r="Z55" s="151"/>
      <c r="AA55" s="156">
        <f>ROUND(VLOOKUP($G55,factors,+AA$375,FALSE)*$I55,0)</f>
        <v>0</v>
      </c>
      <c r="AB55" s="159"/>
      <c r="AC55" s="156">
        <f>ROUND(VLOOKUP($G55,factors,+AC$375,FALSE)*$I55,0)</f>
        <v>0</v>
      </c>
      <c r="AD55" s="151"/>
      <c r="AE55" s="156">
        <f>ROUND(VLOOKUP($G55,factors,+AE$375,FALSE)*$I55,0)</f>
        <v>0</v>
      </c>
      <c r="AF55" s="151"/>
      <c r="AG55" s="156">
        <f>ROUND(VLOOKUP($G55,factors,+AG$375,FALSE)*$I55,0)</f>
        <v>0</v>
      </c>
      <c r="AI55" s="153">
        <f t="shared" si="31"/>
        <v>0</v>
      </c>
    </row>
    <row r="56" spans="1:35" ht="15.75">
      <c r="B56" s="151"/>
      <c r="E56" s="443"/>
      <c r="F56" s="443"/>
      <c r="G56" s="113"/>
      <c r="H56" s="101"/>
      <c r="I56" s="252"/>
      <c r="J56" s="27"/>
      <c r="K56" s="158"/>
      <c r="M56" s="158"/>
      <c r="N56" s="152"/>
      <c r="O56" s="158"/>
      <c r="P56" s="158"/>
      <c r="Q56" s="158"/>
      <c r="R56" s="152"/>
      <c r="S56" s="159"/>
      <c r="T56" s="159"/>
      <c r="U56" s="159"/>
      <c r="V56" s="151"/>
      <c r="W56" s="159"/>
      <c r="X56" s="151"/>
      <c r="Y56" s="159"/>
      <c r="Z56" s="151"/>
      <c r="AA56" s="159"/>
      <c r="AB56" s="159"/>
      <c r="AC56" s="159"/>
      <c r="AD56" s="151"/>
      <c r="AE56" s="159"/>
      <c r="AF56" s="151"/>
      <c r="AG56" s="159"/>
      <c r="AI56" s="153">
        <f t="shared" si="31"/>
        <v>0</v>
      </c>
    </row>
    <row r="57" spans="1:35" s="27" customFormat="1" ht="15.75">
      <c r="B57" s="242"/>
      <c r="E57" s="443" t="s">
        <v>377</v>
      </c>
      <c r="F57" s="443"/>
      <c r="G57" s="444"/>
      <c r="H57" s="443"/>
      <c r="I57" s="446">
        <f>SUM(I54:I55)</f>
        <v>0</v>
      </c>
      <c r="K57" s="48">
        <f>SUM(K54:K55)</f>
        <v>0</v>
      </c>
      <c r="M57" s="48">
        <f>SUM(M54:M55)</f>
        <v>0</v>
      </c>
      <c r="O57" s="48">
        <f>SUM(O54:O55)</f>
        <v>0</v>
      </c>
      <c r="Q57" s="48">
        <f>SUM(Q54:Q55)</f>
        <v>0</v>
      </c>
      <c r="S57" s="48">
        <f>SUM(S54:S55)</f>
        <v>0</v>
      </c>
      <c r="T57" s="48"/>
      <c r="U57" s="48">
        <f>SUM(U54:U55)</f>
        <v>0</v>
      </c>
      <c r="W57" s="48">
        <f>SUM(W54:W55)</f>
        <v>0</v>
      </c>
      <c r="Y57" s="48">
        <f>SUM(Y54:Y55)</f>
        <v>0</v>
      </c>
      <c r="AA57" s="48">
        <f>SUM(AA54:AA55)</f>
        <v>0</v>
      </c>
      <c r="AC57" s="48">
        <f>SUM(AC54:AC55)</f>
        <v>0</v>
      </c>
      <c r="AE57" s="48">
        <f t="shared" ref="AE57" si="34">SUM(AE54:AE55)</f>
        <v>0</v>
      </c>
      <c r="AG57" s="48">
        <f t="shared" ref="AG57" si="35">SUM(AG54:AG55)</f>
        <v>0</v>
      </c>
      <c r="AI57" s="153">
        <f t="shared" si="31"/>
        <v>0</v>
      </c>
    </row>
    <row r="58" spans="1:35" ht="20.25" customHeight="1">
      <c r="E58" s="216"/>
      <c r="F58" s="216"/>
      <c r="G58" s="253"/>
      <c r="H58" s="216"/>
      <c r="I58" s="254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I58" s="153">
        <f t="shared" si="31"/>
        <v>0</v>
      </c>
    </row>
    <row r="59" spans="1:35" ht="15.75">
      <c r="C59" s="27" t="s">
        <v>225</v>
      </c>
      <c r="E59" s="216"/>
      <c r="F59" s="216"/>
      <c r="G59" s="253"/>
      <c r="H59" s="216"/>
      <c r="I59" s="454"/>
      <c r="S59" s="151"/>
      <c r="T59" s="151"/>
      <c r="U59" s="151"/>
      <c r="Z59" s="151"/>
      <c r="AA59" s="151"/>
      <c r="AB59" s="151"/>
      <c r="AC59" s="151"/>
      <c r="AE59" s="151"/>
      <c r="AG59" s="151"/>
      <c r="AI59" s="153">
        <f t="shared" si="31"/>
        <v>0</v>
      </c>
    </row>
    <row r="60" spans="1:35" ht="3.75" customHeight="1">
      <c r="C60" s="147" t="s">
        <v>213</v>
      </c>
      <c r="E60" s="216" t="s">
        <v>214</v>
      </c>
      <c r="F60" s="216"/>
      <c r="G60" s="253"/>
      <c r="H60" s="216"/>
      <c r="I60" s="454"/>
      <c r="S60" s="151"/>
      <c r="T60" s="151"/>
      <c r="U60" s="151"/>
      <c r="Z60" s="151"/>
      <c r="AA60" s="151"/>
      <c r="AB60" s="151"/>
      <c r="AC60" s="151"/>
      <c r="AE60" s="151"/>
      <c r="AG60" s="151"/>
      <c r="AI60" s="153">
        <f t="shared" si="31"/>
        <v>0</v>
      </c>
    </row>
    <row r="61" spans="1:35">
      <c r="C61" s="147" t="s">
        <v>213</v>
      </c>
      <c r="E61" s="442" t="s">
        <v>202</v>
      </c>
      <c r="F61" s="216"/>
      <c r="G61" s="253"/>
      <c r="H61" s="216"/>
      <c r="I61" s="454"/>
      <c r="S61" s="151"/>
      <c r="T61" s="151"/>
      <c r="U61" s="151"/>
      <c r="Z61" s="151"/>
      <c r="AA61" s="151"/>
      <c r="AB61" s="151"/>
      <c r="AC61" s="151"/>
      <c r="AE61" s="151"/>
      <c r="AG61" s="151"/>
      <c r="AI61" s="153">
        <f t="shared" si="31"/>
        <v>0</v>
      </c>
    </row>
    <row r="62" spans="1:35">
      <c r="C62" s="155">
        <v>870</v>
      </c>
      <c r="E62" s="216" t="s">
        <v>106</v>
      </c>
      <c r="F62" s="216"/>
      <c r="G62" s="253">
        <v>10</v>
      </c>
      <c r="H62" s="216"/>
      <c r="I62" s="254">
        <f>+Linkin!H65</f>
        <v>14423010</v>
      </c>
      <c r="J62" s="87"/>
      <c r="K62" s="152">
        <f>ROUND(VLOOKUP($G62,factors,+K$375,FALSE)*$I62,0)</f>
        <v>2890371</v>
      </c>
      <c r="M62" s="152">
        <f>ROUND(VLOOKUP($G62,factors,+M$375,FALSE)*$I62,0)</f>
        <v>1798549</v>
      </c>
      <c r="N62" s="152"/>
      <c r="O62" s="152">
        <f>ROUND(VLOOKUP($G62,factors,+O$375,FALSE)*$I62,0)</f>
        <v>499036</v>
      </c>
      <c r="P62" s="152"/>
      <c r="Q62" s="152">
        <f>ROUND(VLOOKUP($G62,factors,+Q$375,FALSE)*$I62,0)</f>
        <v>555286</v>
      </c>
      <c r="R62" s="152"/>
      <c r="S62" s="151">
        <f>ROUND(VLOOKUP($G62,factors,+S$375,FALSE)*$I62,0)</f>
        <v>936053</v>
      </c>
      <c r="T62" s="151"/>
      <c r="U62" s="151">
        <f>ROUND(VLOOKUP($G62,factors,+U$375,FALSE)*$I62,0)</f>
        <v>377883</v>
      </c>
      <c r="W62" s="152">
        <f>ROUND(VLOOKUP($G62,factors,+W$375,FALSE)*$I62,0)</f>
        <v>5167764</v>
      </c>
      <c r="X62" s="152"/>
      <c r="Y62" s="152">
        <f>ROUND(VLOOKUP($G62,factors,+Y$375,FALSE)*$I62,0)</f>
        <v>1651435</v>
      </c>
      <c r="Z62" s="151"/>
      <c r="AA62" s="151">
        <f>ROUND(VLOOKUP($G62,factors,+AA$375,FALSE)*$I62,0)</f>
        <v>271153</v>
      </c>
      <c r="AB62" s="151"/>
      <c r="AC62" s="151">
        <f>ROUND(VLOOKUP($G62,factors,+AC$375,FALSE)*$I62,0)</f>
        <v>155769</v>
      </c>
      <c r="AE62" s="151">
        <f>ROUND(VLOOKUP($G62,factors,+AE$375,FALSE)*$I62,0)</f>
        <v>28846</v>
      </c>
      <c r="AG62" s="151">
        <f>ROUND(VLOOKUP($G62,factors,+AG$375,FALSE)*$I62,0)</f>
        <v>90865</v>
      </c>
      <c r="AH62" s="152"/>
      <c r="AI62" s="153">
        <f t="shared" si="31"/>
        <v>0</v>
      </c>
    </row>
    <row r="63" spans="1:35">
      <c r="C63" s="155">
        <v>871</v>
      </c>
      <c r="E63" s="216" t="s">
        <v>107</v>
      </c>
      <c r="F63" s="216"/>
      <c r="G63" s="376" t="s">
        <v>450</v>
      </c>
      <c r="H63" s="216"/>
      <c r="I63" s="254">
        <f>+Linkin!H66</f>
        <v>2122817</v>
      </c>
      <c r="J63" s="87"/>
      <c r="K63" s="152">
        <f>ROUND(VLOOKUP($G63,factors,+K$375,FALSE)*$I63,0)</f>
        <v>652129</v>
      </c>
      <c r="M63" s="152">
        <f>ROUND(VLOOKUP($G63,factors,+M$375,FALSE)*$I63,0)</f>
        <v>406519</v>
      </c>
      <c r="N63" s="152"/>
      <c r="O63" s="152">
        <f>ROUND(VLOOKUP($G63,factors,+O$375,FALSE)*$I63,0)</f>
        <v>110386</v>
      </c>
      <c r="P63" s="152"/>
      <c r="Q63" s="152">
        <f>ROUND(VLOOKUP($G63,factors,+Q$375,FALSE)*$I63,0)</f>
        <v>108901</v>
      </c>
      <c r="R63" s="152"/>
      <c r="S63" s="151">
        <f>ROUND(VLOOKUP($G63,factors,+S$375,FALSE)*$I63,0)</f>
        <v>677603</v>
      </c>
      <c r="T63" s="151"/>
      <c r="U63" s="151">
        <f>ROUND(VLOOKUP($G63,factors,+U$375,FALSE)*$I63,0)</f>
        <v>167278</v>
      </c>
      <c r="W63" s="152">
        <f>ROUND(VLOOKUP($G63,factors,+W$375,FALSE)*$I63,0)</f>
        <v>0</v>
      </c>
      <c r="X63" s="152"/>
      <c r="Y63" s="152">
        <f>ROUND(VLOOKUP($G63,factors,+Y$375,FALSE)*$I63,0)</f>
        <v>0</v>
      </c>
      <c r="Z63" s="151"/>
      <c r="AA63" s="151">
        <f>ROUND(VLOOKUP($G63,factors,+AA$375,FALSE)*$I63,0)</f>
        <v>0</v>
      </c>
      <c r="AB63" s="151"/>
      <c r="AC63" s="151">
        <f>ROUND(VLOOKUP($G63,factors,+AC$375,FALSE)*$I63,0)</f>
        <v>0</v>
      </c>
      <c r="AE63" s="151">
        <f>ROUND(VLOOKUP($G63,factors,+AE$375,FALSE)*$I63,0)</f>
        <v>0</v>
      </c>
      <c r="AG63" s="151">
        <f>ROUND(VLOOKUP($G63,factors,+AG$375,FALSE)*$I63,0)</f>
        <v>0</v>
      </c>
      <c r="AH63" s="152"/>
      <c r="AI63" s="153">
        <f t="shared" si="31"/>
        <v>-1</v>
      </c>
    </row>
    <row r="64" spans="1:35">
      <c r="A64" s="147" t="s">
        <v>828</v>
      </c>
      <c r="C64" s="155">
        <v>872</v>
      </c>
      <c r="E64" s="216" t="s">
        <v>478</v>
      </c>
      <c r="F64" s="216"/>
      <c r="G64" s="376"/>
      <c r="H64" s="216"/>
      <c r="I64" s="254">
        <f>+Linkin!H67</f>
        <v>0</v>
      </c>
      <c r="J64" s="87"/>
      <c r="K64" s="152"/>
      <c r="M64" s="152"/>
      <c r="N64" s="152"/>
      <c r="O64" s="152"/>
      <c r="P64" s="152"/>
      <c r="Q64" s="152"/>
      <c r="R64" s="152"/>
      <c r="S64" s="151"/>
      <c r="T64" s="151"/>
      <c r="U64" s="151"/>
      <c r="W64" s="152"/>
      <c r="X64" s="152"/>
      <c r="Y64" s="152"/>
      <c r="Z64" s="151"/>
      <c r="AA64" s="151"/>
      <c r="AB64" s="151"/>
      <c r="AC64" s="151"/>
      <c r="AE64" s="151"/>
      <c r="AG64" s="151"/>
      <c r="AH64" s="152"/>
      <c r="AI64" s="153"/>
    </row>
    <row r="65" spans="1:459">
      <c r="B65" s="216"/>
      <c r="C65" s="155">
        <v>873</v>
      </c>
      <c r="E65" s="252" t="s">
        <v>585</v>
      </c>
      <c r="F65" s="216"/>
      <c r="G65" s="253">
        <v>2</v>
      </c>
      <c r="H65" s="216"/>
      <c r="I65" s="254">
        <f>+Linkin!H68</f>
        <v>0</v>
      </c>
      <c r="J65" s="87"/>
      <c r="K65" s="152">
        <f>ROUND(VLOOKUP($G65,factors,+K$375,FALSE)*$I65,0)</f>
        <v>0</v>
      </c>
      <c r="M65" s="152">
        <f>ROUND(VLOOKUP($G65,factors,+M$375,FALSE)*$I65,0)</f>
        <v>0</v>
      </c>
      <c r="N65" s="152"/>
      <c r="O65" s="152">
        <f>ROUND(VLOOKUP($G65,factors,+O$375,FALSE)*$I65,0)</f>
        <v>0</v>
      </c>
      <c r="P65" s="152"/>
      <c r="Q65" s="152">
        <f>ROUND(VLOOKUP($G65,factors,+Q$375,FALSE)*$I65,0)</f>
        <v>0</v>
      </c>
      <c r="R65" s="152"/>
      <c r="S65" s="151">
        <f>ROUND(VLOOKUP($G65,factors,+S$375,FALSE)*$I65,0)</f>
        <v>0</v>
      </c>
      <c r="T65" s="151"/>
      <c r="U65" s="151">
        <f>ROUND(VLOOKUP($G65,factors,+U$375,FALSE)*$I65,0)</f>
        <v>0</v>
      </c>
      <c r="W65" s="152">
        <f>ROUND(VLOOKUP($G65,factors,+W$375,FALSE)*$I65,0)</f>
        <v>0</v>
      </c>
      <c r="X65" s="152"/>
      <c r="Y65" s="152">
        <f>ROUND(VLOOKUP($G65,factors,+Y$375,FALSE)*$I65,0)</f>
        <v>0</v>
      </c>
      <c r="Z65" s="151"/>
      <c r="AA65" s="151">
        <f>ROUND(VLOOKUP($G65,factors,+AA$375,FALSE)*$I65,0)</f>
        <v>0</v>
      </c>
      <c r="AB65" s="151"/>
      <c r="AC65" s="151">
        <f>ROUND(VLOOKUP($G65,factors,+AC$375,FALSE)*$I65,0)</f>
        <v>0</v>
      </c>
      <c r="AE65" s="151">
        <f>ROUND(VLOOKUP($G65,factors,+AE$375,FALSE)*$I65,0)</f>
        <v>0</v>
      </c>
      <c r="AG65" s="151">
        <f>ROUND(VLOOKUP($G65,factors,+AG$375,FALSE)*$I65,0)</f>
        <v>0</v>
      </c>
      <c r="AH65" s="152"/>
      <c r="AI65" s="153">
        <f t="shared" ref="AI65:AI96" si="36">SUM(K65:AG65)-I65</f>
        <v>0</v>
      </c>
    </row>
    <row r="66" spans="1:459" s="87" customFormat="1">
      <c r="A66" s="151">
        <f>+Linkin!H69</f>
        <v>24863265</v>
      </c>
      <c r="B66" s="254">
        <f>SUM(I67:I69)</f>
        <v>24863264.849102784</v>
      </c>
      <c r="C66" s="171">
        <v>874</v>
      </c>
      <c r="E66" s="252" t="s">
        <v>320</v>
      </c>
      <c r="F66" s="252"/>
      <c r="G66" s="376"/>
      <c r="H66" s="252"/>
      <c r="I66" s="254"/>
      <c r="S66" s="145"/>
      <c r="T66" s="145"/>
      <c r="U66" s="145"/>
      <c r="Z66" s="145"/>
      <c r="AA66" s="145"/>
      <c r="AB66" s="145"/>
      <c r="AC66" s="145"/>
      <c r="AE66" s="145"/>
      <c r="AG66" s="145"/>
      <c r="AI66" s="153">
        <f t="shared" si="36"/>
        <v>0</v>
      </c>
    </row>
    <row r="67" spans="1:459" s="87" customFormat="1">
      <c r="A67" s="296">
        <f>+'[5]Summary by Project'!$G$24*A66</f>
        <v>12911686.150897218</v>
      </c>
      <c r="B67" s="1056">
        <f>+'[6]Final Attachment'!$K$95</f>
        <v>0.35520000000000002</v>
      </c>
      <c r="C67" s="171" t="s">
        <v>213</v>
      </c>
      <c r="E67" s="252" t="s">
        <v>392</v>
      </c>
      <c r="F67" s="252"/>
      <c r="G67" s="376">
        <v>5</v>
      </c>
      <c r="H67" s="252"/>
      <c r="I67" s="254">
        <f>ROUND(A$67*B67,0)</f>
        <v>4586231</v>
      </c>
      <c r="K67" s="172">
        <f t="shared" ref="K67:K76" si="37">ROUND(VLOOKUP($G67,factors,+K$375,FALSE)*$I67,0)</f>
        <v>2193594</v>
      </c>
      <c r="M67" s="172">
        <f t="shared" ref="M67:M76" si="38">ROUND(VLOOKUP($G67,factors,+M$375,FALSE)*$I67,0)</f>
        <v>1365321</v>
      </c>
      <c r="N67" s="172"/>
      <c r="O67" s="172">
        <f t="shared" ref="O67:O76" si="39">ROUND(VLOOKUP($G67,factors,+O$375,FALSE)*$I67,0)</f>
        <v>381116</v>
      </c>
      <c r="P67" s="172"/>
      <c r="Q67" s="172">
        <f t="shared" ref="Q67:Q76" si="40">ROUND(VLOOKUP($G67,factors,+Q$375,FALSE)*$I67,0)</f>
        <v>437068</v>
      </c>
      <c r="R67" s="172"/>
      <c r="S67" s="145">
        <f t="shared" ref="S67:S76" si="41">ROUND(VLOOKUP($G67,factors,+S$375,FALSE)*$I67,0)</f>
        <v>0</v>
      </c>
      <c r="T67" s="145"/>
      <c r="U67" s="145">
        <f t="shared" ref="U67:U76" si="42">ROUND(VLOOKUP($G67,factors,+U$375,FALSE)*$I67,0)</f>
        <v>209132</v>
      </c>
      <c r="W67" s="172">
        <f t="shared" ref="W67:W76" si="43">ROUND(VLOOKUP($G67,factors,+W$375,FALSE)*$I67,0)</f>
        <v>0</v>
      </c>
      <c r="X67" s="172"/>
      <c r="Y67" s="172">
        <f t="shared" ref="Y67:Y76" si="44">ROUND(VLOOKUP($G67,factors,+Y$375,FALSE)*$I67,0)</f>
        <v>0</v>
      </c>
      <c r="Z67" s="145"/>
      <c r="AA67" s="145">
        <f t="shared" ref="AA67:AA76" si="45">ROUND(VLOOKUP($G67,factors,+AA$375,FALSE)*$I67,0)</f>
        <v>0</v>
      </c>
      <c r="AB67" s="145"/>
      <c r="AC67" s="145">
        <f t="shared" ref="AC67:AC76" si="46">ROUND(VLOOKUP($G67,factors,+AC$375,FALSE)*$I67,0)</f>
        <v>0</v>
      </c>
      <c r="AE67" s="145">
        <f t="shared" ref="AE67:AE76" si="47">ROUND(VLOOKUP($G67,factors,+AE$375,FALSE)*$I67,0)</f>
        <v>0</v>
      </c>
      <c r="AG67" s="145">
        <f t="shared" ref="AG67:AG76" si="48">ROUND(VLOOKUP($G67,factors,+AG$375,FALSE)*$I67,0)</f>
        <v>0</v>
      </c>
      <c r="AH67" s="172"/>
      <c r="AI67" s="153">
        <f t="shared" si="36"/>
        <v>0</v>
      </c>
    </row>
    <row r="68" spans="1:459" s="262" customFormat="1">
      <c r="A68" s="408"/>
      <c r="B68" s="1056">
        <f>+'[6]Final Attachment'!$K$87</f>
        <v>0.64480000000000004</v>
      </c>
      <c r="C68" s="376"/>
      <c r="D68" s="252"/>
      <c r="E68" s="252" t="s">
        <v>393</v>
      </c>
      <c r="F68" s="252"/>
      <c r="G68" s="376">
        <v>17</v>
      </c>
      <c r="H68" s="252"/>
      <c r="I68" s="254">
        <f>ROUND(A$67*B68,0)</f>
        <v>8325455</v>
      </c>
      <c r="J68" s="87"/>
      <c r="K68" s="379">
        <f t="shared" si="37"/>
        <v>3634061</v>
      </c>
      <c r="L68" s="252"/>
      <c r="M68" s="379">
        <f t="shared" si="38"/>
        <v>2261194</v>
      </c>
      <c r="N68" s="379"/>
      <c r="O68" s="379">
        <f t="shared" si="39"/>
        <v>631069</v>
      </c>
      <c r="P68" s="379"/>
      <c r="Q68" s="379">
        <f t="shared" si="40"/>
        <v>724315</v>
      </c>
      <c r="R68" s="379"/>
      <c r="S68" s="254">
        <f t="shared" si="41"/>
        <v>725147</v>
      </c>
      <c r="T68" s="254"/>
      <c r="U68" s="254">
        <f t="shared" si="42"/>
        <v>349669</v>
      </c>
      <c r="V68" s="252"/>
      <c r="W68" s="379">
        <f t="shared" si="43"/>
        <v>0</v>
      </c>
      <c r="X68" s="379"/>
      <c r="Y68" s="379">
        <f t="shared" si="44"/>
        <v>0</v>
      </c>
      <c r="Z68" s="254"/>
      <c r="AA68" s="254">
        <f t="shared" si="45"/>
        <v>0</v>
      </c>
      <c r="AB68" s="254"/>
      <c r="AC68" s="254">
        <f t="shared" si="46"/>
        <v>0</v>
      </c>
      <c r="AD68" s="252"/>
      <c r="AE68" s="254">
        <f t="shared" si="47"/>
        <v>0</v>
      </c>
      <c r="AF68" s="252"/>
      <c r="AG68" s="254">
        <f t="shared" si="48"/>
        <v>0</v>
      </c>
      <c r="AH68" s="379"/>
      <c r="AI68" s="275">
        <f t="shared" si="36"/>
        <v>0</v>
      </c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252"/>
      <c r="DX68" s="252"/>
      <c r="DY68" s="252"/>
      <c r="DZ68" s="252"/>
      <c r="EA68" s="252"/>
      <c r="EB68" s="252"/>
      <c r="EC68" s="252"/>
      <c r="ED68" s="252"/>
      <c r="EE68" s="252"/>
      <c r="EF68" s="252"/>
      <c r="EG68" s="252"/>
      <c r="EH68" s="252"/>
      <c r="EI68" s="252"/>
      <c r="EJ68" s="252"/>
      <c r="EK68" s="252"/>
      <c r="EL68" s="252"/>
      <c r="EM68" s="252"/>
      <c r="EN68" s="252"/>
      <c r="EO68" s="252"/>
      <c r="EP68" s="252"/>
      <c r="EQ68" s="252"/>
      <c r="ER68" s="252"/>
      <c r="ES68" s="252"/>
      <c r="ET68" s="252"/>
      <c r="EU68" s="252"/>
      <c r="EV68" s="252"/>
      <c r="EW68" s="252"/>
      <c r="EX68" s="252"/>
      <c r="EY68" s="252"/>
      <c r="EZ68" s="252"/>
      <c r="FA68" s="252"/>
      <c r="FB68" s="252"/>
      <c r="FC68" s="252"/>
      <c r="FD68" s="252"/>
      <c r="FE68" s="252"/>
      <c r="FF68" s="252"/>
      <c r="FG68" s="252"/>
      <c r="FH68" s="252"/>
      <c r="FI68" s="252"/>
      <c r="FJ68" s="252"/>
      <c r="FK68" s="252"/>
      <c r="FL68" s="252"/>
      <c r="FM68" s="252"/>
      <c r="FN68" s="252"/>
      <c r="FO68" s="252"/>
      <c r="FP68" s="252"/>
      <c r="FQ68" s="252"/>
      <c r="FR68" s="252"/>
      <c r="FS68" s="252"/>
      <c r="FT68" s="252"/>
      <c r="FU68" s="252"/>
      <c r="FV68" s="252"/>
      <c r="FW68" s="252"/>
      <c r="FX68" s="252"/>
      <c r="FY68" s="252"/>
      <c r="FZ68" s="252"/>
      <c r="GA68" s="252"/>
      <c r="GB68" s="252"/>
      <c r="GC68" s="252"/>
      <c r="GD68" s="252"/>
      <c r="GE68" s="252"/>
      <c r="GF68" s="252"/>
      <c r="GG68" s="252"/>
      <c r="GH68" s="252"/>
      <c r="GI68" s="252"/>
      <c r="GJ68" s="252"/>
      <c r="GK68" s="252"/>
      <c r="GL68" s="252"/>
      <c r="GM68" s="252"/>
      <c r="GN68" s="252"/>
      <c r="GO68" s="252"/>
      <c r="GP68" s="252"/>
      <c r="GQ68" s="252"/>
      <c r="GR68" s="252"/>
      <c r="GS68" s="252"/>
      <c r="GT68" s="252"/>
      <c r="GU68" s="252"/>
      <c r="GV68" s="252"/>
      <c r="GW68" s="252"/>
      <c r="GX68" s="252"/>
      <c r="GY68" s="252"/>
      <c r="GZ68" s="252"/>
      <c r="HA68" s="252"/>
      <c r="HB68" s="252"/>
      <c r="HC68" s="252"/>
      <c r="HD68" s="252"/>
      <c r="HE68" s="252"/>
      <c r="HF68" s="252"/>
      <c r="HG68" s="252"/>
      <c r="HH68" s="252"/>
      <c r="HI68" s="252"/>
      <c r="HJ68" s="252"/>
      <c r="HK68" s="252"/>
      <c r="HL68" s="252"/>
      <c r="HM68" s="252"/>
      <c r="HN68" s="252"/>
      <c r="HO68" s="252"/>
      <c r="HP68" s="252"/>
      <c r="HQ68" s="252"/>
      <c r="HR68" s="252"/>
      <c r="HS68" s="252"/>
      <c r="HT68" s="252"/>
      <c r="HU68" s="252"/>
      <c r="HV68" s="252"/>
      <c r="HW68" s="252"/>
      <c r="HX68" s="252"/>
      <c r="HY68" s="252"/>
      <c r="HZ68" s="252"/>
      <c r="IA68" s="252"/>
      <c r="IB68" s="252"/>
      <c r="IC68" s="252"/>
      <c r="ID68" s="252"/>
      <c r="IE68" s="252"/>
      <c r="IF68" s="252"/>
      <c r="IG68" s="252"/>
      <c r="IH68" s="252"/>
      <c r="II68" s="252"/>
      <c r="IJ68" s="252"/>
      <c r="IK68" s="252"/>
      <c r="IL68" s="252"/>
      <c r="IM68" s="252"/>
      <c r="IN68" s="252"/>
      <c r="IO68" s="252"/>
      <c r="IP68" s="252"/>
      <c r="IQ68" s="252"/>
      <c r="IR68" s="252"/>
      <c r="IS68" s="252"/>
      <c r="IT68" s="252"/>
      <c r="IU68" s="252"/>
      <c r="IV68" s="252"/>
      <c r="IW68" s="252"/>
      <c r="IX68" s="252"/>
      <c r="IY68" s="252"/>
      <c r="IZ68" s="252"/>
      <c r="JA68" s="252"/>
      <c r="JB68" s="252"/>
      <c r="JC68" s="252"/>
      <c r="JD68" s="252"/>
      <c r="JE68" s="252"/>
      <c r="JF68" s="252"/>
      <c r="JG68" s="252"/>
      <c r="JH68" s="252"/>
      <c r="JI68" s="252"/>
      <c r="JJ68" s="252"/>
      <c r="JK68" s="252"/>
      <c r="JL68" s="252"/>
      <c r="JM68" s="252"/>
      <c r="JN68" s="252"/>
      <c r="JO68" s="252"/>
      <c r="JP68" s="252"/>
      <c r="JQ68" s="252"/>
      <c r="JR68" s="252"/>
      <c r="JS68" s="252"/>
      <c r="JT68" s="252"/>
      <c r="JU68" s="252"/>
      <c r="JV68" s="252"/>
      <c r="JW68" s="252"/>
      <c r="JX68" s="252"/>
      <c r="JY68" s="252"/>
      <c r="JZ68" s="252"/>
      <c r="KA68" s="252"/>
      <c r="KB68" s="252"/>
      <c r="KC68" s="252"/>
      <c r="KD68" s="252"/>
      <c r="KE68" s="252"/>
      <c r="KF68" s="252"/>
      <c r="KG68" s="252"/>
      <c r="KH68" s="252"/>
      <c r="KI68" s="252"/>
      <c r="KJ68" s="252"/>
      <c r="KK68" s="252"/>
      <c r="KL68" s="252"/>
      <c r="KM68" s="252"/>
      <c r="KN68" s="252"/>
      <c r="KO68" s="252"/>
      <c r="KP68" s="252"/>
      <c r="KQ68" s="252"/>
      <c r="KR68" s="252"/>
      <c r="KS68" s="252"/>
      <c r="KT68" s="252"/>
      <c r="KU68" s="252"/>
      <c r="KV68" s="252"/>
      <c r="KW68" s="252"/>
      <c r="KX68" s="252"/>
      <c r="KY68" s="252"/>
      <c r="KZ68" s="252"/>
      <c r="LA68" s="252"/>
      <c r="LB68" s="252"/>
      <c r="LC68" s="252"/>
      <c r="LD68" s="252"/>
      <c r="LE68" s="252"/>
      <c r="LF68" s="252"/>
      <c r="LG68" s="252"/>
      <c r="LH68" s="252"/>
      <c r="LI68" s="252"/>
      <c r="LJ68" s="252"/>
      <c r="LK68" s="252"/>
      <c r="LL68" s="252"/>
      <c r="LM68" s="252"/>
      <c r="LN68" s="252"/>
      <c r="LO68" s="252"/>
      <c r="LP68" s="252"/>
      <c r="LQ68" s="252"/>
      <c r="LR68" s="252"/>
      <c r="LS68" s="252"/>
      <c r="LT68" s="252"/>
      <c r="LU68" s="252"/>
      <c r="LV68" s="252"/>
      <c r="LW68" s="252"/>
      <c r="LX68" s="252"/>
      <c r="LY68" s="252"/>
      <c r="LZ68" s="252"/>
      <c r="MA68" s="252"/>
      <c r="MB68" s="252"/>
      <c r="MC68" s="252"/>
      <c r="MD68" s="252"/>
      <c r="ME68" s="252"/>
      <c r="MF68" s="252"/>
      <c r="MG68" s="252"/>
      <c r="MH68" s="252"/>
      <c r="MI68" s="252"/>
      <c r="MJ68" s="252"/>
      <c r="MK68" s="252"/>
      <c r="ML68" s="252"/>
      <c r="MM68" s="252"/>
      <c r="MN68" s="252"/>
      <c r="MO68" s="252"/>
      <c r="MP68" s="252"/>
      <c r="MQ68" s="252"/>
      <c r="MR68" s="252"/>
      <c r="MS68" s="252"/>
      <c r="MT68" s="252"/>
      <c r="MU68" s="252"/>
      <c r="MV68" s="252"/>
      <c r="MW68" s="252"/>
      <c r="MX68" s="252"/>
      <c r="MY68" s="252"/>
      <c r="MZ68" s="252"/>
      <c r="NA68" s="252"/>
      <c r="NB68" s="252"/>
      <c r="NC68" s="252"/>
      <c r="ND68" s="252"/>
      <c r="NE68" s="252"/>
      <c r="NF68" s="252"/>
      <c r="NG68" s="252"/>
      <c r="NH68" s="252"/>
      <c r="NI68" s="252"/>
      <c r="NJ68" s="252"/>
      <c r="NK68" s="252"/>
      <c r="NL68" s="252"/>
      <c r="NM68" s="252"/>
      <c r="NN68" s="252"/>
      <c r="NO68" s="252"/>
      <c r="NP68" s="252"/>
      <c r="NQ68" s="252"/>
      <c r="NR68" s="252"/>
      <c r="NS68" s="252"/>
      <c r="NT68" s="252"/>
      <c r="NU68" s="252"/>
      <c r="NV68" s="252"/>
      <c r="NW68" s="252"/>
      <c r="NX68" s="252"/>
      <c r="NY68" s="252"/>
      <c r="NZ68" s="252"/>
      <c r="OA68" s="252"/>
      <c r="OB68" s="252"/>
      <c r="OC68" s="252"/>
      <c r="OD68" s="252"/>
      <c r="OE68" s="252"/>
      <c r="OF68" s="252"/>
      <c r="OG68" s="252"/>
      <c r="OH68" s="252"/>
      <c r="OI68" s="252"/>
      <c r="OJ68" s="252"/>
      <c r="OK68" s="252"/>
      <c r="OL68" s="252"/>
      <c r="OM68" s="252"/>
      <c r="ON68" s="252"/>
      <c r="OO68" s="252"/>
      <c r="OP68" s="252"/>
      <c r="OQ68" s="252"/>
      <c r="OR68" s="252"/>
      <c r="OS68" s="252"/>
      <c r="OT68" s="252"/>
      <c r="OU68" s="252"/>
      <c r="OV68" s="252"/>
      <c r="OW68" s="252"/>
      <c r="OX68" s="252"/>
      <c r="OY68" s="252"/>
      <c r="OZ68" s="252"/>
      <c r="PA68" s="252"/>
      <c r="PB68" s="252"/>
      <c r="PC68" s="252"/>
      <c r="PD68" s="252"/>
      <c r="PE68" s="252"/>
      <c r="PF68" s="252"/>
      <c r="PG68" s="252"/>
      <c r="PH68" s="252"/>
      <c r="PI68" s="252"/>
      <c r="PJ68" s="252"/>
      <c r="PK68" s="252"/>
      <c r="PL68" s="252"/>
      <c r="PM68" s="252"/>
      <c r="PN68" s="252"/>
      <c r="PO68" s="252"/>
      <c r="PP68" s="252"/>
      <c r="PQ68" s="252"/>
      <c r="PR68" s="252"/>
      <c r="PS68" s="252"/>
      <c r="PT68" s="252"/>
      <c r="PU68" s="252"/>
      <c r="PV68" s="252"/>
      <c r="PW68" s="252"/>
      <c r="PX68" s="252"/>
      <c r="PY68" s="252"/>
      <c r="PZ68" s="252"/>
      <c r="QA68" s="252"/>
      <c r="QB68" s="252"/>
      <c r="QC68" s="252"/>
      <c r="QD68" s="252"/>
      <c r="QE68" s="252"/>
      <c r="QF68" s="252"/>
      <c r="QG68" s="252"/>
      <c r="QH68" s="252"/>
      <c r="QI68" s="252"/>
      <c r="QJ68" s="252"/>
      <c r="QK68" s="252"/>
      <c r="QL68" s="252"/>
      <c r="QM68" s="252"/>
      <c r="QN68" s="252"/>
      <c r="QO68" s="252"/>
      <c r="QP68" s="252"/>
      <c r="QQ68" s="252"/>
    </row>
    <row r="69" spans="1:459" s="262" customFormat="1">
      <c r="A69" s="408">
        <f>+'[5]Summary by Project'!$G$25*A66</f>
        <v>11951578.849102784</v>
      </c>
      <c r="B69" s="483">
        <f>+A69/A66</f>
        <v>0.48069225216811967</v>
      </c>
      <c r="C69" s="376" t="s">
        <v>213</v>
      </c>
      <c r="D69" s="252"/>
      <c r="E69" s="252" t="s">
        <v>298</v>
      </c>
      <c r="F69" s="252"/>
      <c r="G69" s="376" t="s">
        <v>395</v>
      </c>
      <c r="H69" s="252"/>
      <c r="I69" s="254">
        <f>+A69</f>
        <v>11951578.849102784</v>
      </c>
      <c r="J69" s="87"/>
      <c r="K69" s="379">
        <f t="shared" si="37"/>
        <v>0</v>
      </c>
      <c r="L69" s="252"/>
      <c r="M69" s="379">
        <f t="shared" si="38"/>
        <v>0</v>
      </c>
      <c r="N69" s="379"/>
      <c r="O69" s="379">
        <f t="shared" si="39"/>
        <v>0</v>
      </c>
      <c r="P69" s="379"/>
      <c r="Q69" s="379">
        <f t="shared" si="40"/>
        <v>0</v>
      </c>
      <c r="R69" s="379"/>
      <c r="S69" s="254">
        <f t="shared" si="41"/>
        <v>0</v>
      </c>
      <c r="T69" s="254"/>
      <c r="U69" s="254">
        <f t="shared" si="42"/>
        <v>0</v>
      </c>
      <c r="V69" s="252"/>
      <c r="W69" s="379">
        <f t="shared" si="43"/>
        <v>10431338</v>
      </c>
      <c r="X69" s="379"/>
      <c r="Y69" s="379">
        <f t="shared" si="44"/>
        <v>1415067</v>
      </c>
      <c r="Z69" s="254"/>
      <c r="AA69" s="254">
        <f t="shared" si="45"/>
        <v>56172</v>
      </c>
      <c r="AB69" s="254"/>
      <c r="AC69" s="254">
        <f t="shared" si="46"/>
        <v>27489</v>
      </c>
      <c r="AD69" s="252"/>
      <c r="AE69" s="254">
        <f t="shared" si="47"/>
        <v>3585</v>
      </c>
      <c r="AF69" s="252"/>
      <c r="AG69" s="254">
        <f t="shared" si="48"/>
        <v>17927</v>
      </c>
      <c r="AH69" s="379"/>
      <c r="AI69" s="275">
        <f t="shared" si="36"/>
        <v>-0.84910278394818306</v>
      </c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252"/>
      <c r="DX69" s="252"/>
      <c r="DY69" s="252"/>
      <c r="DZ69" s="252"/>
      <c r="EA69" s="252"/>
      <c r="EB69" s="252"/>
      <c r="EC69" s="252"/>
      <c r="ED69" s="252"/>
      <c r="EE69" s="252"/>
      <c r="EF69" s="252"/>
      <c r="EG69" s="252"/>
      <c r="EH69" s="252"/>
      <c r="EI69" s="252"/>
      <c r="EJ69" s="252"/>
      <c r="EK69" s="252"/>
      <c r="EL69" s="252"/>
      <c r="EM69" s="252"/>
      <c r="EN69" s="252"/>
      <c r="EO69" s="252"/>
      <c r="EP69" s="252"/>
      <c r="EQ69" s="252"/>
      <c r="ER69" s="252"/>
      <c r="ES69" s="252"/>
      <c r="ET69" s="252"/>
      <c r="EU69" s="252"/>
      <c r="EV69" s="252"/>
      <c r="EW69" s="252"/>
      <c r="EX69" s="252"/>
      <c r="EY69" s="252"/>
      <c r="EZ69" s="252"/>
      <c r="FA69" s="252"/>
      <c r="FB69" s="252"/>
      <c r="FC69" s="252"/>
      <c r="FD69" s="252"/>
      <c r="FE69" s="252"/>
      <c r="FF69" s="252"/>
      <c r="FG69" s="252"/>
      <c r="FH69" s="252"/>
      <c r="FI69" s="252"/>
      <c r="FJ69" s="252"/>
      <c r="FK69" s="252"/>
      <c r="FL69" s="252"/>
      <c r="FM69" s="252"/>
      <c r="FN69" s="252"/>
      <c r="FO69" s="252"/>
      <c r="FP69" s="252"/>
      <c r="FQ69" s="252"/>
      <c r="FR69" s="252"/>
      <c r="FS69" s="252"/>
      <c r="FT69" s="252"/>
      <c r="FU69" s="252"/>
      <c r="FV69" s="252"/>
      <c r="FW69" s="252"/>
      <c r="FX69" s="252"/>
      <c r="FY69" s="252"/>
      <c r="FZ69" s="252"/>
      <c r="GA69" s="252"/>
      <c r="GB69" s="252"/>
      <c r="GC69" s="252"/>
      <c r="GD69" s="252"/>
      <c r="GE69" s="252"/>
      <c r="GF69" s="252"/>
      <c r="GG69" s="252"/>
      <c r="GH69" s="252"/>
      <c r="GI69" s="252"/>
      <c r="GJ69" s="252"/>
      <c r="GK69" s="252"/>
      <c r="GL69" s="252"/>
      <c r="GM69" s="252"/>
      <c r="GN69" s="252"/>
      <c r="GO69" s="252"/>
      <c r="GP69" s="252"/>
      <c r="GQ69" s="252"/>
      <c r="GR69" s="252"/>
      <c r="GS69" s="252"/>
      <c r="GT69" s="252"/>
      <c r="GU69" s="252"/>
      <c r="GV69" s="252"/>
      <c r="GW69" s="252"/>
      <c r="GX69" s="252"/>
      <c r="GY69" s="252"/>
      <c r="GZ69" s="252"/>
      <c r="HA69" s="252"/>
      <c r="HB69" s="252"/>
      <c r="HC69" s="252"/>
      <c r="HD69" s="252"/>
      <c r="HE69" s="252"/>
      <c r="HF69" s="252"/>
      <c r="HG69" s="252"/>
      <c r="HH69" s="252"/>
      <c r="HI69" s="252"/>
      <c r="HJ69" s="252"/>
      <c r="HK69" s="252"/>
      <c r="HL69" s="252"/>
      <c r="HM69" s="252"/>
      <c r="HN69" s="252"/>
      <c r="HO69" s="252"/>
      <c r="HP69" s="252"/>
      <c r="HQ69" s="252"/>
      <c r="HR69" s="252"/>
      <c r="HS69" s="252"/>
      <c r="HT69" s="252"/>
      <c r="HU69" s="252"/>
      <c r="HV69" s="252"/>
      <c r="HW69" s="252"/>
      <c r="HX69" s="252"/>
      <c r="HY69" s="252"/>
      <c r="HZ69" s="252"/>
      <c r="IA69" s="252"/>
      <c r="IB69" s="252"/>
      <c r="IC69" s="252"/>
      <c r="ID69" s="252"/>
      <c r="IE69" s="252"/>
      <c r="IF69" s="252"/>
      <c r="IG69" s="252"/>
      <c r="IH69" s="252"/>
      <c r="II69" s="252"/>
      <c r="IJ69" s="252"/>
      <c r="IK69" s="252"/>
      <c r="IL69" s="252"/>
      <c r="IM69" s="252"/>
      <c r="IN69" s="252"/>
      <c r="IO69" s="252"/>
      <c r="IP69" s="252"/>
      <c r="IQ69" s="252"/>
      <c r="IR69" s="252"/>
      <c r="IS69" s="252"/>
      <c r="IT69" s="252"/>
      <c r="IU69" s="252"/>
      <c r="IV69" s="252"/>
      <c r="IW69" s="252"/>
      <c r="IX69" s="252"/>
      <c r="IY69" s="252"/>
      <c r="IZ69" s="252"/>
      <c r="JA69" s="252"/>
      <c r="JB69" s="252"/>
      <c r="JC69" s="252"/>
      <c r="JD69" s="252"/>
      <c r="JE69" s="252"/>
      <c r="JF69" s="252"/>
      <c r="JG69" s="252"/>
      <c r="JH69" s="252"/>
      <c r="JI69" s="252"/>
      <c r="JJ69" s="252"/>
      <c r="JK69" s="252"/>
      <c r="JL69" s="252"/>
      <c r="JM69" s="252"/>
      <c r="JN69" s="252"/>
      <c r="JO69" s="252"/>
      <c r="JP69" s="252"/>
      <c r="JQ69" s="252"/>
      <c r="JR69" s="252"/>
      <c r="JS69" s="252"/>
      <c r="JT69" s="252"/>
      <c r="JU69" s="252"/>
      <c r="JV69" s="252"/>
      <c r="JW69" s="252"/>
      <c r="JX69" s="252"/>
      <c r="JY69" s="252"/>
      <c r="JZ69" s="252"/>
      <c r="KA69" s="252"/>
      <c r="KB69" s="252"/>
      <c r="KC69" s="252"/>
      <c r="KD69" s="252"/>
      <c r="KE69" s="252"/>
      <c r="KF69" s="252"/>
      <c r="KG69" s="252"/>
      <c r="KH69" s="252"/>
      <c r="KI69" s="252"/>
      <c r="KJ69" s="252"/>
      <c r="KK69" s="252"/>
      <c r="KL69" s="252"/>
      <c r="KM69" s="252"/>
      <c r="KN69" s="252"/>
      <c r="KO69" s="252"/>
      <c r="KP69" s="252"/>
      <c r="KQ69" s="252"/>
      <c r="KR69" s="252"/>
      <c r="KS69" s="252"/>
      <c r="KT69" s="252"/>
      <c r="KU69" s="252"/>
      <c r="KV69" s="252"/>
      <c r="KW69" s="252"/>
      <c r="KX69" s="252"/>
      <c r="KY69" s="252"/>
      <c r="KZ69" s="252"/>
      <c r="LA69" s="252"/>
      <c r="LB69" s="252"/>
      <c r="LC69" s="252"/>
      <c r="LD69" s="252"/>
      <c r="LE69" s="252"/>
      <c r="LF69" s="252"/>
      <c r="LG69" s="252"/>
      <c r="LH69" s="252"/>
      <c r="LI69" s="252"/>
      <c r="LJ69" s="252"/>
      <c r="LK69" s="252"/>
      <c r="LL69" s="252"/>
      <c r="LM69" s="252"/>
      <c r="LN69" s="252"/>
      <c r="LO69" s="252"/>
      <c r="LP69" s="252"/>
      <c r="LQ69" s="252"/>
      <c r="LR69" s="252"/>
      <c r="LS69" s="252"/>
      <c r="LT69" s="252"/>
      <c r="LU69" s="252"/>
      <c r="LV69" s="252"/>
      <c r="LW69" s="252"/>
      <c r="LX69" s="252"/>
      <c r="LY69" s="252"/>
      <c r="LZ69" s="252"/>
      <c r="MA69" s="252"/>
      <c r="MB69" s="252"/>
      <c r="MC69" s="252"/>
      <c r="MD69" s="252"/>
      <c r="ME69" s="252"/>
      <c r="MF69" s="252"/>
      <c r="MG69" s="252"/>
      <c r="MH69" s="252"/>
      <c r="MI69" s="252"/>
      <c r="MJ69" s="252"/>
      <c r="MK69" s="252"/>
      <c r="ML69" s="252"/>
      <c r="MM69" s="252"/>
      <c r="MN69" s="252"/>
      <c r="MO69" s="252"/>
      <c r="MP69" s="252"/>
      <c r="MQ69" s="252"/>
      <c r="MR69" s="252"/>
      <c r="MS69" s="252"/>
      <c r="MT69" s="252"/>
      <c r="MU69" s="252"/>
      <c r="MV69" s="252"/>
      <c r="MW69" s="252"/>
      <c r="MX69" s="252"/>
      <c r="MY69" s="252"/>
      <c r="MZ69" s="252"/>
      <c r="NA69" s="252"/>
      <c r="NB69" s="252"/>
      <c r="NC69" s="252"/>
      <c r="ND69" s="252"/>
      <c r="NE69" s="252"/>
      <c r="NF69" s="252"/>
      <c r="NG69" s="252"/>
      <c r="NH69" s="252"/>
      <c r="NI69" s="252"/>
      <c r="NJ69" s="252"/>
      <c r="NK69" s="252"/>
      <c r="NL69" s="252"/>
      <c r="NM69" s="252"/>
      <c r="NN69" s="252"/>
      <c r="NO69" s="252"/>
      <c r="NP69" s="252"/>
      <c r="NQ69" s="252"/>
      <c r="NR69" s="252"/>
      <c r="NS69" s="252"/>
      <c r="NT69" s="252"/>
      <c r="NU69" s="252"/>
      <c r="NV69" s="252"/>
      <c r="NW69" s="252"/>
      <c r="NX69" s="252"/>
      <c r="NY69" s="252"/>
      <c r="NZ69" s="252"/>
      <c r="OA69" s="252"/>
      <c r="OB69" s="252"/>
      <c r="OC69" s="252"/>
      <c r="OD69" s="252"/>
      <c r="OE69" s="252"/>
      <c r="OF69" s="252"/>
      <c r="OG69" s="252"/>
      <c r="OH69" s="252"/>
      <c r="OI69" s="252"/>
      <c r="OJ69" s="252"/>
      <c r="OK69" s="252"/>
      <c r="OL69" s="252"/>
      <c r="OM69" s="252"/>
      <c r="ON69" s="252"/>
      <c r="OO69" s="252"/>
      <c r="OP69" s="252"/>
      <c r="OQ69" s="252"/>
      <c r="OR69" s="252"/>
      <c r="OS69" s="252"/>
      <c r="OT69" s="252"/>
      <c r="OU69" s="252"/>
      <c r="OV69" s="252"/>
      <c r="OW69" s="252"/>
      <c r="OX69" s="252"/>
      <c r="OY69" s="252"/>
      <c r="OZ69" s="252"/>
      <c r="PA69" s="252"/>
      <c r="PB69" s="252"/>
      <c r="PC69" s="252"/>
      <c r="PD69" s="252"/>
      <c r="PE69" s="252"/>
      <c r="PF69" s="252"/>
      <c r="PG69" s="252"/>
      <c r="PH69" s="252"/>
      <c r="PI69" s="252"/>
      <c r="PJ69" s="252"/>
      <c r="PK69" s="252"/>
      <c r="PL69" s="252"/>
      <c r="PM69" s="252"/>
      <c r="PN69" s="252"/>
      <c r="PO69" s="252"/>
      <c r="PP69" s="252"/>
      <c r="PQ69" s="252"/>
      <c r="PR69" s="252"/>
      <c r="PS69" s="252"/>
      <c r="PT69" s="252"/>
      <c r="PU69" s="252"/>
      <c r="PV69" s="252"/>
      <c r="PW69" s="252"/>
      <c r="PX69" s="252"/>
      <c r="PY69" s="252"/>
      <c r="PZ69" s="252"/>
      <c r="QA69" s="252"/>
      <c r="QB69" s="252"/>
      <c r="QC69" s="252"/>
      <c r="QD69" s="252"/>
      <c r="QE69" s="252"/>
      <c r="QF69" s="252"/>
      <c r="QG69" s="252"/>
      <c r="QH69" s="252"/>
      <c r="QI69" s="252"/>
      <c r="QJ69" s="252"/>
      <c r="QK69" s="252"/>
      <c r="QL69" s="252"/>
      <c r="QM69" s="252"/>
      <c r="QN69" s="252"/>
      <c r="QO69" s="252"/>
      <c r="QP69" s="252"/>
      <c r="QQ69" s="252"/>
    </row>
    <row r="70" spans="1:459">
      <c r="A70" s="216"/>
      <c r="B70" s="216"/>
      <c r="C70" s="155">
        <v>875</v>
      </c>
      <c r="E70" s="252" t="s">
        <v>109</v>
      </c>
      <c r="F70" s="252"/>
      <c r="G70" s="376" t="s">
        <v>450</v>
      </c>
      <c r="H70" s="252"/>
      <c r="I70" s="254">
        <f>+Linkin!H70</f>
        <v>2098084</v>
      </c>
      <c r="J70" s="87"/>
      <c r="K70" s="152">
        <f t="shared" si="37"/>
        <v>644531</v>
      </c>
      <c r="M70" s="152">
        <f t="shared" si="38"/>
        <v>401783</v>
      </c>
      <c r="N70" s="152"/>
      <c r="O70" s="152">
        <f t="shared" si="39"/>
        <v>109100</v>
      </c>
      <c r="P70" s="152"/>
      <c r="Q70" s="152">
        <f t="shared" si="40"/>
        <v>107632</v>
      </c>
      <c r="R70" s="152"/>
      <c r="S70" s="151">
        <f t="shared" si="41"/>
        <v>669708</v>
      </c>
      <c r="T70" s="151"/>
      <c r="U70" s="151">
        <f t="shared" si="42"/>
        <v>165329</v>
      </c>
      <c r="W70" s="152">
        <f t="shared" si="43"/>
        <v>0</v>
      </c>
      <c r="X70" s="152"/>
      <c r="Y70" s="152">
        <f t="shared" si="44"/>
        <v>0</v>
      </c>
      <c r="Z70" s="151"/>
      <c r="AA70" s="151">
        <f t="shared" si="45"/>
        <v>0</v>
      </c>
      <c r="AB70" s="151"/>
      <c r="AC70" s="151">
        <f t="shared" si="46"/>
        <v>0</v>
      </c>
      <c r="AE70" s="151">
        <f t="shared" si="47"/>
        <v>0</v>
      </c>
      <c r="AG70" s="151">
        <f t="shared" si="48"/>
        <v>0</v>
      </c>
      <c r="AH70" s="152"/>
      <c r="AI70" s="153">
        <f t="shared" si="36"/>
        <v>-1</v>
      </c>
    </row>
    <row r="71" spans="1:459" s="47" customFormat="1">
      <c r="A71" s="147"/>
      <c r="B71" s="216"/>
      <c r="C71" s="155">
        <v>876</v>
      </c>
      <c r="D71" s="147"/>
      <c r="E71" s="216" t="s">
        <v>277</v>
      </c>
      <c r="F71" s="216"/>
      <c r="G71" s="253" t="s">
        <v>322</v>
      </c>
      <c r="H71" s="216"/>
      <c r="I71" s="254">
        <f>+Linkin!H71</f>
        <v>266214</v>
      </c>
      <c r="J71" s="87"/>
      <c r="K71" s="152">
        <f t="shared" si="37"/>
        <v>0</v>
      </c>
      <c r="L71" s="147"/>
      <c r="M71" s="152">
        <f t="shared" si="38"/>
        <v>0</v>
      </c>
      <c r="N71" s="152"/>
      <c r="O71" s="152">
        <f t="shared" si="39"/>
        <v>0</v>
      </c>
      <c r="P71" s="152"/>
      <c r="Q71" s="152">
        <f t="shared" si="40"/>
        <v>0</v>
      </c>
      <c r="R71" s="152"/>
      <c r="S71" s="151">
        <f t="shared" si="41"/>
        <v>0</v>
      </c>
      <c r="T71" s="151"/>
      <c r="U71" s="151">
        <f t="shared" si="42"/>
        <v>0</v>
      </c>
      <c r="V71" s="147"/>
      <c r="W71" s="152">
        <f t="shared" si="43"/>
        <v>0</v>
      </c>
      <c r="X71" s="152"/>
      <c r="Y71" s="152">
        <f t="shared" si="44"/>
        <v>0</v>
      </c>
      <c r="Z71" s="151"/>
      <c r="AA71" s="151">
        <f t="shared" si="45"/>
        <v>131270</v>
      </c>
      <c r="AB71" s="151"/>
      <c r="AC71" s="151">
        <f t="shared" si="46"/>
        <v>76057</v>
      </c>
      <c r="AD71" s="147"/>
      <c r="AE71" s="151">
        <f t="shared" si="47"/>
        <v>14402</v>
      </c>
      <c r="AF71" s="147"/>
      <c r="AG71" s="151">
        <f t="shared" si="48"/>
        <v>44484</v>
      </c>
      <c r="AH71" s="152"/>
      <c r="AI71" s="153">
        <f t="shared" si="36"/>
        <v>-1</v>
      </c>
      <c r="AJ71" s="147"/>
      <c r="AK71" s="147"/>
    </row>
    <row r="72" spans="1:459" s="47" customFormat="1">
      <c r="A72" s="147"/>
      <c r="B72" s="147"/>
      <c r="C72" s="155">
        <v>877</v>
      </c>
      <c r="D72" s="147"/>
      <c r="E72" s="216" t="s">
        <v>110</v>
      </c>
      <c r="F72" s="216"/>
      <c r="G72" s="376" t="s">
        <v>450</v>
      </c>
      <c r="H72" s="216"/>
      <c r="I72" s="254">
        <f>+Linkin!H72</f>
        <v>1070826</v>
      </c>
      <c r="J72" s="87"/>
      <c r="K72" s="152">
        <f t="shared" si="37"/>
        <v>328958</v>
      </c>
      <c r="L72" s="147"/>
      <c r="M72" s="152">
        <f t="shared" si="38"/>
        <v>205063</v>
      </c>
      <c r="N72" s="152"/>
      <c r="O72" s="152">
        <f t="shared" si="39"/>
        <v>55683</v>
      </c>
      <c r="P72" s="152"/>
      <c r="Q72" s="152">
        <f t="shared" si="40"/>
        <v>54933</v>
      </c>
      <c r="R72" s="152"/>
      <c r="S72" s="151">
        <f t="shared" si="41"/>
        <v>341808</v>
      </c>
      <c r="T72" s="151"/>
      <c r="U72" s="151">
        <f t="shared" si="42"/>
        <v>84381</v>
      </c>
      <c r="V72" s="147"/>
      <c r="W72" s="152">
        <f t="shared" si="43"/>
        <v>0</v>
      </c>
      <c r="X72" s="152"/>
      <c r="Y72" s="152">
        <f t="shared" si="44"/>
        <v>0</v>
      </c>
      <c r="Z72" s="151"/>
      <c r="AA72" s="151">
        <f t="shared" si="45"/>
        <v>0</v>
      </c>
      <c r="AB72" s="151"/>
      <c r="AC72" s="151">
        <f t="shared" si="46"/>
        <v>0</v>
      </c>
      <c r="AD72" s="147"/>
      <c r="AE72" s="151">
        <f t="shared" si="47"/>
        <v>0</v>
      </c>
      <c r="AF72" s="147"/>
      <c r="AG72" s="151">
        <f t="shared" si="48"/>
        <v>0</v>
      </c>
      <c r="AH72" s="152"/>
      <c r="AI72" s="153">
        <f t="shared" si="36"/>
        <v>0</v>
      </c>
      <c r="AJ72" s="147"/>
      <c r="AK72" s="147"/>
    </row>
    <row r="73" spans="1:459">
      <c r="C73" s="155">
        <v>878</v>
      </c>
      <c r="E73" s="101" t="s">
        <v>60</v>
      </c>
      <c r="F73" s="216"/>
      <c r="G73" s="253">
        <v>6</v>
      </c>
      <c r="H73" s="216"/>
      <c r="I73" s="254">
        <f>+Linkin!H73</f>
        <v>3687754</v>
      </c>
      <c r="J73" s="87"/>
      <c r="K73" s="151">
        <f t="shared" si="37"/>
        <v>0</v>
      </c>
      <c r="M73" s="151">
        <f t="shared" si="38"/>
        <v>0</v>
      </c>
      <c r="N73" s="152"/>
      <c r="O73" s="151">
        <f t="shared" si="39"/>
        <v>0</v>
      </c>
      <c r="P73" s="151"/>
      <c r="Q73" s="151">
        <f t="shared" si="40"/>
        <v>0</v>
      </c>
      <c r="R73" s="152"/>
      <c r="S73" s="151">
        <f t="shared" si="41"/>
        <v>0</v>
      </c>
      <c r="T73" s="151"/>
      <c r="U73" s="151">
        <f t="shared" si="42"/>
        <v>0</v>
      </c>
      <c r="W73" s="151">
        <f t="shared" si="43"/>
        <v>1575777</v>
      </c>
      <c r="X73" s="152"/>
      <c r="Y73" s="151">
        <f t="shared" si="44"/>
        <v>1546644</v>
      </c>
      <c r="Z73" s="151"/>
      <c r="AA73" s="151">
        <f t="shared" si="45"/>
        <v>278794</v>
      </c>
      <c r="AB73" s="151"/>
      <c r="AC73" s="151">
        <f t="shared" si="46"/>
        <v>161524</v>
      </c>
      <c r="AE73" s="151">
        <f t="shared" si="47"/>
        <v>30608</v>
      </c>
      <c r="AG73" s="151">
        <f t="shared" si="48"/>
        <v>94407</v>
      </c>
      <c r="AH73" s="152"/>
      <c r="AI73" s="153">
        <f t="shared" si="36"/>
        <v>0</v>
      </c>
    </row>
    <row r="74" spans="1:459">
      <c r="C74" s="155">
        <v>879</v>
      </c>
      <c r="E74" s="101" t="s">
        <v>61</v>
      </c>
      <c r="F74" s="216"/>
      <c r="G74" s="253">
        <v>6</v>
      </c>
      <c r="H74" s="216"/>
      <c r="I74" s="254">
        <f>+Linkin!H74</f>
        <v>3091758</v>
      </c>
      <c r="J74" s="87"/>
      <c r="K74" s="151">
        <f t="shared" si="37"/>
        <v>0</v>
      </c>
      <c r="M74" s="151">
        <f t="shared" si="38"/>
        <v>0</v>
      </c>
      <c r="N74" s="152"/>
      <c r="O74" s="151">
        <f t="shared" si="39"/>
        <v>0</v>
      </c>
      <c r="P74" s="151"/>
      <c r="Q74" s="151">
        <f t="shared" si="40"/>
        <v>0</v>
      </c>
      <c r="R74" s="152"/>
      <c r="S74" s="151">
        <f t="shared" si="41"/>
        <v>0</v>
      </c>
      <c r="T74" s="151"/>
      <c r="U74" s="151">
        <f t="shared" si="42"/>
        <v>0</v>
      </c>
      <c r="W74" s="151">
        <f t="shared" si="43"/>
        <v>1321108</v>
      </c>
      <c r="X74" s="152"/>
      <c r="Y74" s="151">
        <f t="shared" si="44"/>
        <v>1296683</v>
      </c>
      <c r="Z74" s="151"/>
      <c r="AA74" s="151">
        <f t="shared" si="45"/>
        <v>233737</v>
      </c>
      <c r="AB74" s="151"/>
      <c r="AC74" s="151">
        <f t="shared" si="46"/>
        <v>135419</v>
      </c>
      <c r="AE74" s="151">
        <f t="shared" si="47"/>
        <v>25662</v>
      </c>
      <c r="AG74" s="151">
        <f t="shared" si="48"/>
        <v>79149</v>
      </c>
      <c r="AH74" s="152"/>
      <c r="AI74" s="153">
        <f t="shared" si="36"/>
        <v>0</v>
      </c>
    </row>
    <row r="75" spans="1:459">
      <c r="C75" s="155">
        <v>880</v>
      </c>
      <c r="E75" s="101" t="s">
        <v>62</v>
      </c>
      <c r="F75" s="216"/>
      <c r="G75" s="253">
        <v>10</v>
      </c>
      <c r="H75" s="216"/>
      <c r="I75" s="254">
        <f>+Linkin!H75</f>
        <v>4537352</v>
      </c>
      <c r="J75" s="87"/>
      <c r="K75" s="152">
        <f t="shared" si="37"/>
        <v>909285</v>
      </c>
      <c r="M75" s="152">
        <f t="shared" si="38"/>
        <v>565808</v>
      </c>
      <c r="N75" s="152"/>
      <c r="O75" s="152">
        <f t="shared" si="39"/>
        <v>156992</v>
      </c>
      <c r="P75" s="152"/>
      <c r="Q75" s="152">
        <f t="shared" si="40"/>
        <v>174688</v>
      </c>
      <c r="R75" s="152"/>
      <c r="S75" s="151">
        <f t="shared" si="41"/>
        <v>294474</v>
      </c>
      <c r="T75" s="151"/>
      <c r="U75" s="151">
        <f t="shared" si="42"/>
        <v>118879</v>
      </c>
      <c r="W75" s="152">
        <f t="shared" si="43"/>
        <v>1625733</v>
      </c>
      <c r="X75" s="152"/>
      <c r="Y75" s="152">
        <f t="shared" si="44"/>
        <v>519527</v>
      </c>
      <c r="Z75" s="151"/>
      <c r="AA75" s="151">
        <f t="shared" si="45"/>
        <v>85302</v>
      </c>
      <c r="AB75" s="151"/>
      <c r="AC75" s="151">
        <f t="shared" si="46"/>
        <v>49003</v>
      </c>
      <c r="AE75" s="151">
        <f t="shared" si="47"/>
        <v>9075</v>
      </c>
      <c r="AG75" s="151">
        <f t="shared" si="48"/>
        <v>28585</v>
      </c>
      <c r="AH75" s="152"/>
      <c r="AI75" s="153">
        <f t="shared" si="36"/>
        <v>-1</v>
      </c>
    </row>
    <row r="76" spans="1:459">
      <c r="C76" s="155">
        <v>881</v>
      </c>
      <c r="E76" s="101" t="s">
        <v>63</v>
      </c>
      <c r="F76" s="216"/>
      <c r="G76" s="253">
        <v>10</v>
      </c>
      <c r="H76" s="216"/>
      <c r="I76" s="254">
        <f>+Linkin!H76</f>
        <v>237040</v>
      </c>
      <c r="J76" s="87"/>
      <c r="K76" s="156">
        <f t="shared" si="37"/>
        <v>47503</v>
      </c>
      <c r="M76" s="156">
        <f t="shared" si="38"/>
        <v>29559</v>
      </c>
      <c r="O76" s="156">
        <f t="shared" si="39"/>
        <v>8202</v>
      </c>
      <c r="P76" s="159"/>
      <c r="Q76" s="156">
        <f t="shared" si="40"/>
        <v>9126</v>
      </c>
      <c r="S76" s="156">
        <f t="shared" si="41"/>
        <v>15384</v>
      </c>
      <c r="T76" s="159"/>
      <c r="U76" s="156">
        <f t="shared" si="42"/>
        <v>6210</v>
      </c>
      <c r="W76" s="156">
        <f t="shared" si="43"/>
        <v>84931</v>
      </c>
      <c r="Y76" s="156">
        <f t="shared" si="44"/>
        <v>27141</v>
      </c>
      <c r="Z76" s="151"/>
      <c r="AA76" s="156">
        <f t="shared" si="45"/>
        <v>4456</v>
      </c>
      <c r="AB76" s="159"/>
      <c r="AC76" s="156">
        <f t="shared" si="46"/>
        <v>2560</v>
      </c>
      <c r="AE76" s="156">
        <f t="shared" si="47"/>
        <v>474</v>
      </c>
      <c r="AG76" s="156">
        <f t="shared" si="48"/>
        <v>1493</v>
      </c>
      <c r="AI76" s="153">
        <f t="shared" si="36"/>
        <v>-1</v>
      </c>
    </row>
    <row r="77" spans="1:459">
      <c r="C77" s="155" t="s">
        <v>213</v>
      </c>
      <c r="E77" s="216" t="s">
        <v>215</v>
      </c>
      <c r="F77" s="216"/>
      <c r="G77" s="253"/>
      <c r="H77" s="216"/>
      <c r="I77" s="760">
        <f>SUM(I62:I76)</f>
        <v>56398119.84910278</v>
      </c>
      <c r="J77" s="145"/>
      <c r="K77" s="151">
        <f t="shared" ref="K77:AC77" si="49">SUM(K62:K76)</f>
        <v>11300432</v>
      </c>
      <c r="L77" s="151"/>
      <c r="M77" s="151">
        <f t="shared" si="49"/>
        <v>7033796</v>
      </c>
      <c r="N77" s="151"/>
      <c r="O77" s="151">
        <f t="shared" si="49"/>
        <v>1951584</v>
      </c>
      <c r="P77" s="151"/>
      <c r="Q77" s="151">
        <f t="shared" si="49"/>
        <v>2171949</v>
      </c>
      <c r="R77" s="151"/>
      <c r="S77" s="151">
        <f t="shared" si="49"/>
        <v>3660177</v>
      </c>
      <c r="T77" s="151"/>
      <c r="U77" s="151">
        <f t="shared" ref="U77" si="50">SUM(U62:U76)</f>
        <v>1478761</v>
      </c>
      <c r="V77" s="151"/>
      <c r="W77" s="151">
        <f t="shared" si="49"/>
        <v>20206651</v>
      </c>
      <c r="X77" s="151"/>
      <c r="Y77" s="151">
        <f t="shared" si="49"/>
        <v>6456497</v>
      </c>
      <c r="Z77" s="151"/>
      <c r="AA77" s="151">
        <f t="shared" si="49"/>
        <v>1060884</v>
      </c>
      <c r="AB77" s="151"/>
      <c r="AC77" s="151">
        <f t="shared" si="49"/>
        <v>607821</v>
      </c>
      <c r="AD77" s="151"/>
      <c r="AE77" s="151">
        <f t="shared" ref="AE77" si="51">SUM(AE62:AE76)</f>
        <v>112652</v>
      </c>
      <c r="AF77" s="151"/>
      <c r="AG77" s="151">
        <f t="shared" ref="AG77" si="52">SUM(AG62:AG76)</f>
        <v>356910</v>
      </c>
      <c r="AH77" s="151"/>
      <c r="AI77" s="153">
        <f t="shared" si="36"/>
        <v>-5.8491027802228928</v>
      </c>
    </row>
    <row r="78" spans="1:459">
      <c r="C78" s="155"/>
      <c r="E78" s="216"/>
      <c r="F78" s="216"/>
      <c r="G78" s="253"/>
      <c r="H78" s="216"/>
      <c r="I78" s="254"/>
      <c r="J78" s="87"/>
      <c r="S78" s="151"/>
      <c r="T78" s="151"/>
      <c r="U78" s="151"/>
      <c r="Z78" s="151"/>
      <c r="AA78" s="151"/>
      <c r="AB78" s="151"/>
      <c r="AC78" s="151"/>
      <c r="AE78" s="151"/>
      <c r="AG78" s="151"/>
      <c r="AI78" s="153">
        <f t="shared" si="36"/>
        <v>0</v>
      </c>
    </row>
    <row r="79" spans="1:459">
      <c r="C79" s="155" t="s">
        <v>213</v>
      </c>
      <c r="E79" s="442" t="s">
        <v>205</v>
      </c>
      <c r="F79" s="216"/>
      <c r="G79" s="253"/>
      <c r="H79" s="216"/>
      <c r="I79" s="254"/>
      <c r="J79" s="87"/>
      <c r="S79" s="151"/>
      <c r="T79" s="151"/>
      <c r="U79" s="151"/>
      <c r="Z79" s="151"/>
      <c r="AA79" s="151"/>
      <c r="AB79" s="151"/>
      <c r="AC79" s="151"/>
      <c r="AE79" s="151"/>
      <c r="AG79" s="151"/>
      <c r="AI79" s="153">
        <f t="shared" si="36"/>
        <v>0</v>
      </c>
    </row>
    <row r="80" spans="1:459" s="47" customFormat="1">
      <c r="A80" s="147"/>
      <c r="B80" s="147"/>
      <c r="C80" s="155">
        <v>885</v>
      </c>
      <c r="D80" s="147"/>
      <c r="E80" s="216" t="s">
        <v>165</v>
      </c>
      <c r="F80" s="216"/>
      <c r="G80" s="253">
        <v>11</v>
      </c>
      <c r="H80" s="216"/>
      <c r="I80" s="254">
        <f>+Linkin!H80</f>
        <v>3775066</v>
      </c>
      <c r="J80" s="87"/>
      <c r="K80" s="152">
        <f t="shared" ref="K80:K91" si="53">ROUND(VLOOKUP($G80,factors,+K$375,FALSE)*$I80,0)</f>
        <v>1409987</v>
      </c>
      <c r="L80" s="147"/>
      <c r="M80" s="152">
        <f t="shared" ref="M80:M91" si="54">ROUND(VLOOKUP($G80,factors,+M$375,FALSE)*$I80,0)</f>
        <v>877703</v>
      </c>
      <c r="N80" s="152"/>
      <c r="O80" s="152">
        <f t="shared" ref="O80:O91" si="55">ROUND(VLOOKUP($G80,factors,+O$375,FALSE)*$I80,0)</f>
        <v>244624</v>
      </c>
      <c r="P80" s="152"/>
      <c r="Q80" s="152">
        <f t="shared" ref="Q80:Q91" si="56">ROUND(VLOOKUP($G80,factors,+Q$375,FALSE)*$I80,0)</f>
        <v>277467</v>
      </c>
      <c r="R80" s="152"/>
      <c r="S80" s="151">
        <f t="shared" ref="S80:S91" si="57">ROUND(VLOOKUP($G80,factors,+S$375,FALSE)*$I80,0)</f>
        <v>280110</v>
      </c>
      <c r="T80" s="151"/>
      <c r="U80" s="151">
        <f t="shared" ref="U80:U91" si="58">ROUND(VLOOKUP($G80,factors,+U$375,FALSE)*$I80,0)</f>
        <v>153645</v>
      </c>
      <c r="V80" s="147"/>
      <c r="W80" s="152">
        <f t="shared" ref="W80:W91" si="59">ROUND(VLOOKUP($G80,factors,+W$375,FALSE)*$I80,0)</f>
        <v>339378</v>
      </c>
      <c r="X80" s="152"/>
      <c r="Y80" s="152">
        <f t="shared" ref="Y80:Y91" si="60">ROUND(VLOOKUP($G80,factors,+Y$375,FALSE)*$I80,0)</f>
        <v>111742</v>
      </c>
      <c r="Z80" s="151"/>
      <c r="AA80" s="151">
        <f t="shared" ref="AA80:AA91" si="61">ROUND(VLOOKUP($G80,factors,+AA$375,FALSE)*$I80,0)</f>
        <v>39638</v>
      </c>
      <c r="AB80" s="151"/>
      <c r="AC80" s="151">
        <f t="shared" ref="AC80:AC91" si="62">ROUND(VLOOKUP($G80,factors,+AC$375,FALSE)*$I80,0)</f>
        <v>23028</v>
      </c>
      <c r="AD80" s="147"/>
      <c r="AE80" s="151">
        <f t="shared" ref="AE80:AE91" si="63">ROUND(VLOOKUP($G80,factors,+AE$375,FALSE)*$I80,0)</f>
        <v>4153</v>
      </c>
      <c r="AF80" s="147"/>
      <c r="AG80" s="151">
        <f t="shared" ref="AG80:AG91" si="64">ROUND(VLOOKUP($G80,factors,+AG$375,FALSE)*$I80,0)</f>
        <v>13590</v>
      </c>
      <c r="AH80" s="152"/>
      <c r="AI80" s="153">
        <f t="shared" si="36"/>
        <v>-1</v>
      </c>
      <c r="AJ80" s="147"/>
      <c r="AK80" s="147"/>
    </row>
    <row r="81" spans="1:39">
      <c r="C81" s="155">
        <v>886</v>
      </c>
      <c r="E81" s="252" t="s">
        <v>114</v>
      </c>
      <c r="F81" s="252"/>
      <c r="G81" s="376">
        <v>18</v>
      </c>
      <c r="H81" s="252"/>
      <c r="I81" s="254">
        <f>+Linkin!H81</f>
        <v>404299</v>
      </c>
      <c r="J81" s="87"/>
      <c r="K81" s="152">
        <f t="shared" si="53"/>
        <v>182096</v>
      </c>
      <c r="M81" s="152">
        <f t="shared" si="54"/>
        <v>113365</v>
      </c>
      <c r="N81" s="152"/>
      <c r="O81" s="152">
        <f t="shared" si="55"/>
        <v>31657</v>
      </c>
      <c r="P81" s="152"/>
      <c r="Q81" s="152">
        <f t="shared" si="56"/>
        <v>36266</v>
      </c>
      <c r="R81" s="152"/>
      <c r="S81" s="151">
        <f t="shared" si="57"/>
        <v>23449</v>
      </c>
      <c r="T81" s="151"/>
      <c r="U81" s="151">
        <f t="shared" si="58"/>
        <v>17466</v>
      </c>
      <c r="W81" s="152">
        <f t="shared" si="59"/>
        <v>0</v>
      </c>
      <c r="X81" s="152"/>
      <c r="Y81" s="152">
        <f t="shared" si="60"/>
        <v>0</v>
      </c>
      <c r="Z81" s="151"/>
      <c r="AA81" s="151">
        <f t="shared" si="61"/>
        <v>0</v>
      </c>
      <c r="AB81" s="151"/>
      <c r="AC81" s="151">
        <f t="shared" si="62"/>
        <v>0</v>
      </c>
      <c r="AE81" s="151">
        <f t="shared" si="63"/>
        <v>0</v>
      </c>
      <c r="AG81" s="151">
        <f t="shared" si="64"/>
        <v>0</v>
      </c>
      <c r="AH81" s="152"/>
      <c r="AI81" s="153">
        <f t="shared" si="36"/>
        <v>0</v>
      </c>
    </row>
    <row r="82" spans="1:39" s="47" customFormat="1">
      <c r="A82" s="151">
        <f>+Linkin!H82</f>
        <v>17616097</v>
      </c>
      <c r="B82" s="145">
        <f>SUM(I82:I83)</f>
        <v>17616097</v>
      </c>
      <c r="C82" s="253">
        <v>887</v>
      </c>
      <c r="D82" s="216"/>
      <c r="E82" s="252" t="s">
        <v>390</v>
      </c>
      <c r="F82" s="252"/>
      <c r="G82" s="376">
        <v>5</v>
      </c>
      <c r="H82" s="252"/>
      <c r="I82" s="254">
        <f>ROUND(+Linkin!H82*B67,0)</f>
        <v>6257238</v>
      </c>
      <c r="J82" s="252"/>
      <c r="K82" s="152">
        <f t="shared" si="53"/>
        <v>2992837</v>
      </c>
      <c r="L82" s="147"/>
      <c r="M82" s="152">
        <f t="shared" si="54"/>
        <v>1862780</v>
      </c>
      <c r="N82" s="152"/>
      <c r="O82" s="152">
        <f t="shared" si="55"/>
        <v>519976</v>
      </c>
      <c r="P82" s="152"/>
      <c r="Q82" s="152">
        <f t="shared" si="56"/>
        <v>596315</v>
      </c>
      <c r="R82" s="152"/>
      <c r="S82" s="151">
        <f t="shared" si="57"/>
        <v>0</v>
      </c>
      <c r="T82" s="151"/>
      <c r="U82" s="151">
        <f t="shared" si="58"/>
        <v>285330</v>
      </c>
      <c r="V82" s="147"/>
      <c r="W82" s="152">
        <f t="shared" si="59"/>
        <v>0</v>
      </c>
      <c r="X82" s="152"/>
      <c r="Y82" s="152">
        <f t="shared" si="60"/>
        <v>0</v>
      </c>
      <c r="Z82" s="151"/>
      <c r="AA82" s="151">
        <f t="shared" si="61"/>
        <v>0</v>
      </c>
      <c r="AB82" s="151"/>
      <c r="AC82" s="151">
        <f t="shared" si="62"/>
        <v>0</v>
      </c>
      <c r="AD82" s="147"/>
      <c r="AE82" s="151">
        <f t="shared" si="63"/>
        <v>0</v>
      </c>
      <c r="AF82" s="147"/>
      <c r="AG82" s="151">
        <f t="shared" si="64"/>
        <v>0</v>
      </c>
      <c r="AH82" s="152"/>
      <c r="AI82" s="153">
        <f t="shared" si="36"/>
        <v>0</v>
      </c>
      <c r="AJ82" s="147"/>
      <c r="AK82" s="147"/>
    </row>
    <row r="83" spans="1:39" s="47" customFormat="1">
      <c r="A83" s="150"/>
      <c r="C83" s="253"/>
      <c r="D83" s="216"/>
      <c r="E83" s="252" t="s">
        <v>391</v>
      </c>
      <c r="F83" s="252"/>
      <c r="G83" s="376">
        <v>17</v>
      </c>
      <c r="H83" s="252"/>
      <c r="I83" s="254">
        <f>ROUND(+Linkin!H82*B68,0)</f>
        <v>11358859</v>
      </c>
      <c r="J83" s="252"/>
      <c r="K83" s="152">
        <f t="shared" si="53"/>
        <v>4958142</v>
      </c>
      <c r="L83" s="147"/>
      <c r="M83" s="152">
        <f t="shared" si="54"/>
        <v>3085066</v>
      </c>
      <c r="N83" s="152"/>
      <c r="O83" s="152">
        <f t="shared" si="55"/>
        <v>861002</v>
      </c>
      <c r="P83" s="152"/>
      <c r="Q83" s="152">
        <f t="shared" si="56"/>
        <v>988221</v>
      </c>
      <c r="R83" s="152"/>
      <c r="S83" s="151">
        <f t="shared" si="57"/>
        <v>989357</v>
      </c>
      <c r="T83" s="151"/>
      <c r="U83" s="151">
        <f t="shared" si="58"/>
        <v>477072</v>
      </c>
      <c r="V83" s="147"/>
      <c r="W83" s="152">
        <f t="shared" si="59"/>
        <v>0</v>
      </c>
      <c r="X83" s="152"/>
      <c r="Y83" s="152">
        <f t="shared" si="60"/>
        <v>0</v>
      </c>
      <c r="Z83" s="151"/>
      <c r="AA83" s="151">
        <f t="shared" si="61"/>
        <v>0</v>
      </c>
      <c r="AB83" s="151"/>
      <c r="AC83" s="151">
        <f t="shared" si="62"/>
        <v>0</v>
      </c>
      <c r="AD83" s="147"/>
      <c r="AE83" s="151">
        <f t="shared" si="63"/>
        <v>0</v>
      </c>
      <c r="AF83" s="147"/>
      <c r="AG83" s="151">
        <f t="shared" si="64"/>
        <v>0</v>
      </c>
      <c r="AH83" s="152"/>
      <c r="AI83" s="153">
        <f t="shared" si="36"/>
        <v>1</v>
      </c>
      <c r="AJ83" s="147"/>
      <c r="AK83" s="147"/>
    </row>
    <row r="84" spans="1:39" s="47" customFormat="1">
      <c r="A84" s="150"/>
      <c r="C84" s="253">
        <v>888</v>
      </c>
      <c r="D84" s="216"/>
      <c r="E84" s="252" t="s">
        <v>408</v>
      </c>
      <c r="F84" s="252"/>
      <c r="G84" s="376">
        <v>4</v>
      </c>
      <c r="H84" s="252"/>
      <c r="I84" s="254">
        <f>+Linkin!H83</f>
        <v>59000</v>
      </c>
      <c r="J84" s="87"/>
      <c r="K84" s="152">
        <f t="shared" si="53"/>
        <v>28220</v>
      </c>
      <c r="L84" s="147"/>
      <c r="M84" s="152">
        <f t="shared" si="54"/>
        <v>17564</v>
      </c>
      <c r="N84" s="152"/>
      <c r="O84" s="152">
        <f t="shared" si="55"/>
        <v>4903</v>
      </c>
      <c r="P84" s="152"/>
      <c r="Q84" s="152">
        <f t="shared" si="56"/>
        <v>5623</v>
      </c>
      <c r="R84" s="152"/>
      <c r="S84" s="151">
        <f t="shared" si="57"/>
        <v>0</v>
      </c>
      <c r="T84" s="151"/>
      <c r="U84" s="151">
        <f t="shared" si="58"/>
        <v>2690</v>
      </c>
      <c r="V84" s="147"/>
      <c r="W84" s="152">
        <f t="shared" si="59"/>
        <v>0</v>
      </c>
      <c r="X84" s="152"/>
      <c r="Y84" s="152">
        <f t="shared" si="60"/>
        <v>0</v>
      </c>
      <c r="Z84" s="151"/>
      <c r="AA84" s="151">
        <f t="shared" si="61"/>
        <v>0</v>
      </c>
      <c r="AB84" s="151"/>
      <c r="AC84" s="151">
        <f t="shared" si="62"/>
        <v>0</v>
      </c>
      <c r="AD84" s="147"/>
      <c r="AE84" s="151">
        <f t="shared" si="63"/>
        <v>0</v>
      </c>
      <c r="AF84" s="147"/>
      <c r="AG84" s="151">
        <f t="shared" si="64"/>
        <v>0</v>
      </c>
      <c r="AH84" s="152"/>
      <c r="AI84" s="153">
        <f t="shared" si="36"/>
        <v>0</v>
      </c>
      <c r="AJ84" s="147"/>
      <c r="AK84" s="147"/>
    </row>
    <row r="85" spans="1:39">
      <c r="C85" s="155">
        <v>889</v>
      </c>
      <c r="E85" s="252" t="s">
        <v>115</v>
      </c>
      <c r="F85" s="252"/>
      <c r="G85" s="376" t="s">
        <v>450</v>
      </c>
      <c r="H85" s="252"/>
      <c r="I85" s="254">
        <f>+Linkin!H84</f>
        <v>1577803</v>
      </c>
      <c r="J85" s="87"/>
      <c r="K85" s="152">
        <f t="shared" si="53"/>
        <v>484701</v>
      </c>
      <c r="M85" s="152">
        <f t="shared" si="54"/>
        <v>302149</v>
      </c>
      <c r="N85" s="152"/>
      <c r="O85" s="152">
        <f t="shared" si="55"/>
        <v>82046</v>
      </c>
      <c r="P85" s="152"/>
      <c r="Q85" s="152">
        <f t="shared" si="56"/>
        <v>80941</v>
      </c>
      <c r="R85" s="152"/>
      <c r="S85" s="151">
        <f t="shared" si="57"/>
        <v>503635</v>
      </c>
      <c r="T85" s="151"/>
      <c r="U85" s="151">
        <f t="shared" si="58"/>
        <v>124331</v>
      </c>
      <c r="W85" s="152">
        <f t="shared" si="59"/>
        <v>0</v>
      </c>
      <c r="X85" s="152"/>
      <c r="Y85" s="152">
        <f t="shared" si="60"/>
        <v>0</v>
      </c>
      <c r="Z85" s="151"/>
      <c r="AA85" s="151">
        <f t="shared" si="61"/>
        <v>0</v>
      </c>
      <c r="AB85" s="151"/>
      <c r="AC85" s="151">
        <f t="shared" si="62"/>
        <v>0</v>
      </c>
      <c r="AE85" s="151">
        <f t="shared" si="63"/>
        <v>0</v>
      </c>
      <c r="AG85" s="151">
        <f t="shared" si="64"/>
        <v>0</v>
      </c>
      <c r="AH85" s="152"/>
      <c r="AI85" s="153">
        <f t="shared" si="36"/>
        <v>0</v>
      </c>
    </row>
    <row r="86" spans="1:39" s="47" customFormat="1">
      <c r="A86" s="147"/>
      <c r="B86" s="147"/>
      <c r="C86" s="155">
        <v>890</v>
      </c>
      <c r="D86" s="147"/>
      <c r="E86" s="216" t="s">
        <v>304</v>
      </c>
      <c r="F86" s="216"/>
      <c r="G86" s="253" t="s">
        <v>322</v>
      </c>
      <c r="H86" s="216"/>
      <c r="I86" s="254">
        <f>+Linkin!H85</f>
        <v>314487</v>
      </c>
      <c r="J86" s="87"/>
      <c r="K86" s="152">
        <f t="shared" si="53"/>
        <v>0</v>
      </c>
      <c r="L86" s="147"/>
      <c r="M86" s="152">
        <f t="shared" si="54"/>
        <v>0</v>
      </c>
      <c r="N86" s="152"/>
      <c r="O86" s="152">
        <f t="shared" si="55"/>
        <v>0</v>
      </c>
      <c r="P86" s="152"/>
      <c r="Q86" s="152">
        <f t="shared" si="56"/>
        <v>0</v>
      </c>
      <c r="R86" s="152"/>
      <c r="S86" s="151">
        <f t="shared" si="57"/>
        <v>0</v>
      </c>
      <c r="T86" s="151"/>
      <c r="U86" s="151">
        <f t="shared" si="58"/>
        <v>0</v>
      </c>
      <c r="V86" s="147"/>
      <c r="W86" s="152">
        <f t="shared" si="59"/>
        <v>0</v>
      </c>
      <c r="X86" s="152"/>
      <c r="Y86" s="152">
        <f t="shared" si="60"/>
        <v>0</v>
      </c>
      <c r="Z86" s="151"/>
      <c r="AA86" s="151">
        <f t="shared" si="61"/>
        <v>155074</v>
      </c>
      <c r="AB86" s="151"/>
      <c r="AC86" s="151">
        <f t="shared" si="62"/>
        <v>89849</v>
      </c>
      <c r="AD86" s="147"/>
      <c r="AE86" s="151">
        <f t="shared" si="63"/>
        <v>17014</v>
      </c>
      <c r="AF86" s="147"/>
      <c r="AG86" s="151">
        <f t="shared" si="64"/>
        <v>52551</v>
      </c>
      <c r="AH86" s="152"/>
      <c r="AI86" s="153">
        <f t="shared" si="36"/>
        <v>1</v>
      </c>
      <c r="AJ86" s="147"/>
      <c r="AK86" s="147"/>
    </row>
    <row r="87" spans="1:39" s="47" customFormat="1">
      <c r="A87" s="147"/>
      <c r="B87" s="147"/>
      <c r="C87" s="155">
        <v>891</v>
      </c>
      <c r="D87" s="147"/>
      <c r="E87" s="216" t="s">
        <v>305</v>
      </c>
      <c r="F87" s="216"/>
      <c r="G87" s="376" t="s">
        <v>450</v>
      </c>
      <c r="H87" s="216"/>
      <c r="I87" s="254">
        <f>+Linkin!H86</f>
        <v>775272</v>
      </c>
      <c r="J87" s="87"/>
      <c r="K87" s="152">
        <f t="shared" si="53"/>
        <v>238164</v>
      </c>
      <c r="L87" s="147"/>
      <c r="M87" s="152">
        <f t="shared" si="54"/>
        <v>148465</v>
      </c>
      <c r="N87" s="152"/>
      <c r="O87" s="152">
        <f t="shared" si="55"/>
        <v>40314</v>
      </c>
      <c r="P87" s="152"/>
      <c r="Q87" s="152">
        <f t="shared" si="56"/>
        <v>39771</v>
      </c>
      <c r="R87" s="152"/>
      <c r="S87" s="151">
        <f t="shared" si="57"/>
        <v>247467</v>
      </c>
      <c r="T87" s="151"/>
      <c r="U87" s="151">
        <f t="shared" si="58"/>
        <v>61091</v>
      </c>
      <c r="V87" s="147"/>
      <c r="W87" s="152">
        <f t="shared" si="59"/>
        <v>0</v>
      </c>
      <c r="X87" s="152"/>
      <c r="Y87" s="152">
        <f t="shared" si="60"/>
        <v>0</v>
      </c>
      <c r="Z87" s="151"/>
      <c r="AA87" s="151">
        <f t="shared" si="61"/>
        <v>0</v>
      </c>
      <c r="AB87" s="151"/>
      <c r="AC87" s="151">
        <f t="shared" si="62"/>
        <v>0</v>
      </c>
      <c r="AD87" s="147"/>
      <c r="AE87" s="151">
        <f t="shared" si="63"/>
        <v>0</v>
      </c>
      <c r="AF87" s="147"/>
      <c r="AG87" s="151">
        <f t="shared" si="64"/>
        <v>0</v>
      </c>
      <c r="AH87" s="152"/>
      <c r="AI87" s="153">
        <f t="shared" si="36"/>
        <v>0</v>
      </c>
      <c r="AJ87" s="147"/>
      <c r="AK87" s="147"/>
    </row>
    <row r="88" spans="1:39" s="29" customFormat="1">
      <c r="A88" s="148"/>
      <c r="B88" s="148"/>
      <c r="C88" s="160">
        <v>892</v>
      </c>
      <c r="D88" s="148"/>
      <c r="E88" s="239" t="s">
        <v>118</v>
      </c>
      <c r="F88" s="239"/>
      <c r="G88" s="378" t="s">
        <v>395</v>
      </c>
      <c r="H88" s="239"/>
      <c r="I88" s="254">
        <f>+Linkin!H87</f>
        <v>1889875</v>
      </c>
      <c r="J88" s="259"/>
      <c r="K88" s="152">
        <f t="shared" si="53"/>
        <v>0</v>
      </c>
      <c r="L88" s="147"/>
      <c r="M88" s="152">
        <f t="shared" si="54"/>
        <v>0</v>
      </c>
      <c r="N88" s="152"/>
      <c r="O88" s="152">
        <f t="shared" si="55"/>
        <v>0</v>
      </c>
      <c r="P88" s="152"/>
      <c r="Q88" s="152">
        <f t="shared" si="56"/>
        <v>0</v>
      </c>
      <c r="R88" s="152"/>
      <c r="S88" s="151">
        <f t="shared" si="57"/>
        <v>0</v>
      </c>
      <c r="T88" s="151"/>
      <c r="U88" s="151">
        <f t="shared" si="58"/>
        <v>0</v>
      </c>
      <c r="V88" s="147"/>
      <c r="W88" s="152">
        <f t="shared" si="59"/>
        <v>1649483</v>
      </c>
      <c r="X88" s="152"/>
      <c r="Y88" s="152">
        <f t="shared" si="60"/>
        <v>223761</v>
      </c>
      <c r="Z88" s="151"/>
      <c r="AA88" s="151">
        <f t="shared" si="61"/>
        <v>8882</v>
      </c>
      <c r="AB88" s="151"/>
      <c r="AC88" s="151">
        <f t="shared" si="62"/>
        <v>4347</v>
      </c>
      <c r="AD88" s="147"/>
      <c r="AE88" s="151">
        <f t="shared" si="63"/>
        <v>567</v>
      </c>
      <c r="AF88" s="147"/>
      <c r="AG88" s="151">
        <f t="shared" si="64"/>
        <v>2835</v>
      </c>
      <c r="AH88" s="158"/>
      <c r="AI88" s="153">
        <f t="shared" si="36"/>
        <v>0</v>
      </c>
      <c r="AJ88" s="148"/>
      <c r="AK88" s="148"/>
    </row>
    <row r="89" spans="1:39" s="29" customFormat="1">
      <c r="A89" s="148"/>
      <c r="B89" s="148"/>
      <c r="C89" s="160">
        <v>893</v>
      </c>
      <c r="D89" s="148"/>
      <c r="E89" s="239" t="s">
        <v>119</v>
      </c>
      <c r="F89" s="239"/>
      <c r="G89" s="378">
        <v>6</v>
      </c>
      <c r="H89" s="239"/>
      <c r="I89" s="254">
        <f>+Linkin!H88</f>
        <v>1144888</v>
      </c>
      <c r="J89" s="148"/>
      <c r="K89" s="152">
        <f t="shared" si="53"/>
        <v>0</v>
      </c>
      <c r="L89" s="147"/>
      <c r="M89" s="152">
        <f t="shared" si="54"/>
        <v>0</v>
      </c>
      <c r="N89" s="152"/>
      <c r="O89" s="152">
        <f t="shared" si="55"/>
        <v>0</v>
      </c>
      <c r="P89" s="152"/>
      <c r="Q89" s="152">
        <f t="shared" si="56"/>
        <v>0</v>
      </c>
      <c r="R89" s="152"/>
      <c r="S89" s="151">
        <f t="shared" si="57"/>
        <v>0</v>
      </c>
      <c r="T89" s="151"/>
      <c r="U89" s="151">
        <f t="shared" si="58"/>
        <v>0</v>
      </c>
      <c r="V89" s="147"/>
      <c r="W89" s="152">
        <f t="shared" si="59"/>
        <v>489211</v>
      </c>
      <c r="X89" s="152"/>
      <c r="Y89" s="152">
        <f t="shared" si="60"/>
        <v>480166</v>
      </c>
      <c r="Z89" s="151"/>
      <c r="AA89" s="151">
        <f t="shared" si="61"/>
        <v>86554</v>
      </c>
      <c r="AB89" s="151"/>
      <c r="AC89" s="151">
        <f t="shared" si="62"/>
        <v>50146</v>
      </c>
      <c r="AD89" s="147"/>
      <c r="AE89" s="151">
        <f t="shared" si="63"/>
        <v>9503</v>
      </c>
      <c r="AF89" s="147"/>
      <c r="AG89" s="151">
        <f t="shared" si="64"/>
        <v>29309</v>
      </c>
      <c r="AH89" s="148"/>
      <c r="AI89" s="153">
        <f t="shared" si="36"/>
        <v>1</v>
      </c>
      <c r="AJ89" s="148"/>
      <c r="AK89" s="148"/>
    </row>
    <row r="90" spans="1:39" s="99" customFormat="1">
      <c r="A90" s="148"/>
      <c r="B90" s="148"/>
      <c r="C90" s="160">
        <v>894</v>
      </c>
      <c r="D90" s="148"/>
      <c r="E90" s="239" t="s">
        <v>62</v>
      </c>
      <c r="F90" s="239"/>
      <c r="G90" s="378">
        <v>11</v>
      </c>
      <c r="H90" s="239"/>
      <c r="I90" s="254">
        <f>+Linkin!H89</f>
        <v>597777</v>
      </c>
      <c r="J90" s="148"/>
      <c r="K90" s="152">
        <f t="shared" si="53"/>
        <v>223270</v>
      </c>
      <c r="L90" s="147"/>
      <c r="M90" s="152">
        <f t="shared" si="54"/>
        <v>138983</v>
      </c>
      <c r="N90" s="152"/>
      <c r="O90" s="152">
        <f t="shared" si="55"/>
        <v>38736</v>
      </c>
      <c r="P90" s="152"/>
      <c r="Q90" s="152">
        <f t="shared" si="56"/>
        <v>43937</v>
      </c>
      <c r="R90" s="152"/>
      <c r="S90" s="151">
        <f t="shared" si="57"/>
        <v>44355</v>
      </c>
      <c r="T90" s="151"/>
      <c r="U90" s="151">
        <f t="shared" si="58"/>
        <v>24330</v>
      </c>
      <c r="V90" s="147"/>
      <c r="W90" s="152">
        <f t="shared" si="59"/>
        <v>53740</v>
      </c>
      <c r="X90" s="152"/>
      <c r="Y90" s="152">
        <f t="shared" si="60"/>
        <v>17694</v>
      </c>
      <c r="Z90" s="151"/>
      <c r="AA90" s="151">
        <f t="shared" si="61"/>
        <v>6277</v>
      </c>
      <c r="AB90" s="151"/>
      <c r="AC90" s="151">
        <f t="shared" si="62"/>
        <v>3646</v>
      </c>
      <c r="AD90" s="147"/>
      <c r="AE90" s="151">
        <f t="shared" si="63"/>
        <v>658</v>
      </c>
      <c r="AF90" s="147"/>
      <c r="AG90" s="151">
        <f t="shared" si="64"/>
        <v>2152</v>
      </c>
      <c r="AH90" s="148"/>
      <c r="AI90" s="153">
        <f t="shared" si="36"/>
        <v>1</v>
      </c>
      <c r="AJ90" s="148"/>
      <c r="AK90" s="148"/>
    </row>
    <row r="91" spans="1:39" s="99" customFormat="1">
      <c r="A91" s="148"/>
      <c r="B91" s="148"/>
      <c r="C91" s="378">
        <v>895</v>
      </c>
      <c r="D91" s="239"/>
      <c r="E91" s="239" t="s">
        <v>409</v>
      </c>
      <c r="F91" s="239"/>
      <c r="G91" s="378">
        <v>11</v>
      </c>
      <c r="H91" s="239"/>
      <c r="I91" s="254">
        <f>+Linkin!H90</f>
        <v>0</v>
      </c>
      <c r="J91" s="148"/>
      <c r="K91" s="152">
        <f t="shared" si="53"/>
        <v>0</v>
      </c>
      <c r="L91" s="147"/>
      <c r="M91" s="152">
        <f t="shared" si="54"/>
        <v>0</v>
      </c>
      <c r="N91" s="152"/>
      <c r="O91" s="152">
        <f t="shared" si="55"/>
        <v>0</v>
      </c>
      <c r="P91" s="152"/>
      <c r="Q91" s="152">
        <f t="shared" si="56"/>
        <v>0</v>
      </c>
      <c r="R91" s="152"/>
      <c r="S91" s="151">
        <f t="shared" si="57"/>
        <v>0</v>
      </c>
      <c r="T91" s="151"/>
      <c r="U91" s="151">
        <f t="shared" si="58"/>
        <v>0</v>
      </c>
      <c r="V91" s="147"/>
      <c r="W91" s="152">
        <f t="shared" si="59"/>
        <v>0</v>
      </c>
      <c r="X91" s="152"/>
      <c r="Y91" s="152">
        <f t="shared" si="60"/>
        <v>0</v>
      </c>
      <c r="Z91" s="151"/>
      <c r="AA91" s="151">
        <f t="shared" si="61"/>
        <v>0</v>
      </c>
      <c r="AB91" s="151"/>
      <c r="AC91" s="151">
        <f t="shared" si="62"/>
        <v>0</v>
      </c>
      <c r="AD91" s="147"/>
      <c r="AE91" s="151">
        <f t="shared" si="63"/>
        <v>0</v>
      </c>
      <c r="AF91" s="147"/>
      <c r="AG91" s="151">
        <f t="shared" si="64"/>
        <v>0</v>
      </c>
      <c r="AH91" s="147"/>
      <c r="AI91" s="153">
        <f t="shared" si="36"/>
        <v>0</v>
      </c>
      <c r="AJ91" s="147"/>
      <c r="AK91" s="147"/>
      <c r="AL91" s="47"/>
      <c r="AM91" s="47"/>
    </row>
    <row r="92" spans="1:39">
      <c r="C92" s="147" t="s">
        <v>213</v>
      </c>
      <c r="E92" s="216" t="s">
        <v>216</v>
      </c>
      <c r="F92" s="216"/>
      <c r="G92" s="253"/>
      <c r="H92" s="216"/>
      <c r="I92" s="761">
        <f>SUM(I80:I91)</f>
        <v>28154564</v>
      </c>
      <c r="K92" s="261">
        <f t="shared" ref="K92" si="65">SUM(K80:K91)</f>
        <v>10517417</v>
      </c>
      <c r="M92" s="261">
        <f t="shared" ref="M92" si="66">SUM(M80:M91)</f>
        <v>6546075</v>
      </c>
      <c r="O92" s="261">
        <f t="shared" ref="O92" si="67">SUM(O80:O91)</f>
        <v>1823258</v>
      </c>
      <c r="Q92" s="261">
        <f t="shared" ref="Q92" si="68">SUM(Q80:Q91)</f>
        <v>2068541</v>
      </c>
      <c r="S92" s="261">
        <f t="shared" ref="S92:U92" si="69">SUM(S80:S91)</f>
        <v>2088373</v>
      </c>
      <c r="T92" s="159"/>
      <c r="U92" s="261">
        <f t="shared" si="69"/>
        <v>1145955</v>
      </c>
      <c r="W92" s="261">
        <f t="shared" ref="W92" si="70">SUM(W80:W91)</f>
        <v>2531812</v>
      </c>
      <c r="Y92" s="261">
        <f t="shared" ref="Y92" si="71">SUM(Y80:Y91)</f>
        <v>833363</v>
      </c>
      <c r="AA92" s="261">
        <f t="shared" ref="AA92" si="72">SUM(AA80:AA91)</f>
        <v>296425</v>
      </c>
      <c r="AC92" s="261">
        <f t="shared" ref="AC92:AG92" si="73">SUM(AC80:AC91)</f>
        <v>171016</v>
      </c>
      <c r="AE92" s="261">
        <f t="shared" si="73"/>
        <v>31895</v>
      </c>
      <c r="AG92" s="261">
        <f t="shared" si="73"/>
        <v>100437</v>
      </c>
      <c r="AI92" s="153">
        <f t="shared" si="36"/>
        <v>3</v>
      </c>
    </row>
    <row r="93" spans="1:39">
      <c r="E93" s="216"/>
      <c r="F93" s="216"/>
      <c r="G93" s="253"/>
      <c r="H93" s="216"/>
      <c r="I93" s="454"/>
      <c r="K93" s="151"/>
      <c r="M93" s="151"/>
      <c r="O93" s="151"/>
      <c r="P93" s="151"/>
      <c r="Q93" s="151"/>
      <c r="S93" s="151"/>
      <c r="T93" s="151"/>
      <c r="U93" s="151"/>
      <c r="W93" s="151"/>
      <c r="Y93" s="151"/>
      <c r="Z93" s="151"/>
      <c r="AA93" s="151"/>
      <c r="AB93" s="151"/>
      <c r="AC93" s="151"/>
      <c r="AE93" s="151"/>
      <c r="AG93" s="151"/>
      <c r="AI93" s="153">
        <f t="shared" si="36"/>
        <v>0</v>
      </c>
    </row>
    <row r="94" spans="1:39" ht="15.75">
      <c r="E94" s="443" t="s">
        <v>226</v>
      </c>
      <c r="F94" s="443"/>
      <c r="G94" s="444"/>
      <c r="H94" s="443"/>
      <c r="I94" s="445">
        <f>+I92+I77</f>
        <v>84552683.84910278</v>
      </c>
      <c r="J94" s="27"/>
      <c r="K94" s="39">
        <f>+K92+K77</f>
        <v>21817849</v>
      </c>
      <c r="L94" s="27"/>
      <c r="M94" s="39">
        <f>+M92+M77</f>
        <v>13579871</v>
      </c>
      <c r="N94" s="27"/>
      <c r="O94" s="39">
        <f>+O92+O77</f>
        <v>3774842</v>
      </c>
      <c r="P94" s="48"/>
      <c r="Q94" s="39">
        <f>+Q92+Q77</f>
        <v>4240490</v>
      </c>
      <c r="R94" s="27"/>
      <c r="S94" s="39">
        <f>+S92+S77</f>
        <v>5748550</v>
      </c>
      <c r="T94" s="48"/>
      <c r="U94" s="39">
        <f>+U92+U77</f>
        <v>2624716</v>
      </c>
      <c r="V94" s="27"/>
      <c r="W94" s="39">
        <f>+W92+W77</f>
        <v>22738463</v>
      </c>
      <c r="X94" s="27"/>
      <c r="Y94" s="39">
        <f>+Y92+Y77</f>
        <v>7289860</v>
      </c>
      <c r="Z94" s="27"/>
      <c r="AA94" s="39">
        <f>+AA92+AA77</f>
        <v>1357309</v>
      </c>
      <c r="AB94" s="48"/>
      <c r="AC94" s="39">
        <f>+AC92+AC77</f>
        <v>778837</v>
      </c>
      <c r="AD94" s="27"/>
      <c r="AE94" s="39">
        <f t="shared" ref="AE94" si="74">+AE92+AE77</f>
        <v>144547</v>
      </c>
      <c r="AF94" s="27"/>
      <c r="AG94" s="39">
        <f t="shared" ref="AG94" si="75">+AG92+AG77</f>
        <v>457347</v>
      </c>
      <c r="AH94" s="27"/>
      <c r="AI94" s="153">
        <f t="shared" si="36"/>
        <v>-2.8491027802228928</v>
      </c>
    </row>
    <row r="95" spans="1:39" ht="19.5" customHeight="1">
      <c r="E95" s="216"/>
      <c r="F95" s="216"/>
      <c r="G95" s="253"/>
      <c r="H95" s="216"/>
      <c r="I95" s="454"/>
      <c r="S95" s="151"/>
      <c r="T95" s="151"/>
      <c r="U95" s="151"/>
      <c r="AA95" s="151"/>
      <c r="AB95" s="151"/>
      <c r="AC95" s="151"/>
      <c r="AE95" s="151"/>
      <c r="AG95" s="151"/>
      <c r="AI95" s="153">
        <f t="shared" si="36"/>
        <v>0</v>
      </c>
    </row>
    <row r="96" spans="1:39" ht="15.75">
      <c r="C96" s="27" t="s">
        <v>227</v>
      </c>
      <c r="E96" s="216"/>
      <c r="F96" s="216"/>
      <c r="G96" s="253"/>
      <c r="H96" s="216"/>
      <c r="I96" s="454"/>
      <c r="AI96" s="153">
        <f t="shared" si="36"/>
        <v>0</v>
      </c>
    </row>
    <row r="97" spans="1:37" ht="3" customHeight="1">
      <c r="C97" s="147" t="s">
        <v>213</v>
      </c>
      <c r="E97" s="216" t="s">
        <v>214</v>
      </c>
      <c r="F97" s="216"/>
      <c r="G97" s="253"/>
      <c r="H97" s="216"/>
      <c r="I97" s="454"/>
      <c r="AI97" s="153">
        <f t="shared" ref="AI97:AI129" si="76">SUM(K97:AG97)-I97</f>
        <v>0</v>
      </c>
    </row>
    <row r="98" spans="1:37">
      <c r="C98" s="147" t="s">
        <v>213</v>
      </c>
      <c r="E98" s="442" t="s">
        <v>202</v>
      </c>
      <c r="F98" s="216"/>
      <c r="G98" s="253"/>
      <c r="H98" s="216"/>
      <c r="I98" s="454"/>
      <c r="AI98" s="153">
        <f t="shared" si="76"/>
        <v>0</v>
      </c>
    </row>
    <row r="99" spans="1:37" s="47" customFormat="1">
      <c r="A99" s="147"/>
      <c r="B99" s="147"/>
      <c r="C99" s="155">
        <v>901</v>
      </c>
      <c r="D99" s="147"/>
      <c r="E99" s="216" t="s">
        <v>164</v>
      </c>
      <c r="F99" s="216"/>
      <c r="G99" s="253">
        <v>7</v>
      </c>
      <c r="H99" s="216"/>
      <c r="I99" s="254">
        <f>+Linkin!H96</f>
        <v>430000</v>
      </c>
      <c r="J99" s="147"/>
      <c r="K99" s="152">
        <f>ROUND(VLOOKUP($G99,factors,+K$375,FALSE)*$I99,0)</f>
        <v>0</v>
      </c>
      <c r="L99" s="147"/>
      <c r="M99" s="151">
        <f>ROUND(VLOOKUP($G99,factors,+M$375,FALSE)*$I99,0)</f>
        <v>0</v>
      </c>
      <c r="N99" s="152"/>
      <c r="O99" s="151">
        <f>ROUND(VLOOKUP($G99,factors,+O$375,FALSE)*$I99,0)</f>
        <v>0</v>
      </c>
      <c r="P99" s="151"/>
      <c r="Q99" s="151">
        <f>ROUND(VLOOKUP($G99,factors,+Q$375,FALSE)*$I99,0)</f>
        <v>0</v>
      </c>
      <c r="R99" s="152"/>
      <c r="S99" s="151">
        <f>ROUND(VLOOKUP($G99,factors,+S$375,FALSE)*$I99,0)</f>
        <v>0</v>
      </c>
      <c r="T99" s="151"/>
      <c r="U99" s="151">
        <f>ROUND(VLOOKUP($G99,factors,+U$375,FALSE)*$I99,0)</f>
        <v>0</v>
      </c>
      <c r="V99" s="151"/>
      <c r="W99" s="151">
        <f>ROUND(VLOOKUP($G99,factors,+W$375,FALSE)*$I99,0)</f>
        <v>383818</v>
      </c>
      <c r="X99" s="151"/>
      <c r="Y99" s="151">
        <f>ROUND(VLOOKUP($G99,factors,+Y$375,FALSE)*$I99,0)</f>
        <v>44548</v>
      </c>
      <c r="Z99" s="151"/>
      <c r="AA99" s="151">
        <f>ROUND(VLOOKUP($G99,factors,+AA$375,FALSE)*$I99,0)</f>
        <v>989</v>
      </c>
      <c r="AB99" s="151"/>
      <c r="AC99" s="151">
        <f>ROUND(VLOOKUP($G99,factors,+AC$375,FALSE)*$I99,0)</f>
        <v>344</v>
      </c>
      <c r="AD99" s="151"/>
      <c r="AE99" s="151">
        <f>ROUND(VLOOKUP($G99,factors,+AE$375,FALSE)*$I99,0)</f>
        <v>43</v>
      </c>
      <c r="AF99" s="151"/>
      <c r="AG99" s="151">
        <f>ROUND(VLOOKUP($G99,factors,+AG$375,FALSE)*$I99,0)</f>
        <v>258</v>
      </c>
      <c r="AH99" s="147"/>
      <c r="AI99" s="153">
        <f t="shared" si="76"/>
        <v>0</v>
      </c>
      <c r="AJ99" s="147"/>
      <c r="AK99" s="147"/>
    </row>
    <row r="100" spans="1:37">
      <c r="C100" s="155">
        <v>902</v>
      </c>
      <c r="E100" s="216" t="s">
        <v>120</v>
      </c>
      <c r="F100" s="216"/>
      <c r="G100" s="253">
        <v>7</v>
      </c>
      <c r="H100" s="216"/>
      <c r="I100" s="254">
        <f>+Linkin!H97</f>
        <v>2740299</v>
      </c>
      <c r="K100" s="152">
        <f>ROUND(VLOOKUP($G100,factors,+K$375,FALSE)*$I100,0)</f>
        <v>0</v>
      </c>
      <c r="M100" s="151">
        <f>ROUND(VLOOKUP($G100,factors,+M$375,FALSE)*$I100,0)</f>
        <v>0</v>
      </c>
      <c r="N100" s="152"/>
      <c r="O100" s="151">
        <f>ROUND(VLOOKUP($G100,factors,+O$375,FALSE)*$I100,0)</f>
        <v>0</v>
      </c>
      <c r="P100" s="151"/>
      <c r="Q100" s="151">
        <f>ROUND(VLOOKUP($G100,factors,+Q$375,FALSE)*$I100,0)</f>
        <v>0</v>
      </c>
      <c r="R100" s="152"/>
      <c r="S100" s="151">
        <f>ROUND(VLOOKUP($G100,factors,+S$375,FALSE)*$I100,0)</f>
        <v>0</v>
      </c>
      <c r="T100" s="151"/>
      <c r="U100" s="151">
        <f>ROUND(VLOOKUP($G100,factors,+U$375,FALSE)*$I100,0)</f>
        <v>0</v>
      </c>
      <c r="V100" s="151"/>
      <c r="W100" s="151">
        <f>ROUND(VLOOKUP($G100,factors,+W$375,FALSE)*$I100,0)</f>
        <v>2445991</v>
      </c>
      <c r="X100" s="151"/>
      <c r="Y100" s="151">
        <f>ROUND(VLOOKUP($G100,factors,+Y$375,FALSE)*$I100,0)</f>
        <v>283895</v>
      </c>
      <c r="Z100" s="151"/>
      <c r="AA100" s="151">
        <f>ROUND(VLOOKUP($G100,factors,+AA$375,FALSE)*$I100,0)</f>
        <v>6303</v>
      </c>
      <c r="AB100" s="151"/>
      <c r="AC100" s="151">
        <f>ROUND(VLOOKUP($G100,factors,+AC$375,FALSE)*$I100,0)</f>
        <v>2192</v>
      </c>
      <c r="AD100" s="151"/>
      <c r="AE100" s="151">
        <f>ROUND(VLOOKUP($G100,factors,+AE$375,FALSE)*$I100,0)</f>
        <v>274</v>
      </c>
      <c r="AF100" s="151"/>
      <c r="AG100" s="151">
        <f>ROUND(VLOOKUP($G100,factors,+AG$375,FALSE)*$I100,0)</f>
        <v>1644</v>
      </c>
      <c r="AI100" s="153">
        <f t="shared" si="76"/>
        <v>0</v>
      </c>
    </row>
    <row r="101" spans="1:37" s="104" customFormat="1">
      <c r="A101" s="911" t="s">
        <v>547</v>
      </c>
      <c r="B101" s="911" t="s">
        <v>546</v>
      </c>
      <c r="C101" s="253">
        <v>903</v>
      </c>
      <c r="D101" s="216"/>
      <c r="E101" s="216" t="s">
        <v>121</v>
      </c>
      <c r="F101" s="216"/>
      <c r="G101" s="253">
        <v>7</v>
      </c>
      <c r="H101" s="216"/>
      <c r="I101" s="254">
        <f>+Linkin!H98-I102</f>
        <v>20355331</v>
      </c>
      <c r="J101" s="216"/>
      <c r="K101" s="255">
        <f>ROUND(VLOOKUP($G101,factors,+K$375,FALSE)*$I101,0)</f>
        <v>0</v>
      </c>
      <c r="L101" s="216"/>
      <c r="M101" s="274">
        <f>ROUND(VLOOKUP($G101,factors,+M$375,FALSE)*$I101,0)</f>
        <v>0</v>
      </c>
      <c r="N101" s="255"/>
      <c r="O101" s="274">
        <f>ROUND(VLOOKUP($G101,factors,+O$375,FALSE)*$I101,0)</f>
        <v>0</v>
      </c>
      <c r="P101" s="274"/>
      <c r="Q101" s="274">
        <f>ROUND(VLOOKUP($G101,factors,+Q$375,FALSE)*$I101,0)</f>
        <v>0</v>
      </c>
      <c r="R101" s="255"/>
      <c r="S101" s="274">
        <f>ROUND(VLOOKUP($G101,factors,+S$375,FALSE)*$I101,0)</f>
        <v>0</v>
      </c>
      <c r="T101" s="274"/>
      <c r="U101" s="274">
        <f>ROUND(VLOOKUP($G101,factors,+U$375,FALSE)*$I101,0)</f>
        <v>0</v>
      </c>
      <c r="V101" s="274"/>
      <c r="W101" s="274">
        <f>ROUND(VLOOKUP($G101,factors,+W$375,FALSE)*$I101,0)</f>
        <v>18169168</v>
      </c>
      <c r="X101" s="274"/>
      <c r="Y101" s="274">
        <f>ROUND(VLOOKUP($G101,factors,+Y$375,FALSE)*$I101,0)</f>
        <v>2108812</v>
      </c>
      <c r="Z101" s="274"/>
      <c r="AA101" s="274">
        <f>ROUND(VLOOKUP($G101,factors,+AA$375,FALSE)*$I101,0)</f>
        <v>46817</v>
      </c>
      <c r="AB101" s="274"/>
      <c r="AC101" s="274">
        <f>ROUND(VLOOKUP($G101,factors,+AC$375,FALSE)*$I101,0)</f>
        <v>16284</v>
      </c>
      <c r="AD101" s="274"/>
      <c r="AE101" s="274">
        <f>ROUND(VLOOKUP($G101,factors,+AE$375,FALSE)*$I101,0)</f>
        <v>2036</v>
      </c>
      <c r="AF101" s="274"/>
      <c r="AG101" s="274">
        <f>ROUND(VLOOKUP($G101,factors,+AG$375,FALSE)*$I101,0)</f>
        <v>12213</v>
      </c>
      <c r="AH101" s="216"/>
      <c r="AI101" s="275">
        <f t="shared" si="76"/>
        <v>-1</v>
      </c>
      <c r="AJ101" s="216"/>
      <c r="AK101" s="216"/>
    </row>
    <row r="102" spans="1:37" s="104" customFormat="1">
      <c r="A102" s="400"/>
      <c r="B102" s="400"/>
      <c r="C102" s="253">
        <v>903.1</v>
      </c>
      <c r="D102" s="216"/>
      <c r="E102" s="252" t="s">
        <v>604</v>
      </c>
      <c r="F102" s="216"/>
      <c r="G102" s="376" t="s">
        <v>383</v>
      </c>
      <c r="H102" s="216"/>
      <c r="I102" s="254">
        <f>'[2]D-16'!$E$31*1000</f>
        <v>12315000</v>
      </c>
      <c r="J102" s="252"/>
      <c r="K102" s="255">
        <f>+I102</f>
        <v>12315000</v>
      </c>
      <c r="L102" s="252"/>
      <c r="M102" s="274"/>
      <c r="N102" s="255"/>
      <c r="O102" s="274"/>
      <c r="P102" s="274"/>
      <c r="Q102" s="274"/>
      <c r="R102" s="255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16"/>
      <c r="AI102" s="275">
        <f t="shared" si="76"/>
        <v>0</v>
      </c>
      <c r="AJ102" s="216"/>
      <c r="AK102" s="216"/>
    </row>
    <row r="103" spans="1:37" s="104" customFormat="1">
      <c r="A103" s="745">
        <f>'[2]D-1'!$G$28</f>
        <v>12501.685519999999</v>
      </c>
      <c r="B103" s="408">
        <f>'[2]D-1'!$K$28</f>
        <v>13654.243979999999</v>
      </c>
      <c r="C103" s="253">
        <v>904</v>
      </c>
      <c r="D103" s="216"/>
      <c r="E103" s="252" t="s">
        <v>306</v>
      </c>
      <c r="F103" s="252"/>
      <c r="G103" s="376">
        <v>19</v>
      </c>
      <c r="H103" s="252"/>
      <c r="I103" s="254">
        <f>IF(ROR!C2=2,+Alloc!B103*1000,Alloc!A103*1000)</f>
        <v>13654243.979999999</v>
      </c>
      <c r="J103" s="252"/>
      <c r="K103" s="255">
        <f>+'[7]Rate R'!$M$14</f>
        <v>4452150.2604751699</v>
      </c>
      <c r="L103" s="216"/>
      <c r="M103" s="274">
        <f>+'[7]Rate N'!$M$30</f>
        <v>232100.9575407519</v>
      </c>
      <c r="N103" s="255"/>
      <c r="O103" s="274"/>
      <c r="P103" s="274"/>
      <c r="Q103" s="274"/>
      <c r="R103" s="255"/>
      <c r="S103" s="274"/>
      <c r="T103" s="274"/>
      <c r="U103" s="274"/>
      <c r="V103" s="274"/>
      <c r="W103" s="241">
        <f>ROUND(VLOOKUP($G103,factors,+W$375,FALSE)*$I103,0)-K103</f>
        <v>8415609.7395248301</v>
      </c>
      <c r="X103" s="274"/>
      <c r="Y103" s="274">
        <f>ROUND(VLOOKUP($G103,factors,+Y$375,FALSE)*$I103,0)-M103</f>
        <v>402821.0424592481</v>
      </c>
      <c r="Z103" s="274"/>
      <c r="AA103" s="274">
        <f>ROUND(VLOOKUP($G103,factors,+AA$375,FALSE)*$I103,0)-O103</f>
        <v>6827</v>
      </c>
      <c r="AB103" s="274"/>
      <c r="AC103" s="274">
        <f>ROUND(VLOOKUP($G103,factors,+AC$375,FALSE)*$I103,0)-Q103</f>
        <v>30039</v>
      </c>
      <c r="AD103" s="274"/>
      <c r="AE103" s="274">
        <f>ROUND(VLOOKUP($G103,factors,+AE$375,FALSE)*$I103,0)-S103</f>
        <v>99676</v>
      </c>
      <c r="AF103" s="274"/>
      <c r="AG103" s="274">
        <f>ROUND(VLOOKUP($G103,factors,+AG$375,FALSE)*$I103,0)-U103</f>
        <v>15020</v>
      </c>
      <c r="AH103" s="216"/>
      <c r="AI103" s="275">
        <f t="shared" si="76"/>
        <v>2.0000001415610313E-2</v>
      </c>
      <c r="AJ103" s="216"/>
      <c r="AK103" s="216"/>
    </row>
    <row r="104" spans="1:37">
      <c r="C104" s="155">
        <v>905</v>
      </c>
      <c r="E104" s="216" t="s">
        <v>307</v>
      </c>
      <c r="F104" s="216"/>
      <c r="G104" s="253">
        <v>7</v>
      </c>
      <c r="H104" s="216"/>
      <c r="I104" s="254">
        <f>+Linkin!H100</f>
        <v>2053058</v>
      </c>
      <c r="J104" s="148"/>
      <c r="K104" s="157">
        <f>ROUND(VLOOKUP($G104,factors,+K$375,FALSE)*$I104,0)</f>
        <v>0</v>
      </c>
      <c r="L104" s="148"/>
      <c r="M104" s="156">
        <f>ROUND(VLOOKUP($G104,factors,+M$375,FALSE)*$I104,0)</f>
        <v>0</v>
      </c>
      <c r="O104" s="156">
        <f>ROUND(VLOOKUP($G104,factors,+O$375,FALSE)*$I104,0)</f>
        <v>0</v>
      </c>
      <c r="P104" s="159"/>
      <c r="Q104" s="156">
        <f>ROUND(VLOOKUP($G104,factors,+Q$375,FALSE)*$I104,0)</f>
        <v>0</v>
      </c>
      <c r="S104" s="156">
        <f>ROUND(VLOOKUP($G104,factors,+S$375,FALSE)*$I104,0)</f>
        <v>0</v>
      </c>
      <c r="T104" s="159"/>
      <c r="U104" s="156">
        <f>ROUND(VLOOKUP($G104,factors,+U$375,FALSE)*$I104,0)</f>
        <v>0</v>
      </c>
      <c r="V104" s="151"/>
      <c r="W104" s="156">
        <f>ROUND(VLOOKUP($G104,factors,+W$375,FALSE)*$I104,0)</f>
        <v>1832560</v>
      </c>
      <c r="X104" s="151"/>
      <c r="Y104" s="156">
        <f>ROUND(VLOOKUP($G104,factors,+Y$375,FALSE)*$I104,0)</f>
        <v>212697</v>
      </c>
      <c r="Z104" s="151"/>
      <c r="AA104" s="156">
        <f>ROUND(VLOOKUP($G104,factors,+AA$375,FALSE)*$I104,0)</f>
        <v>4722</v>
      </c>
      <c r="AB104" s="159"/>
      <c r="AC104" s="156">
        <f>ROUND(VLOOKUP($G104,factors,+AC$375,FALSE)*$I104,0)</f>
        <v>1642</v>
      </c>
      <c r="AD104" s="151"/>
      <c r="AE104" s="156">
        <f>ROUND(VLOOKUP($G104,factors,+AE$375,FALSE)*$I104,0)</f>
        <v>205</v>
      </c>
      <c r="AF104" s="151"/>
      <c r="AG104" s="156">
        <f>ROUND(VLOOKUP($G104,factors,+AG$375,FALSE)*$I104,0)</f>
        <v>1232</v>
      </c>
      <c r="AI104" s="153">
        <f t="shared" si="76"/>
        <v>0</v>
      </c>
    </row>
    <row r="105" spans="1:37" ht="15.75">
      <c r="E105" s="443" t="s">
        <v>228</v>
      </c>
      <c r="F105" s="443"/>
      <c r="G105" s="444"/>
      <c r="H105" s="443"/>
      <c r="I105" s="448">
        <f>SUM(I99:I104)</f>
        <v>51547931.979999997</v>
      </c>
      <c r="J105" s="27"/>
      <c r="K105" s="39">
        <f>SUM(K99:K104)</f>
        <v>16767150.26047517</v>
      </c>
      <c r="L105" s="27"/>
      <c r="M105" s="39">
        <f>SUM(M99:M104)</f>
        <v>232100.9575407519</v>
      </c>
      <c r="N105" s="27"/>
      <c r="O105" s="39">
        <f>SUM(O99:O104)</f>
        <v>0</v>
      </c>
      <c r="P105" s="48"/>
      <c r="Q105" s="39">
        <f>SUM(Q99:Q104)</f>
        <v>0</v>
      </c>
      <c r="R105" s="27"/>
      <c r="S105" s="39">
        <f>SUM(S99:S104)</f>
        <v>0</v>
      </c>
      <c r="T105" s="48"/>
      <c r="U105" s="39">
        <f>SUM(U99:U104)</f>
        <v>0</v>
      </c>
      <c r="V105" s="27"/>
      <c r="W105" s="39">
        <f>SUM(W99:W104)</f>
        <v>31247146.73952483</v>
      </c>
      <c r="X105" s="27"/>
      <c r="Y105" s="39">
        <f>SUM(Y99:Y104)</f>
        <v>3052773.0424592481</v>
      </c>
      <c r="Z105" s="27"/>
      <c r="AA105" s="39">
        <f>SUM(AA99:AA104)</f>
        <v>65658</v>
      </c>
      <c r="AB105" s="48"/>
      <c r="AC105" s="39">
        <f>SUM(AC99:AC104)</f>
        <v>50501</v>
      </c>
      <c r="AD105" s="27"/>
      <c r="AE105" s="39">
        <f>SUM(AE99:AE104)</f>
        <v>102234</v>
      </c>
      <c r="AF105" s="27"/>
      <c r="AG105" s="39">
        <f>SUM(AG99:AG104)</f>
        <v>30367</v>
      </c>
      <c r="AH105" s="27"/>
      <c r="AI105" s="153">
        <f t="shared" si="76"/>
        <v>-0.97999999672174454</v>
      </c>
    </row>
    <row r="106" spans="1:37" ht="21" customHeight="1">
      <c r="E106" s="216"/>
      <c r="F106" s="216"/>
      <c r="G106" s="253"/>
      <c r="H106" s="216"/>
      <c r="I106" s="454"/>
      <c r="K106" s="151"/>
      <c r="M106" s="151"/>
      <c r="O106" s="151"/>
      <c r="P106" s="151"/>
      <c r="Q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I106" s="153">
        <f t="shared" si="76"/>
        <v>0</v>
      </c>
    </row>
    <row r="107" spans="1:37" ht="15.75">
      <c r="C107" s="27" t="s">
        <v>229</v>
      </c>
      <c r="E107" s="216"/>
      <c r="F107" s="216"/>
      <c r="G107" s="253"/>
      <c r="H107" s="216"/>
      <c r="I107" s="454"/>
      <c r="K107" s="151"/>
      <c r="M107" s="151"/>
      <c r="O107" s="151"/>
      <c r="P107" s="151"/>
      <c r="Q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I107" s="153">
        <f t="shared" si="76"/>
        <v>0</v>
      </c>
    </row>
    <row r="108" spans="1:37" ht="3" customHeight="1">
      <c r="C108" s="147" t="s">
        <v>213</v>
      </c>
      <c r="E108" s="216" t="s">
        <v>214</v>
      </c>
      <c r="F108" s="216"/>
      <c r="G108" s="253"/>
      <c r="H108" s="216"/>
      <c r="I108" s="454"/>
      <c r="K108" s="151"/>
      <c r="M108" s="151"/>
      <c r="O108" s="151"/>
      <c r="P108" s="151"/>
      <c r="Q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I108" s="153">
        <f t="shared" si="76"/>
        <v>0</v>
      </c>
    </row>
    <row r="109" spans="1:37">
      <c r="C109" s="147" t="s">
        <v>213</v>
      </c>
      <c r="E109" s="442" t="s">
        <v>202</v>
      </c>
      <c r="F109" s="216"/>
      <c r="G109" s="253"/>
      <c r="H109" s="216"/>
      <c r="I109" s="454"/>
      <c r="K109" s="151"/>
      <c r="M109" s="151"/>
      <c r="O109" s="151"/>
      <c r="P109" s="151"/>
      <c r="Q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I109" s="153">
        <f t="shared" si="76"/>
        <v>0</v>
      </c>
    </row>
    <row r="110" spans="1:37">
      <c r="C110" s="155">
        <v>907</v>
      </c>
      <c r="E110" s="216" t="s">
        <v>164</v>
      </c>
      <c r="F110" s="216"/>
      <c r="G110" s="253">
        <v>7</v>
      </c>
      <c r="H110" s="216"/>
      <c r="I110" s="254">
        <f>+Linkin!H104</f>
        <v>223679</v>
      </c>
      <c r="K110" s="159">
        <f>ROUND(VLOOKUP($G110,factors,+K$375,FALSE)*$I110,0)</f>
        <v>0</v>
      </c>
      <c r="L110" s="148"/>
      <c r="M110" s="159">
        <f>ROUND(VLOOKUP($G110,factors,+M$375,FALSE)*$I110,0)</f>
        <v>0</v>
      </c>
      <c r="N110" s="158"/>
      <c r="O110" s="159">
        <f>ROUND(VLOOKUP($G110,factors,+O$375,FALSE)*$I110,0)</f>
        <v>0</v>
      </c>
      <c r="P110" s="159"/>
      <c r="Q110" s="159">
        <f>ROUND(VLOOKUP($G110,factors,+Q$375,FALSE)*$I110,0)</f>
        <v>0</v>
      </c>
      <c r="R110" s="794"/>
      <c r="S110" s="159">
        <f>ROUND(VLOOKUP($G110,factors,+S$375,FALSE)*$I110,0)</f>
        <v>0</v>
      </c>
      <c r="T110" s="159"/>
      <c r="U110" s="159">
        <f>ROUND(VLOOKUP($G110,factors,+U$375,FALSE)*$I110,0)</f>
        <v>0</v>
      </c>
      <c r="V110" s="159"/>
      <c r="W110" s="159">
        <f>ROUND(VLOOKUP($G110,factors,+W$375,FALSE)*$I110,0)</f>
        <v>199656</v>
      </c>
      <c r="X110" s="159"/>
      <c r="Y110" s="159">
        <f>ROUND(VLOOKUP($G110,factors,+Y$375,FALSE)*$I110,0)</f>
        <v>23173</v>
      </c>
      <c r="Z110" s="159"/>
      <c r="AA110" s="159">
        <f>ROUND(VLOOKUP($G110,factors,+AA$375,FALSE)*$I110,0)</f>
        <v>514</v>
      </c>
      <c r="AB110" s="159"/>
      <c r="AC110" s="159">
        <f>ROUND(VLOOKUP($G110,factors,+AC$375,FALSE)*$I110,0)</f>
        <v>179</v>
      </c>
      <c r="AD110" s="159"/>
      <c r="AE110" s="159">
        <f>ROUND(VLOOKUP($G110,factors,+AE$375,FALSE)*$I110,0)</f>
        <v>22</v>
      </c>
      <c r="AF110" s="159"/>
      <c r="AG110" s="159">
        <f>ROUND(VLOOKUP($G110,factors,+AG$375,FALSE)*$I110,0)</f>
        <v>134</v>
      </c>
      <c r="AH110" s="148"/>
      <c r="AI110" s="153">
        <f t="shared" si="76"/>
        <v>-1</v>
      </c>
    </row>
    <row r="111" spans="1:37">
      <c r="A111" s="150"/>
      <c r="B111" s="161"/>
      <c r="C111" s="155">
        <v>908</v>
      </c>
      <c r="E111" s="216" t="s">
        <v>83</v>
      </c>
      <c r="F111" s="216"/>
      <c r="G111" s="253">
        <v>9</v>
      </c>
      <c r="H111" s="216"/>
      <c r="I111" s="254">
        <f>+Linkin!H105-233228</f>
        <v>1795205</v>
      </c>
      <c r="J111" s="148"/>
      <c r="K111" s="159">
        <f>ROUND(VLOOKUP($G111,factors,+K$375,FALSE)*$I111,0)</f>
        <v>0</v>
      </c>
      <c r="L111" s="148"/>
      <c r="M111" s="159">
        <f>ROUND(VLOOKUP($G111,factors,+M$375,FALSE)*$I111,0)</f>
        <v>0</v>
      </c>
      <c r="N111" s="158"/>
      <c r="O111" s="159">
        <f>ROUND(VLOOKUP($G111,factors,+O$375,FALSE)*$I111,0)</f>
        <v>0</v>
      </c>
      <c r="P111" s="159"/>
      <c r="Q111" s="159">
        <f>ROUND(VLOOKUP($G111,factors,+Q$375,FALSE)*$I111,0)</f>
        <v>0</v>
      </c>
      <c r="R111" s="794"/>
      <c r="S111" s="159">
        <f>ROUND(VLOOKUP($G111,factors,+S$375,FALSE)*$I111,0)</f>
        <v>0</v>
      </c>
      <c r="T111" s="159"/>
      <c r="U111" s="159">
        <f>ROUND(VLOOKUP($G111,factors,+U$375,FALSE)*$I111,0)</f>
        <v>0</v>
      </c>
      <c r="V111" s="159"/>
      <c r="W111" s="159">
        <f>ROUND(VLOOKUP($G111,factors,+W$375,FALSE)*$I111,0)</f>
        <v>1795205</v>
      </c>
      <c r="X111" s="159"/>
      <c r="Y111" s="159">
        <f>ROUND(VLOOKUP($G111,factors,+Y$375,FALSE)*$I111,0)</f>
        <v>0</v>
      </c>
      <c r="Z111" s="159"/>
      <c r="AA111" s="159">
        <f>ROUND(VLOOKUP($G111,factors,+AA$375,FALSE)*$I111,0)</f>
        <v>0</v>
      </c>
      <c r="AB111" s="159"/>
      <c r="AC111" s="159">
        <f>ROUND(VLOOKUP($G111,factors,+AC$375,FALSE)*$I111,0)</f>
        <v>0</v>
      </c>
      <c r="AD111" s="159"/>
      <c r="AE111" s="159">
        <f>ROUND(VLOOKUP($G111,factors,+AE$375,FALSE)*$I111,0)</f>
        <v>0</v>
      </c>
      <c r="AF111" s="159"/>
      <c r="AG111" s="159">
        <f>ROUND(VLOOKUP($G111,factors,+AG$375,FALSE)*$I111,0)</f>
        <v>0</v>
      </c>
      <c r="AH111" s="148"/>
      <c r="AI111" s="153">
        <f t="shared" si="76"/>
        <v>0</v>
      </c>
    </row>
    <row r="112" spans="1:37">
      <c r="A112" s="150"/>
      <c r="B112" s="1024">
        <f>+Linkin!$H$107</f>
        <v>9115781</v>
      </c>
      <c r="C112" s="155">
        <v>909</v>
      </c>
      <c r="E112" s="216" t="s">
        <v>370</v>
      </c>
      <c r="F112" s="216"/>
      <c r="G112" s="253">
        <v>7</v>
      </c>
      <c r="H112" s="216"/>
      <c r="I112" s="254">
        <f>+Linkin!H106</f>
        <v>1143000</v>
      </c>
      <c r="J112" s="148"/>
      <c r="K112" s="159">
        <f>ROUND(VLOOKUP($G112,factors,+K$375,FALSE)*$I112,0)</f>
        <v>0</v>
      </c>
      <c r="L112" s="148"/>
      <c r="M112" s="159">
        <f>ROUND(VLOOKUP($G112,factors,+M$375,FALSE)*$I112,0)</f>
        <v>0</v>
      </c>
      <c r="N112" s="158"/>
      <c r="O112" s="159">
        <f>ROUND(VLOOKUP($G112,factors,+O$375,FALSE)*$I112,0)</f>
        <v>0</v>
      </c>
      <c r="P112" s="159"/>
      <c r="Q112" s="159">
        <f>ROUND(VLOOKUP($G112,factors,+Q$375,FALSE)*$I112,0)</f>
        <v>0</v>
      </c>
      <c r="R112" s="794"/>
      <c r="S112" s="159">
        <f>ROUND(VLOOKUP($G112,factors,+S$375,FALSE)*$I112,0)</f>
        <v>0</v>
      </c>
      <c r="T112" s="159"/>
      <c r="U112" s="159">
        <f>ROUND(VLOOKUP($G112,factors,+U$375,FALSE)*$I112,0)</f>
        <v>0</v>
      </c>
      <c r="V112" s="159"/>
      <c r="W112" s="159">
        <f>ROUND(VLOOKUP($G112,factors,+W$375,FALSE)*$I112,0)</f>
        <v>1020242</v>
      </c>
      <c r="X112" s="159"/>
      <c r="Y112" s="159">
        <f>ROUND(VLOOKUP($G112,factors,+Y$375,FALSE)*$I112,0)</f>
        <v>118415</v>
      </c>
      <c r="Z112" s="159"/>
      <c r="AA112" s="159">
        <f>ROUND(VLOOKUP($G112,factors,+AA$375,FALSE)*$I112,0)</f>
        <v>2629</v>
      </c>
      <c r="AB112" s="159"/>
      <c r="AC112" s="159">
        <f>ROUND(VLOOKUP($G112,factors,+AC$375,FALSE)*$I112,0)</f>
        <v>914</v>
      </c>
      <c r="AD112" s="159"/>
      <c r="AE112" s="159">
        <f>ROUND(VLOOKUP($G112,factors,+AE$375,FALSE)*$I112,0)</f>
        <v>114</v>
      </c>
      <c r="AF112" s="159"/>
      <c r="AG112" s="159">
        <f>ROUND(VLOOKUP($G112,factors,+AG$375,FALSE)*$I112,0)</f>
        <v>686</v>
      </c>
      <c r="AH112" s="148"/>
      <c r="AI112" s="153">
        <f t="shared" si="76"/>
        <v>0</v>
      </c>
    </row>
    <row r="113" spans="1:44">
      <c r="A113" s="150"/>
      <c r="B113" s="161"/>
      <c r="C113" s="155">
        <v>910</v>
      </c>
      <c r="E113" s="216" t="s">
        <v>84</v>
      </c>
      <c r="F113" s="216"/>
      <c r="G113" s="253">
        <v>7</v>
      </c>
      <c r="H113" s="216"/>
      <c r="I113" s="379">
        <f>+Linkin!$H$107-I114</f>
        <v>-3784841.5930443667</v>
      </c>
      <c r="J113" s="148"/>
      <c r="K113" s="159">
        <f>ROUND(VLOOKUP($G113,factors,+K$375,FALSE)*$I113,0)</f>
        <v>0</v>
      </c>
      <c r="L113" s="148"/>
      <c r="M113" s="159">
        <f>ROUND(VLOOKUP($G113,factors,+M$375,FALSE)*$I113,0)</f>
        <v>0</v>
      </c>
      <c r="N113" s="158"/>
      <c r="O113" s="159">
        <f>ROUND(VLOOKUP($G113,factors,+O$375,FALSE)*$I113,0)</f>
        <v>0</v>
      </c>
      <c r="P113" s="159"/>
      <c r="Q113" s="159">
        <f>ROUND(VLOOKUP($G113,factors,+Q$375,FALSE)*$I113,0)</f>
        <v>0</v>
      </c>
      <c r="R113" s="794"/>
      <c r="S113" s="380">
        <f>ROUND(VLOOKUP($G113,factors,+S$375,FALSE)*$I113,0)</f>
        <v>0</v>
      </c>
      <c r="T113" s="380"/>
      <c r="U113" s="380">
        <f>ROUND(VLOOKUP($G113,factors,+U$375,FALSE)*$I113,0)</f>
        <v>0</v>
      </c>
      <c r="V113" s="380"/>
      <c r="W113" s="380">
        <f>ROUND(VLOOKUP($G113,factors,+W$375,FALSE)*$I113,0)</f>
        <v>-3378350</v>
      </c>
      <c r="X113" s="380"/>
      <c r="Y113" s="380">
        <f>ROUND(VLOOKUP($G113,factors,+Y$375,FALSE)*$I113,0)</f>
        <v>-392110</v>
      </c>
      <c r="Z113" s="380"/>
      <c r="AA113" s="380">
        <f>ROUND(VLOOKUP($G113,factors,+AA$375,FALSE)*$I113,0)</f>
        <v>-8705</v>
      </c>
      <c r="AB113" s="380"/>
      <c r="AC113" s="380">
        <f>ROUND(VLOOKUP($G113,factors,+AC$375,FALSE)*$I113,0)</f>
        <v>-3028</v>
      </c>
      <c r="AD113" s="380"/>
      <c r="AE113" s="380">
        <f>ROUND(VLOOKUP($G113,factors,+AE$375,FALSE)*$I113,0)</f>
        <v>-378</v>
      </c>
      <c r="AF113" s="380"/>
      <c r="AG113" s="380">
        <f>ROUND(VLOOKUP($G113,factors,+AG$375,FALSE)*$I113,0)</f>
        <v>-2271</v>
      </c>
      <c r="AH113" s="148"/>
      <c r="AI113" s="153">
        <f t="shared" ref="AI113" si="77">SUM(K113:AG113)-I113</f>
        <v>-0.40695563331246376</v>
      </c>
    </row>
    <row r="114" spans="1:44">
      <c r="C114" s="155">
        <v>910.1</v>
      </c>
      <c r="E114" s="252" t="s">
        <v>605</v>
      </c>
      <c r="F114" s="216"/>
      <c r="G114" s="253">
        <v>7</v>
      </c>
      <c r="H114" s="239"/>
      <c r="I114" s="254">
        <f>+K114+M114+O114+Q114</f>
        <v>12900622.593044367</v>
      </c>
      <c r="J114" s="148"/>
      <c r="K114" s="380">
        <f>+'[7]Rate R'!$M$17</f>
        <v>11344601.235245353</v>
      </c>
      <c r="L114" s="380"/>
      <c r="M114" s="380">
        <f>+'[7]Rate N'!$M$34</f>
        <v>1322939.7068060183</v>
      </c>
      <c r="N114" s="380"/>
      <c r="O114" s="380">
        <f>+'[7]Rate DS'!$M$29</f>
        <v>4160.9719796311083</v>
      </c>
      <c r="P114" s="380"/>
      <c r="Q114" s="380">
        <f>+'[7]Rate LFD'!$M$38</f>
        <v>228920.67901336405</v>
      </c>
      <c r="R114" s="794"/>
      <c r="S114" s="377"/>
      <c r="T114" s="380"/>
      <c r="U114" s="377"/>
      <c r="V114" s="380"/>
      <c r="W114" s="377"/>
      <c r="X114" s="380"/>
      <c r="Y114" s="377"/>
      <c r="Z114" s="380"/>
      <c r="AA114" s="377"/>
      <c r="AB114" s="380"/>
      <c r="AC114" s="377"/>
      <c r="AD114" s="380"/>
      <c r="AE114" s="377"/>
      <c r="AF114" s="380"/>
      <c r="AG114" s="377"/>
      <c r="AH114" s="148"/>
      <c r="AI114" s="153">
        <f t="shared" si="76"/>
        <v>0</v>
      </c>
      <c r="AJ114" s="148"/>
    </row>
    <row r="115" spans="1:44" ht="15.75">
      <c r="E115" s="443" t="s">
        <v>230</v>
      </c>
      <c r="F115" s="443"/>
      <c r="G115" s="444"/>
      <c r="H115" s="443"/>
      <c r="I115" s="448">
        <f>SUM(I110:I114)</f>
        <v>12277665</v>
      </c>
      <c r="J115" s="27"/>
      <c r="K115" s="994">
        <f>SUM(K110:K114)</f>
        <v>11344601.235245353</v>
      </c>
      <c r="L115" s="27"/>
      <c r="M115" s="994">
        <f>SUM(M110:M114)</f>
        <v>1322939.7068060183</v>
      </c>
      <c r="N115" s="27"/>
      <c r="O115" s="994">
        <f>SUM(O110:O114)</f>
        <v>4160.9719796311083</v>
      </c>
      <c r="P115" s="48"/>
      <c r="Q115" s="994">
        <f>SUM(Q110:Q114)</f>
        <v>228920.67901336405</v>
      </c>
      <c r="R115" s="443"/>
      <c r="S115" s="445">
        <f>SUM(S110:S114)</f>
        <v>0</v>
      </c>
      <c r="T115" s="446"/>
      <c r="U115" s="445">
        <f>SUM(U110:U114)</f>
        <v>0</v>
      </c>
      <c r="V115" s="443"/>
      <c r="W115" s="445">
        <f>SUM(W110:W114)</f>
        <v>-363247</v>
      </c>
      <c r="X115" s="443"/>
      <c r="Y115" s="445">
        <f>SUM(Y110:Y114)</f>
        <v>-250522</v>
      </c>
      <c r="Z115" s="443"/>
      <c r="AA115" s="445">
        <f>SUM(AA110:AA114)</f>
        <v>-5562</v>
      </c>
      <c r="AB115" s="446"/>
      <c r="AC115" s="445">
        <f>SUM(AC110:AC114)</f>
        <v>-1935</v>
      </c>
      <c r="AD115" s="443"/>
      <c r="AE115" s="445">
        <f>SUM(AE110:AE114)</f>
        <v>-242</v>
      </c>
      <c r="AF115" s="443"/>
      <c r="AG115" s="445">
        <f>SUM(AG110:AG114)</f>
        <v>-1451</v>
      </c>
      <c r="AH115" s="40"/>
      <c r="AI115" s="153">
        <f t="shared" si="76"/>
        <v>-1.4069556333124638</v>
      </c>
    </row>
    <row r="116" spans="1:44">
      <c r="E116" s="216"/>
      <c r="F116" s="216"/>
      <c r="G116" s="253"/>
      <c r="H116" s="216"/>
      <c r="I116" s="45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4"/>
      <c r="AG116" s="274"/>
      <c r="AI116" s="153">
        <f t="shared" si="76"/>
        <v>0</v>
      </c>
    </row>
    <row r="117" spans="1:44" ht="15.75">
      <c r="C117" s="27" t="s">
        <v>231</v>
      </c>
      <c r="E117" s="216"/>
      <c r="F117" s="216"/>
      <c r="G117" s="253"/>
      <c r="H117" s="216"/>
      <c r="I117" s="45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I117" s="153">
        <f t="shared" si="76"/>
        <v>0</v>
      </c>
    </row>
    <row r="118" spans="1:44" ht="3.75" customHeight="1">
      <c r="C118" s="147" t="s">
        <v>213</v>
      </c>
      <c r="E118" s="216" t="s">
        <v>214</v>
      </c>
      <c r="F118" s="216"/>
      <c r="G118" s="253"/>
      <c r="H118" s="216"/>
      <c r="I118" s="454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I118" s="153">
        <f t="shared" si="76"/>
        <v>0</v>
      </c>
    </row>
    <row r="119" spans="1:44">
      <c r="C119" s="147" t="s">
        <v>213</v>
      </c>
      <c r="E119" s="442" t="s">
        <v>202</v>
      </c>
      <c r="F119" s="216"/>
      <c r="G119" s="253"/>
      <c r="H119" s="216"/>
      <c r="I119" s="454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I119" s="153">
        <f t="shared" si="76"/>
        <v>0</v>
      </c>
    </row>
    <row r="120" spans="1:44" s="47" customFormat="1">
      <c r="A120" s="147"/>
      <c r="B120" s="147"/>
      <c r="C120" s="155">
        <v>911</v>
      </c>
      <c r="D120" s="147"/>
      <c r="E120" s="216" t="s">
        <v>164</v>
      </c>
      <c r="F120" s="216"/>
      <c r="G120" s="253">
        <v>8</v>
      </c>
      <c r="H120" s="216"/>
      <c r="I120" s="450">
        <f>+Linkin!H111</f>
        <v>115433</v>
      </c>
      <c r="J120" s="148"/>
      <c r="K120" s="159">
        <f>ROUND(VLOOKUP($G120,factors,+K$375,FALSE)*$I120,0)</f>
        <v>0</v>
      </c>
      <c r="L120" s="159"/>
      <c r="M120" s="159">
        <f>ROUND(VLOOKUP($G120,factors,+M$375,FALSE)*$I120,0)</f>
        <v>0</v>
      </c>
      <c r="N120" s="159"/>
      <c r="O120" s="159">
        <f>ROUND(VLOOKUP($G120,factors,+O$375,FALSE)*$I120,0)</f>
        <v>0</v>
      </c>
      <c r="P120" s="159"/>
      <c r="Q120" s="159">
        <f>ROUND(VLOOKUP($G120,factors,+Q$375,FALSE)*$I120,0)</f>
        <v>0</v>
      </c>
      <c r="R120" s="158"/>
      <c r="S120" s="159">
        <f>ROUND(VLOOKUP($G120,factors,+S$375,FALSE)*$I120,0)</f>
        <v>0</v>
      </c>
      <c r="T120" s="159"/>
      <c r="U120" s="159">
        <f>ROUND(VLOOKUP($G120,factors,+U$375,FALSE)*$I120,0)</f>
        <v>0</v>
      </c>
      <c r="V120" s="159"/>
      <c r="W120" s="159">
        <f>ROUND(VLOOKUP($G120,factors,+W$375,FALSE)*$I120,0)</f>
        <v>103428</v>
      </c>
      <c r="X120" s="159"/>
      <c r="Y120" s="159">
        <f>ROUND(VLOOKUP($G120,factors,+Y$375,FALSE)*$I120,0)</f>
        <v>12005</v>
      </c>
      <c r="Z120" s="159"/>
      <c r="AA120" s="159">
        <f>ROUND(VLOOKUP($G120,factors,+AA$375,FALSE)*$I120,0)</f>
        <v>0</v>
      </c>
      <c r="AB120" s="159"/>
      <c r="AC120" s="159">
        <f>ROUND(VLOOKUP($G120,factors,+AC$375,FALSE)*$I120,0)</f>
        <v>0</v>
      </c>
      <c r="AD120" s="159"/>
      <c r="AE120" s="159">
        <f>ROUND(VLOOKUP($G120,factors,+AE$375,FALSE)*$I120,0)</f>
        <v>0</v>
      </c>
      <c r="AF120" s="159"/>
      <c r="AG120" s="159">
        <f>ROUND(VLOOKUP($G120,factors,+AG$375,FALSE)*$I120,0)</f>
        <v>0</v>
      </c>
      <c r="AH120" s="159"/>
      <c r="AI120" s="153">
        <f t="shared" si="76"/>
        <v>0</v>
      </c>
      <c r="AJ120" s="148"/>
      <c r="AK120" s="147"/>
    </row>
    <row r="121" spans="1:44">
      <c r="A121" s="276"/>
      <c r="B121" s="276">
        <f>ROUND(+'[2]D-7'!$K$23,0)+'[2]D-15'!$G$44+ROUND('[2]D-19'!$G$20,0)</f>
        <v>592</v>
      </c>
      <c r="C121" s="155">
        <v>912</v>
      </c>
      <c r="E121" s="252" t="s">
        <v>86</v>
      </c>
      <c r="F121" s="216"/>
      <c r="G121" s="253">
        <v>8</v>
      </c>
      <c r="H121" s="239"/>
      <c r="I121" s="450">
        <f>+Linkin!H112-11106</f>
        <v>1296787</v>
      </c>
      <c r="J121" s="450"/>
      <c r="K121" s="380">
        <f>ROUND(VLOOKUP($G121,factors,+K$375,FALSE)*$I121,0)</f>
        <v>0</v>
      </c>
      <c r="L121" s="380"/>
      <c r="M121" s="380">
        <f>ROUND(VLOOKUP($G121,factors,+M$375,FALSE)*$I121,0)</f>
        <v>0</v>
      </c>
      <c r="N121" s="380"/>
      <c r="O121" s="380">
        <f>ROUND(VLOOKUP($G121,factors,+O$375,FALSE)*$I121,0)</f>
        <v>0</v>
      </c>
      <c r="P121" s="380"/>
      <c r="Q121" s="380">
        <f>ROUND(VLOOKUP($G121,factors,+Q$375,FALSE)*$I121,0)</f>
        <v>0</v>
      </c>
      <c r="R121" s="794"/>
      <c r="S121" s="380">
        <f>ROUND(VLOOKUP($G121,factors,+S$375,FALSE)*$I121,0)</f>
        <v>0</v>
      </c>
      <c r="T121" s="380"/>
      <c r="U121" s="380">
        <f>ROUND(VLOOKUP($G121,factors,+U$375,FALSE)*$I121,0)</f>
        <v>0</v>
      </c>
      <c r="V121" s="380"/>
      <c r="W121" s="380">
        <f>ROUND(VLOOKUP($G121,factors,+W$375,FALSE)*$I121,0)</f>
        <v>1161921</v>
      </c>
      <c r="X121" s="380"/>
      <c r="Y121" s="380">
        <f>ROUND(VLOOKUP($G121,factors,+Y$375,FALSE)*$I121,0)</f>
        <v>134866</v>
      </c>
      <c r="Z121" s="380"/>
      <c r="AA121" s="380">
        <f>ROUND(VLOOKUP($G121,factors,+AA$375,FALSE)*$I121,0)</f>
        <v>0</v>
      </c>
      <c r="AB121" s="380"/>
      <c r="AC121" s="380">
        <f>ROUND(VLOOKUP($G121,factors,+AC$375,FALSE)*$I121,0)</f>
        <v>0</v>
      </c>
      <c r="AD121" s="380"/>
      <c r="AE121" s="380">
        <f>ROUND(VLOOKUP($G121,factors,+AE$375,FALSE)*$I121,0)</f>
        <v>0</v>
      </c>
      <c r="AF121" s="380"/>
      <c r="AG121" s="380">
        <f>ROUND(VLOOKUP($G121,factors,+AG$375,FALSE)*$I121,0)</f>
        <v>0</v>
      </c>
      <c r="AH121" s="380"/>
      <c r="AI121" s="275">
        <f t="shared" si="76"/>
        <v>0</v>
      </c>
      <c r="AJ121" s="239"/>
      <c r="AK121" s="239"/>
      <c r="AL121" s="104"/>
      <c r="AM121" s="104"/>
      <c r="AN121" s="104"/>
      <c r="AO121" s="104"/>
      <c r="AP121" s="104"/>
      <c r="AQ121" s="104"/>
      <c r="AR121" s="104"/>
    </row>
    <row r="122" spans="1:44">
      <c r="A122" s="276"/>
      <c r="B122" s="276"/>
      <c r="C122" s="807" t="s">
        <v>796</v>
      </c>
      <c r="E122" s="252" t="s">
        <v>797</v>
      </c>
      <c r="F122" s="216"/>
      <c r="G122" s="376" t="s">
        <v>326</v>
      </c>
      <c r="H122" s="239"/>
      <c r="I122" s="450">
        <f>233228+11106</f>
        <v>244334</v>
      </c>
      <c r="J122" s="450"/>
      <c r="K122" s="380">
        <f>ROUND(VLOOKUP($G122,factors,+K$375,FALSE)*$I122,0)</f>
        <v>0</v>
      </c>
      <c r="L122" s="380"/>
      <c r="M122" s="380">
        <f>ROUND(VLOOKUP($G122,factors,+M$375,FALSE)*$I122,0)</f>
        <v>0</v>
      </c>
      <c r="N122" s="380"/>
      <c r="O122" s="380">
        <f>ROUND(VLOOKUP($G122,factors,+O$375,FALSE)*$I122,0)</f>
        <v>0</v>
      </c>
      <c r="P122" s="380"/>
      <c r="Q122" s="380">
        <f>ROUND(VLOOKUP($G122,factors,+Q$375,FALSE)*$I122,0)</f>
        <v>0</v>
      </c>
      <c r="R122" s="794"/>
      <c r="S122" s="380">
        <f>ROUND(VLOOKUP($G122,factors,+S$375,FALSE)*$I122,0)</f>
        <v>0</v>
      </c>
      <c r="T122" s="380"/>
      <c r="U122" s="380">
        <f>ROUND(VLOOKUP($G122,factors,+U$375,FALSE)*$I122,0)</f>
        <v>0</v>
      </c>
      <c r="V122" s="380"/>
      <c r="W122" s="380">
        <f>ROUND(VLOOKUP($G122,factors,+W$375,FALSE)*$I122,0)</f>
        <v>0</v>
      </c>
      <c r="X122" s="380"/>
      <c r="Y122" s="380">
        <f>ROUND(VLOOKUP($G122,factors,+Y$375,FALSE)*$I122,0)</f>
        <v>0</v>
      </c>
      <c r="Z122" s="380"/>
      <c r="AA122" s="380">
        <f>ROUND(VLOOKUP($G122,factors,+AA$375,FALSE)*$I122,0)</f>
        <v>150827</v>
      </c>
      <c r="AB122" s="380"/>
      <c r="AC122" s="380">
        <f>ROUND(VLOOKUP($G122,factors,+AC$375,FALSE)*$I122,0)</f>
        <v>50748</v>
      </c>
      <c r="AD122" s="380"/>
      <c r="AE122" s="380">
        <f>ROUND(VLOOKUP($G122,factors,+AE$375,FALSE)*$I122,0)</f>
        <v>5400</v>
      </c>
      <c r="AF122" s="380"/>
      <c r="AG122" s="380">
        <f>ROUND(VLOOKUP($G122,factors,+AG$375,FALSE)*$I122,0)</f>
        <v>37359</v>
      </c>
      <c r="AH122" s="380"/>
      <c r="AI122" s="275">
        <f t="shared" si="76"/>
        <v>0</v>
      </c>
      <c r="AJ122" s="239"/>
      <c r="AK122" s="239"/>
      <c r="AL122" s="104"/>
      <c r="AM122" s="104"/>
      <c r="AN122" s="104"/>
      <c r="AO122" s="104"/>
      <c r="AP122" s="104"/>
      <c r="AQ122" s="104"/>
      <c r="AR122" s="104"/>
    </row>
    <row r="123" spans="1:44">
      <c r="A123" s="276"/>
      <c r="B123" s="276"/>
      <c r="C123" s="155">
        <v>913</v>
      </c>
      <c r="E123" s="216" t="s">
        <v>308</v>
      </c>
      <c r="F123" s="216"/>
      <c r="G123" s="253">
        <v>8</v>
      </c>
      <c r="H123" s="239"/>
      <c r="I123" s="450">
        <f>+Linkin!H113</f>
        <v>1069000</v>
      </c>
      <c r="J123" s="148"/>
      <c r="K123" s="159">
        <f>ROUND(VLOOKUP($G123,factors,+K$375,FALSE)*$I123,0)</f>
        <v>0</v>
      </c>
      <c r="L123" s="148"/>
      <c r="M123" s="159">
        <f>ROUND(VLOOKUP($G123,factors,+M$375,FALSE)*$I123,0)</f>
        <v>0</v>
      </c>
      <c r="N123" s="148"/>
      <c r="O123" s="159">
        <f>ROUND(VLOOKUP($G123,factors,+O$375,FALSE)*$I123,0)</f>
        <v>0</v>
      </c>
      <c r="P123" s="159"/>
      <c r="Q123" s="159">
        <f>ROUND(VLOOKUP($G123,factors,+Q$375,FALSE)*$I123,0)</f>
        <v>0</v>
      </c>
      <c r="R123" s="148"/>
      <c r="S123" s="159">
        <f>ROUND(VLOOKUP($G123,factors,+S$375,FALSE)*$I123,0)</f>
        <v>0</v>
      </c>
      <c r="T123" s="159"/>
      <c r="U123" s="159">
        <f>ROUND(VLOOKUP($G123,factors,+U$375,FALSE)*$I123,0)</f>
        <v>0</v>
      </c>
      <c r="V123" s="148"/>
      <c r="W123" s="159">
        <f>ROUND(VLOOKUP($G123,factors,+W$375,FALSE)*$I123,0)</f>
        <v>957824</v>
      </c>
      <c r="X123" s="148"/>
      <c r="Y123" s="159">
        <f>ROUND(VLOOKUP($G123,factors,+Y$375,FALSE)*$I123,0)</f>
        <v>111176</v>
      </c>
      <c r="Z123" s="159"/>
      <c r="AA123" s="159">
        <f>ROUND(VLOOKUP($G123,factors,+AA$375,FALSE)*$I123,0)</f>
        <v>0</v>
      </c>
      <c r="AB123" s="159"/>
      <c r="AC123" s="159">
        <f>ROUND(VLOOKUP($G123,factors,+AC$375,FALSE)*$I123,0)</f>
        <v>0</v>
      </c>
      <c r="AD123" s="148"/>
      <c r="AE123" s="159">
        <f>ROUND(VLOOKUP($G123,factors,+AE$375,FALSE)*$I123,0)</f>
        <v>0</v>
      </c>
      <c r="AF123" s="148"/>
      <c r="AG123" s="159">
        <f>ROUND(VLOOKUP($G123,factors,+AG$375,FALSE)*$I123,0)</f>
        <v>0</v>
      </c>
      <c r="AH123" s="148"/>
      <c r="AI123" s="153">
        <f t="shared" si="76"/>
        <v>0</v>
      </c>
      <c r="AJ123" s="148"/>
      <c r="AK123" s="148"/>
    </row>
    <row r="124" spans="1:44" s="47" customFormat="1">
      <c r="A124" s="276"/>
      <c r="B124" s="276"/>
      <c r="C124" s="155">
        <v>916</v>
      </c>
      <c r="D124" s="147"/>
      <c r="E124" s="216" t="s">
        <v>384</v>
      </c>
      <c r="F124" s="216"/>
      <c r="G124" s="253">
        <v>8</v>
      </c>
      <c r="H124" s="216"/>
      <c r="I124" s="451">
        <f>+Linkin!H116</f>
        <v>190000</v>
      </c>
      <c r="J124" s="148"/>
      <c r="K124" s="156">
        <f>ROUND(VLOOKUP($G124,factors,+K$375,FALSE)*$I124,0)</f>
        <v>0</v>
      </c>
      <c r="L124" s="148"/>
      <c r="M124" s="156">
        <f>ROUND(VLOOKUP($G124,factors,+M$375,FALSE)*$I124,0)</f>
        <v>0</v>
      </c>
      <c r="N124" s="148"/>
      <c r="O124" s="156">
        <f>ROUND(VLOOKUP($G124,factors,+O$375,FALSE)*$I124,0)</f>
        <v>0</v>
      </c>
      <c r="P124" s="159"/>
      <c r="Q124" s="156">
        <f>ROUND(VLOOKUP($G124,factors,+Q$375,FALSE)*$I124,0)</f>
        <v>0</v>
      </c>
      <c r="R124" s="148"/>
      <c r="S124" s="156">
        <f>ROUND(VLOOKUP($G124,factors,+S$375,FALSE)*$I124,0)</f>
        <v>0</v>
      </c>
      <c r="T124" s="159"/>
      <c r="U124" s="156">
        <f>ROUND(VLOOKUP($G124,factors,+U$375,FALSE)*$I124,0)</f>
        <v>0</v>
      </c>
      <c r="V124" s="148"/>
      <c r="W124" s="156">
        <f>ROUND(VLOOKUP($G124,factors,+W$375,FALSE)*$I124,0)</f>
        <v>170240</v>
      </c>
      <c r="X124" s="148"/>
      <c r="Y124" s="156">
        <f>ROUND(VLOOKUP($G124,factors,+Y$375,FALSE)*$I124,0)</f>
        <v>19760</v>
      </c>
      <c r="Z124" s="159"/>
      <c r="AA124" s="156">
        <f>ROUND(VLOOKUP($G124,factors,+AA$375,FALSE)*$I124,0)</f>
        <v>0</v>
      </c>
      <c r="AB124" s="159"/>
      <c r="AC124" s="156">
        <f>ROUND(VLOOKUP($G124,factors,+AC$375,FALSE)*$I124,0)</f>
        <v>0</v>
      </c>
      <c r="AD124" s="148"/>
      <c r="AE124" s="156">
        <f>ROUND(VLOOKUP($G124,factors,+AE$375,FALSE)*$I124,0)</f>
        <v>0</v>
      </c>
      <c r="AF124" s="148"/>
      <c r="AG124" s="156">
        <f>ROUND(VLOOKUP($G124,factors,+AG$375,FALSE)*$I124,0)</f>
        <v>0</v>
      </c>
      <c r="AH124" s="148"/>
      <c r="AI124" s="153">
        <f t="shared" si="76"/>
        <v>0</v>
      </c>
      <c r="AJ124" s="148"/>
      <c r="AK124" s="147"/>
    </row>
    <row r="125" spans="1:44" ht="15.75">
      <c r="A125" s="276"/>
      <c r="B125" s="276">
        <f>SUM(B121:B124)</f>
        <v>592</v>
      </c>
      <c r="E125" s="443" t="s">
        <v>232</v>
      </c>
      <c r="F125" s="443"/>
      <c r="G125" s="444"/>
      <c r="H125" s="443"/>
      <c r="I125" s="445">
        <f>SUM(I120:I124)</f>
        <v>2915554</v>
      </c>
      <c r="J125" s="27"/>
      <c r="K125" s="39">
        <f>SUM(K120:K124)</f>
        <v>0</v>
      </c>
      <c r="L125" s="27"/>
      <c r="M125" s="39">
        <f>SUM(M120:M124)</f>
        <v>0</v>
      </c>
      <c r="N125" s="27"/>
      <c r="O125" s="39">
        <f>SUM(O120:O124)</f>
        <v>0</v>
      </c>
      <c r="P125" s="48"/>
      <c r="Q125" s="39">
        <f>SUM(Q120:Q124)</f>
        <v>0</v>
      </c>
      <c r="R125" s="27"/>
      <c r="S125" s="39">
        <f>SUM(S120:S124)</f>
        <v>0</v>
      </c>
      <c r="T125" s="48"/>
      <c r="U125" s="39">
        <f>SUM(U120:U124)</f>
        <v>0</v>
      </c>
      <c r="V125" s="27"/>
      <c r="W125" s="39">
        <f>SUM(W120:W124)</f>
        <v>2393413</v>
      </c>
      <c r="X125" s="27"/>
      <c r="Y125" s="39">
        <f>SUM(Y120:Y124)</f>
        <v>277807</v>
      </c>
      <c r="Z125" s="27"/>
      <c r="AA125" s="39">
        <f>SUM(AA120:AA124)</f>
        <v>150827</v>
      </c>
      <c r="AB125" s="48"/>
      <c r="AC125" s="39">
        <f>SUM(AC120:AC124)</f>
        <v>50748</v>
      </c>
      <c r="AD125" s="27"/>
      <c r="AE125" s="39">
        <f>SUM(AE120:AE124)</f>
        <v>5400</v>
      </c>
      <c r="AF125" s="27"/>
      <c r="AG125" s="39">
        <f>SUM(AG120:AG124)</f>
        <v>37359</v>
      </c>
      <c r="AH125" s="27"/>
      <c r="AI125" s="153">
        <f t="shared" si="76"/>
        <v>0</v>
      </c>
    </row>
    <row r="126" spans="1:44" ht="19.5" customHeight="1">
      <c r="B126" s="151"/>
      <c r="E126" s="216"/>
      <c r="F126" s="216"/>
      <c r="G126" s="253"/>
      <c r="H126" s="216"/>
      <c r="I126" s="454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I126" s="153">
        <f t="shared" si="76"/>
        <v>0</v>
      </c>
    </row>
    <row r="127" spans="1:44" ht="15.75">
      <c r="C127" s="27" t="s">
        <v>233</v>
      </c>
      <c r="E127" s="216"/>
      <c r="F127" s="216"/>
      <c r="G127" s="253"/>
      <c r="H127" s="216"/>
      <c r="I127" s="454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I127" s="153">
        <f t="shared" si="76"/>
        <v>0</v>
      </c>
    </row>
    <row r="128" spans="1:44" ht="3.75" customHeight="1">
      <c r="C128" s="147" t="s">
        <v>213</v>
      </c>
      <c r="E128" s="216" t="s">
        <v>214</v>
      </c>
      <c r="F128" s="216"/>
      <c r="G128" s="253"/>
      <c r="H128" s="216"/>
      <c r="I128" s="454"/>
      <c r="AI128" s="153">
        <f t="shared" si="76"/>
        <v>0</v>
      </c>
    </row>
    <row r="129" spans="1:35">
      <c r="C129" s="147" t="s">
        <v>213</v>
      </c>
      <c r="E129" s="442" t="s">
        <v>202</v>
      </c>
      <c r="F129" s="216"/>
      <c r="G129" s="253"/>
      <c r="H129" s="216"/>
      <c r="I129" s="454"/>
      <c r="AI129" s="153">
        <f t="shared" si="76"/>
        <v>0</v>
      </c>
    </row>
    <row r="130" spans="1:35">
      <c r="C130" s="155">
        <v>920</v>
      </c>
      <c r="E130" s="216" t="s">
        <v>218</v>
      </c>
      <c r="F130" s="216"/>
      <c r="G130" s="253">
        <v>12</v>
      </c>
      <c r="H130" s="216"/>
      <c r="I130" s="254">
        <f>+Linkin!H121</f>
        <v>23945084</v>
      </c>
      <c r="K130" s="152">
        <f>ROUND(VLOOKUP($G130,factors,+K$375,FALSE)*$I130,0)</f>
        <v>7901878</v>
      </c>
      <c r="M130" s="152">
        <f>ROUND(VLOOKUP($G130,factors,+M$375,FALSE)*$I130,0)</f>
        <v>2394508</v>
      </c>
      <c r="N130" s="152"/>
      <c r="O130" s="152">
        <f>ROUND(VLOOKUP($G130,factors,+O$375,FALSE)*$I130,0)</f>
        <v>598627</v>
      </c>
      <c r="P130" s="152"/>
      <c r="Q130" s="152">
        <f>ROUND(VLOOKUP($G130,factors,+Q$375,FALSE)*$I130,0)</f>
        <v>706380</v>
      </c>
      <c r="R130" s="152"/>
      <c r="S130" s="151">
        <f>ROUND(VLOOKUP($G130,factors,+S$375,FALSE)*$I130,0)</f>
        <v>909913</v>
      </c>
      <c r="T130" s="151"/>
      <c r="U130" s="151">
        <f>ROUND(VLOOKUP($G130,factors,+U$375,FALSE)*$I130,0)</f>
        <v>414250</v>
      </c>
      <c r="V130" s="151"/>
      <c r="W130" s="151">
        <f>ROUND(VLOOKUP($G130,factors,+W$375,FALSE)*$I130,0)</f>
        <v>8866865</v>
      </c>
      <c r="X130" s="151"/>
      <c r="Y130" s="151">
        <f>ROUND(VLOOKUP($G130,factors,+Y$375,FALSE)*$I130,0)</f>
        <v>1640238</v>
      </c>
      <c r="Z130" s="151"/>
      <c r="AA130" s="151">
        <f>ROUND(VLOOKUP($G130,factors,+AA$375,FALSE)*$I130,0)</f>
        <v>249029</v>
      </c>
      <c r="AB130" s="151"/>
      <c r="AC130" s="151">
        <f>ROUND(VLOOKUP($G130,factors,+AC$375,FALSE)*$I130,0)</f>
        <v>138881</v>
      </c>
      <c r="AD130" s="151"/>
      <c r="AE130" s="151">
        <f>ROUND(VLOOKUP($G130,factors,+AE$375,FALSE)*$I130,0)</f>
        <v>40707</v>
      </c>
      <c r="AF130" s="151"/>
      <c r="AG130" s="151">
        <f>ROUND(VLOOKUP($G130,factors,+AG$375,FALSE)*$I130,0)</f>
        <v>83808</v>
      </c>
      <c r="AI130" s="153">
        <f t="shared" ref="AI130:AI146" si="78">SUM(K130:AG130)-I130</f>
        <v>0</v>
      </c>
    </row>
    <row r="131" spans="1:35">
      <c r="C131" s="155">
        <v>921</v>
      </c>
      <c r="E131" s="252" t="s">
        <v>533</v>
      </c>
      <c r="F131" s="216"/>
      <c r="G131" s="253">
        <v>12</v>
      </c>
      <c r="H131" s="216"/>
      <c r="I131" s="254">
        <f>+Linkin!H122</f>
        <v>27866527</v>
      </c>
      <c r="K131" s="152">
        <f>ROUND(VLOOKUP($G131,factors,+K$375,FALSE)*$I131,0)</f>
        <v>9195954</v>
      </c>
      <c r="M131" s="152">
        <f>ROUND(VLOOKUP($G131,factors,+M$375,FALSE)*$I131,0)</f>
        <v>2786653</v>
      </c>
      <c r="N131" s="152"/>
      <c r="O131" s="152">
        <f>ROUND(VLOOKUP($G131,factors,+O$375,FALSE)*$I131,0)</f>
        <v>696663</v>
      </c>
      <c r="P131" s="152"/>
      <c r="Q131" s="152">
        <f>ROUND(VLOOKUP($G131,factors,+Q$375,FALSE)*$I131,0)</f>
        <v>822063</v>
      </c>
      <c r="R131" s="152"/>
      <c r="S131" s="151">
        <f>ROUND(VLOOKUP($G131,factors,+S$375,FALSE)*$I131,0)</f>
        <v>1058928</v>
      </c>
      <c r="T131" s="151"/>
      <c r="U131" s="151">
        <f>ROUND(VLOOKUP($G131,factors,+U$375,FALSE)*$I131,0)</f>
        <v>482091</v>
      </c>
      <c r="V131" s="151"/>
      <c r="W131" s="151">
        <f>ROUND(VLOOKUP($G131,factors,+W$375,FALSE)*$I131,0)</f>
        <v>10318975</v>
      </c>
      <c r="X131" s="151"/>
      <c r="Y131" s="151">
        <f>ROUND(VLOOKUP($G131,factors,+Y$375,FALSE)*$I131,0)</f>
        <v>1908857</v>
      </c>
      <c r="Z131" s="151"/>
      <c r="AA131" s="151">
        <f>ROUND(VLOOKUP($G131,factors,+AA$375,FALSE)*$I131,0)</f>
        <v>289812</v>
      </c>
      <c r="AB131" s="151"/>
      <c r="AC131" s="151">
        <f>ROUND(VLOOKUP($G131,factors,+AC$375,FALSE)*$I131,0)</f>
        <v>161626</v>
      </c>
      <c r="AD131" s="151"/>
      <c r="AE131" s="151">
        <f>ROUND(VLOOKUP($G131,factors,+AE$375,FALSE)*$I131,0)</f>
        <v>47373</v>
      </c>
      <c r="AF131" s="151"/>
      <c r="AG131" s="151">
        <f>ROUND(VLOOKUP($G131,factors,+AG$375,FALSE)*$I131,0)</f>
        <v>97533</v>
      </c>
      <c r="AI131" s="153">
        <f t="shared" si="78"/>
        <v>1</v>
      </c>
    </row>
    <row r="132" spans="1:35">
      <c r="A132" s="276"/>
      <c r="C132" s="253">
        <v>922</v>
      </c>
      <c r="D132" s="216"/>
      <c r="E132" s="795" t="s">
        <v>780</v>
      </c>
      <c r="F132" s="216"/>
      <c r="G132" s="253"/>
      <c r="H132" s="216"/>
      <c r="I132" s="254"/>
      <c r="K132" s="152"/>
      <c r="M132" s="152"/>
      <c r="N132" s="152"/>
      <c r="O132" s="152"/>
      <c r="P132" s="152"/>
      <c r="Q132" s="152"/>
      <c r="R132" s="152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I132" s="153"/>
    </row>
    <row r="133" spans="1:35">
      <c r="C133" s="253">
        <v>923</v>
      </c>
      <c r="D133" s="216"/>
      <c r="E133" s="216" t="s">
        <v>352</v>
      </c>
      <c r="F133" s="216"/>
      <c r="G133" s="253">
        <v>12</v>
      </c>
      <c r="H133" s="216"/>
      <c r="I133" s="254">
        <f>+Linkin!H124</f>
        <v>20494478</v>
      </c>
      <c r="K133" s="152">
        <f>ROUND(VLOOKUP($G133,factors,+K$375,FALSE)*$I133,0)</f>
        <v>6763178</v>
      </c>
      <c r="M133" s="152">
        <f>ROUND(VLOOKUP($G133,factors,+M$375,FALSE)*$I133,0)</f>
        <v>2049448</v>
      </c>
      <c r="N133" s="152"/>
      <c r="O133" s="152">
        <f>ROUND(VLOOKUP($G133,factors,+O$375,FALSE)*$I133,0)</f>
        <v>512362</v>
      </c>
      <c r="P133" s="152"/>
      <c r="Q133" s="152">
        <f>ROUND(VLOOKUP($G133,factors,+Q$375,FALSE)*$I133,0)</f>
        <v>604587</v>
      </c>
      <c r="R133" s="152"/>
      <c r="S133" s="151">
        <f>ROUND(VLOOKUP($G133,factors,+S$375,FALSE)*$I133,0)</f>
        <v>778790</v>
      </c>
      <c r="T133" s="151"/>
      <c r="U133" s="151">
        <f>ROUND(VLOOKUP($G133,factors,+U$375,FALSE)*$I133,0)</f>
        <v>354554</v>
      </c>
      <c r="V133" s="151"/>
      <c r="W133" s="151">
        <f>ROUND(VLOOKUP($G133,factors,+W$375,FALSE)*$I133,0)</f>
        <v>7589105</v>
      </c>
      <c r="X133" s="151"/>
      <c r="Y133" s="151">
        <f>ROUND(VLOOKUP($G133,factors,+Y$375,FALSE)*$I133,0)</f>
        <v>1403872</v>
      </c>
      <c r="Z133" s="151"/>
      <c r="AA133" s="151">
        <f>ROUND(VLOOKUP($G133,factors,+AA$375,FALSE)*$I133,0)</f>
        <v>213143</v>
      </c>
      <c r="AB133" s="151"/>
      <c r="AC133" s="151">
        <f>ROUND(VLOOKUP($G133,factors,+AC$375,FALSE)*$I133,0)</f>
        <v>118868</v>
      </c>
      <c r="AD133" s="151"/>
      <c r="AE133" s="151">
        <f>ROUND(VLOOKUP($G133,factors,+AE$375,FALSE)*$I133,0)</f>
        <v>34841</v>
      </c>
      <c r="AF133" s="151"/>
      <c r="AG133" s="151">
        <f>ROUND(VLOOKUP($G133,factors,+AG$375,FALSE)*$I133,0)</f>
        <v>71731</v>
      </c>
      <c r="AI133" s="153">
        <f t="shared" si="78"/>
        <v>1</v>
      </c>
    </row>
    <row r="134" spans="1:35">
      <c r="C134" s="253">
        <v>924</v>
      </c>
      <c r="D134" s="216"/>
      <c r="E134" s="216" t="s">
        <v>219</v>
      </c>
      <c r="F134" s="216"/>
      <c r="G134" s="253">
        <v>12</v>
      </c>
      <c r="H134" s="216"/>
      <c r="I134" s="254">
        <f>+Linkin!H125</f>
        <v>265000</v>
      </c>
      <c r="K134" s="152">
        <f>ROUND(VLOOKUP($G134,factors,+K$375,FALSE)*$I134,0)</f>
        <v>87450</v>
      </c>
      <c r="M134" s="152">
        <f>ROUND(VLOOKUP($G134,factors,+M$375,FALSE)*$I134,0)</f>
        <v>26500</v>
      </c>
      <c r="N134" s="152"/>
      <c r="O134" s="152">
        <f>ROUND(VLOOKUP($G134,factors,+O$375,FALSE)*$I134,0)</f>
        <v>6625</v>
      </c>
      <c r="P134" s="152"/>
      <c r="Q134" s="152">
        <f>ROUND(VLOOKUP($G134,factors,+Q$375,FALSE)*$I134,0)</f>
        <v>7818</v>
      </c>
      <c r="R134" s="152"/>
      <c r="S134" s="151">
        <f>ROUND(VLOOKUP($G134,factors,+S$375,FALSE)*$I134,0)</f>
        <v>10070</v>
      </c>
      <c r="T134" s="151"/>
      <c r="U134" s="151">
        <f>ROUND(VLOOKUP($G134,factors,+U$375,FALSE)*$I134,0)</f>
        <v>4585</v>
      </c>
      <c r="V134" s="151"/>
      <c r="W134" s="151">
        <f>ROUND(VLOOKUP($G134,factors,+W$375,FALSE)*$I134,0)</f>
        <v>98130</v>
      </c>
      <c r="X134" s="151"/>
      <c r="Y134" s="151">
        <f>ROUND(VLOOKUP($G134,factors,+Y$375,FALSE)*$I134,0)</f>
        <v>18153</v>
      </c>
      <c r="Z134" s="151"/>
      <c r="AA134" s="151">
        <f>ROUND(VLOOKUP($G134,factors,+AA$375,FALSE)*$I134,0)</f>
        <v>2756</v>
      </c>
      <c r="AB134" s="151"/>
      <c r="AC134" s="151">
        <f>ROUND(VLOOKUP($G134,factors,+AC$375,FALSE)*$I134,0)</f>
        <v>1537</v>
      </c>
      <c r="AD134" s="151"/>
      <c r="AE134" s="151">
        <f>ROUND(VLOOKUP($G134,factors,+AE$375,FALSE)*$I134,0)</f>
        <v>451</v>
      </c>
      <c r="AF134" s="151"/>
      <c r="AG134" s="151">
        <f>ROUND(VLOOKUP($G134,factors,+AG$375,FALSE)*$I134,0)</f>
        <v>928</v>
      </c>
      <c r="AI134" s="153">
        <f t="shared" si="78"/>
        <v>3</v>
      </c>
    </row>
    <row r="135" spans="1:35">
      <c r="C135" s="253">
        <v>925</v>
      </c>
      <c r="D135" s="216"/>
      <c r="E135" s="216" t="s">
        <v>271</v>
      </c>
      <c r="F135" s="216"/>
      <c r="G135" s="253">
        <v>12</v>
      </c>
      <c r="H135" s="216"/>
      <c r="I135" s="254">
        <f>+Linkin!H126</f>
        <v>9317169</v>
      </c>
      <c r="K135" s="152">
        <f>ROUND(VLOOKUP($G135,factors,+K$375,FALSE)*$I135,0)</f>
        <v>3074666</v>
      </c>
      <c r="M135" s="152">
        <f>ROUND(VLOOKUP($G135,factors,+M$375,FALSE)*$I135,0)</f>
        <v>931717</v>
      </c>
      <c r="N135" s="152"/>
      <c r="O135" s="152">
        <f>ROUND(VLOOKUP($G135,factors,+O$375,FALSE)*$I135,0)</f>
        <v>232929</v>
      </c>
      <c r="P135" s="152"/>
      <c r="Q135" s="152">
        <f>ROUND(VLOOKUP($G135,factors,+Q$375,FALSE)*$I135,0)</f>
        <v>274856</v>
      </c>
      <c r="R135" s="152"/>
      <c r="S135" s="151">
        <f>ROUND(VLOOKUP($G135,factors,+S$375,FALSE)*$I135,0)</f>
        <v>354052</v>
      </c>
      <c r="T135" s="151"/>
      <c r="U135" s="151">
        <f>ROUND(VLOOKUP($G135,factors,+U$375,FALSE)*$I135,0)</f>
        <v>161187</v>
      </c>
      <c r="V135" s="151"/>
      <c r="W135" s="151">
        <f>ROUND(VLOOKUP($G135,factors,+W$375,FALSE)*$I135,0)</f>
        <v>3450148</v>
      </c>
      <c r="X135" s="151"/>
      <c r="Y135" s="151">
        <f>ROUND(VLOOKUP($G135,factors,+Y$375,FALSE)*$I135,0)</f>
        <v>638226</v>
      </c>
      <c r="Z135" s="151"/>
      <c r="AA135" s="151">
        <f>ROUND(VLOOKUP($G135,factors,+AA$375,FALSE)*$I135,0)</f>
        <v>96899</v>
      </c>
      <c r="AB135" s="151"/>
      <c r="AC135" s="151">
        <f>ROUND(VLOOKUP($G135,factors,+AC$375,FALSE)*$I135,0)</f>
        <v>54040</v>
      </c>
      <c r="AD135" s="151"/>
      <c r="AE135" s="151">
        <f>ROUND(VLOOKUP($G135,factors,+AE$375,FALSE)*$I135,0)</f>
        <v>15839</v>
      </c>
      <c r="AF135" s="151"/>
      <c r="AG135" s="151">
        <f>ROUND(VLOOKUP($G135,factors,+AG$375,FALSE)*$I135,0)</f>
        <v>32610</v>
      </c>
      <c r="AI135" s="153">
        <f t="shared" si="78"/>
        <v>0</v>
      </c>
    </row>
    <row r="136" spans="1:35">
      <c r="C136" s="253">
        <v>926</v>
      </c>
      <c r="D136" s="216"/>
      <c r="E136" s="216" t="s">
        <v>129</v>
      </c>
      <c r="F136" s="216"/>
      <c r="G136" s="253">
        <v>13</v>
      </c>
      <c r="H136" s="216"/>
      <c r="I136" s="254">
        <f>+Linkin!H127</f>
        <v>27854838</v>
      </c>
      <c r="K136" s="152">
        <f>ROUND(VLOOKUP($G136,factors,+K$375,FALSE)*$I136,0)</f>
        <v>5690743</v>
      </c>
      <c r="M136" s="152">
        <f>ROUND(VLOOKUP($G136,factors,+M$375,FALSE)*$I136,0)</f>
        <v>2715847</v>
      </c>
      <c r="N136" s="152"/>
      <c r="O136" s="152">
        <f>ROUND(VLOOKUP($G136,factors,+O$375,FALSE)*$I136,0)</f>
        <v>732582</v>
      </c>
      <c r="P136" s="152"/>
      <c r="Q136" s="152">
        <f>ROUND(VLOOKUP($G136,factors,+Q$375,FALSE)*$I136,0)</f>
        <v>830074</v>
      </c>
      <c r="R136" s="152"/>
      <c r="S136" s="151">
        <f>ROUND(VLOOKUP($G136,factors,+S$375,FALSE)*$I136,0)</f>
        <v>1211685</v>
      </c>
      <c r="T136" s="151"/>
      <c r="U136" s="151">
        <f>ROUND(VLOOKUP($G136,factors,+U$375,FALSE)*$I136,0)</f>
        <v>526456</v>
      </c>
      <c r="V136" s="151"/>
      <c r="W136" s="151">
        <f>ROUND(VLOOKUP($G136,factors,+W$375,FALSE)*$I136,0)</f>
        <v>12738017</v>
      </c>
      <c r="X136" s="151"/>
      <c r="Y136" s="151">
        <f>ROUND(VLOOKUP($G136,factors,+Y$375,FALSE)*$I136,0)</f>
        <v>2685206</v>
      </c>
      <c r="Z136" s="151"/>
      <c r="AA136" s="151">
        <f>ROUND(VLOOKUP($G136,factors,+AA$375,FALSE)*$I136,0)</f>
        <v>359327</v>
      </c>
      <c r="AB136" s="151"/>
      <c r="AC136" s="151">
        <f>ROUND(VLOOKUP($G136,factors,+AC$375,FALSE)*$I136,0)</f>
        <v>203340</v>
      </c>
      <c r="AD136" s="151"/>
      <c r="AE136" s="151">
        <f>ROUND(VLOOKUP($G136,factors,+AE$375,FALSE)*$I136,0)</f>
        <v>41782</v>
      </c>
      <c r="AF136" s="151"/>
      <c r="AG136" s="151">
        <f>ROUND(VLOOKUP($G136,factors,+AG$375,FALSE)*$I136,0)</f>
        <v>119776</v>
      </c>
      <c r="AH136" s="152"/>
      <c r="AI136" s="153">
        <f t="shared" si="78"/>
        <v>-3</v>
      </c>
    </row>
    <row r="137" spans="1:35">
      <c r="A137" s="276"/>
      <c r="C137" s="253">
        <v>927</v>
      </c>
      <c r="D137" s="216"/>
      <c r="E137" s="743" t="s">
        <v>779</v>
      </c>
      <c r="F137" s="216"/>
      <c r="G137" s="253"/>
      <c r="H137" s="216"/>
      <c r="I137" s="254"/>
      <c r="K137" s="152"/>
      <c r="M137" s="152"/>
      <c r="N137" s="152"/>
      <c r="O137" s="152"/>
      <c r="P137" s="152"/>
      <c r="Q137" s="152"/>
      <c r="R137" s="152"/>
      <c r="S137" s="151"/>
      <c r="T137" s="151"/>
      <c r="U137" s="151"/>
      <c r="W137" s="152"/>
      <c r="X137" s="152"/>
      <c r="Y137" s="152"/>
      <c r="Z137" s="151"/>
      <c r="AA137" s="151"/>
      <c r="AB137" s="151"/>
      <c r="AC137" s="151"/>
      <c r="AE137" s="151"/>
      <c r="AG137" s="151"/>
      <c r="AH137" s="152"/>
      <c r="AI137" s="153"/>
    </row>
    <row r="138" spans="1:35">
      <c r="C138" s="253">
        <v>928</v>
      </c>
      <c r="D138" s="216"/>
      <c r="E138" s="216" t="s">
        <v>220</v>
      </c>
      <c r="F138" s="216"/>
      <c r="G138" s="253">
        <v>16</v>
      </c>
      <c r="H138" s="216"/>
      <c r="I138" s="254">
        <f>+Linkin!H129</f>
        <v>1677000</v>
      </c>
      <c r="K138" s="152">
        <f>ROUND(VLOOKUP($G138,factors,+K$375,FALSE)*$I138,0)</f>
        <v>494380</v>
      </c>
      <c r="M138" s="152">
        <f>ROUND(VLOOKUP($G138,factors,+M$375,FALSE)*$I138,0)</f>
        <v>222370</v>
      </c>
      <c r="N138" s="152"/>
      <c r="O138" s="152">
        <f>ROUND(VLOOKUP($G138,factors,+O$375,FALSE)*$I138,0)</f>
        <v>57689</v>
      </c>
      <c r="P138" s="152"/>
      <c r="Q138" s="152">
        <f>ROUND(VLOOKUP($G138,factors,+Q$375,FALSE)*$I138,0)</f>
        <v>66745</v>
      </c>
      <c r="R138" s="152"/>
      <c r="S138" s="151">
        <f>ROUND(VLOOKUP($G138,factors,+S$375,FALSE)*$I138,0)</f>
        <v>59198</v>
      </c>
      <c r="T138" s="151"/>
      <c r="U138" s="151">
        <f>ROUND(VLOOKUP($G138,factors,+U$375,FALSE)*$I138,0)</f>
        <v>34882</v>
      </c>
      <c r="W138" s="152">
        <f>ROUND(VLOOKUP($G138,factors,+W$375,FALSE)*$I138,0)</f>
        <v>597012</v>
      </c>
      <c r="X138" s="152"/>
      <c r="Y138" s="152">
        <f>ROUND(VLOOKUP($G138,factors,+Y$375,FALSE)*$I138,0)</f>
        <v>115378</v>
      </c>
      <c r="Z138" s="151"/>
      <c r="AA138" s="151">
        <f>ROUND(VLOOKUP($G138,factors,+AA$375,FALSE)*$I138,0)</f>
        <v>14422</v>
      </c>
      <c r="AB138" s="151"/>
      <c r="AC138" s="151">
        <f>ROUND(VLOOKUP($G138,factors,+AC$375,FALSE)*$I138,0)</f>
        <v>8050</v>
      </c>
      <c r="AE138" s="151">
        <f>ROUND(VLOOKUP($G138,factors,+AE$375,FALSE)*$I138,0)</f>
        <v>2012</v>
      </c>
      <c r="AG138" s="151">
        <f>ROUND(VLOOKUP($G138,factors,+AG$375,FALSE)*$I138,0)</f>
        <v>4863</v>
      </c>
      <c r="AH138" s="152"/>
      <c r="AI138" s="153">
        <f t="shared" si="78"/>
        <v>1</v>
      </c>
    </row>
    <row r="139" spans="1:35">
      <c r="A139" s="276"/>
      <c r="C139" s="253">
        <v>929</v>
      </c>
      <c r="D139" s="216"/>
      <c r="E139" s="743" t="s">
        <v>778</v>
      </c>
      <c r="F139" s="216"/>
      <c r="G139" s="253"/>
      <c r="H139" s="216"/>
      <c r="I139" s="254"/>
      <c r="K139" s="152"/>
      <c r="M139" s="152"/>
      <c r="N139" s="152"/>
      <c r="O139" s="152"/>
      <c r="P139" s="152"/>
      <c r="Q139" s="152"/>
      <c r="R139" s="152"/>
      <c r="S139" s="151"/>
      <c r="T139" s="151"/>
      <c r="U139" s="151"/>
      <c r="W139" s="152"/>
      <c r="X139" s="152"/>
      <c r="Y139" s="152"/>
      <c r="Z139" s="151"/>
      <c r="AA139" s="151"/>
      <c r="AB139" s="151"/>
      <c r="AC139" s="151"/>
      <c r="AE139" s="151"/>
      <c r="AG139" s="151"/>
      <c r="AH139" s="152"/>
      <c r="AI139" s="153"/>
    </row>
    <row r="140" spans="1:35">
      <c r="C140" s="155">
        <v>930</v>
      </c>
      <c r="E140" s="216" t="s">
        <v>221</v>
      </c>
      <c r="F140" s="216"/>
      <c r="G140" s="253">
        <v>12</v>
      </c>
      <c r="H140" s="216"/>
      <c r="I140" s="254">
        <f>+Linkin!H131</f>
        <v>998000</v>
      </c>
      <c r="K140" s="152">
        <f>ROUND(VLOOKUP($G140,factors,+K$375,FALSE)*$I140,0)</f>
        <v>329340</v>
      </c>
      <c r="M140" s="152">
        <f>ROUND(VLOOKUP($G140,factors,+M$375,FALSE)*$I140,0)</f>
        <v>99800</v>
      </c>
      <c r="N140" s="152"/>
      <c r="O140" s="152">
        <f>ROUND(VLOOKUP($G140,factors,+O$375,FALSE)*$I140,0)</f>
        <v>24950</v>
      </c>
      <c r="P140" s="152"/>
      <c r="Q140" s="152">
        <f>ROUND(VLOOKUP($G140,factors,+Q$375,FALSE)*$I140,0)</f>
        <v>29441</v>
      </c>
      <c r="R140" s="152"/>
      <c r="S140" s="159">
        <f>ROUND(VLOOKUP($G140,factors,+S$375,FALSE)*$I140,0)</f>
        <v>37924</v>
      </c>
      <c r="T140" s="159"/>
      <c r="U140" s="159">
        <f>ROUND(VLOOKUP($G140,factors,+U$375,FALSE)*$I140,0)</f>
        <v>17265</v>
      </c>
      <c r="W140" s="152">
        <f>ROUND(VLOOKUP($G140,factors,+W$375,FALSE)*$I140,0)</f>
        <v>369559</v>
      </c>
      <c r="X140" s="152"/>
      <c r="Y140" s="152">
        <f>ROUND(VLOOKUP($G140,factors,+Y$375,FALSE)*$I140,0)</f>
        <v>68363</v>
      </c>
      <c r="Z140" s="151"/>
      <c r="AA140" s="159">
        <f>ROUND(VLOOKUP($G140,factors,+AA$375,FALSE)*$I140,0)</f>
        <v>10379</v>
      </c>
      <c r="AB140" s="159"/>
      <c r="AC140" s="159">
        <f>ROUND(VLOOKUP($G140,factors,+AC$375,FALSE)*$I140,0)</f>
        <v>5788</v>
      </c>
      <c r="AE140" s="159">
        <f>ROUND(VLOOKUP($G140,factors,+AE$375,FALSE)*$I140,0)</f>
        <v>1697</v>
      </c>
      <c r="AG140" s="159">
        <f>ROUND(VLOOKUP($G140,factors,+AG$375,FALSE)*$I140,0)</f>
        <v>3493</v>
      </c>
      <c r="AH140" s="152"/>
      <c r="AI140" s="153">
        <f t="shared" si="78"/>
        <v>-1</v>
      </c>
    </row>
    <row r="141" spans="1:35">
      <c r="C141" s="155">
        <v>930</v>
      </c>
      <c r="E141" s="216" t="s">
        <v>275</v>
      </c>
      <c r="F141" s="216"/>
      <c r="G141" s="253">
        <v>12</v>
      </c>
      <c r="H141" s="216"/>
      <c r="I141" s="254">
        <f>+Linkin!H132</f>
        <v>5644924</v>
      </c>
      <c r="K141" s="152">
        <f>ROUND(VLOOKUP($G141,factors,+K$375,FALSE)*$I141,0)</f>
        <v>1862825</v>
      </c>
      <c r="M141" s="152">
        <f>ROUND(VLOOKUP($G141,factors,+M$375,FALSE)*$I141,0)</f>
        <v>564492</v>
      </c>
      <c r="N141" s="152"/>
      <c r="O141" s="152">
        <f>ROUND(VLOOKUP($G141,factors,+O$375,FALSE)*$I141,0)</f>
        <v>141123</v>
      </c>
      <c r="P141" s="152"/>
      <c r="Q141" s="152">
        <f>ROUND(VLOOKUP($G141,factors,+Q$375,FALSE)*$I141,0)</f>
        <v>166525</v>
      </c>
      <c r="R141" s="152"/>
      <c r="S141" s="159">
        <f>ROUND(VLOOKUP($G141,factors,+S$375,FALSE)*$I141,0)</f>
        <v>214507</v>
      </c>
      <c r="T141" s="159"/>
      <c r="U141" s="159">
        <f>ROUND(VLOOKUP($G141,factors,+U$375,FALSE)*$I141,0)</f>
        <v>97657</v>
      </c>
      <c r="W141" s="152">
        <f>ROUND(VLOOKUP($G141,factors,+W$375,FALSE)*$I141,0)</f>
        <v>2090315</v>
      </c>
      <c r="X141" s="152"/>
      <c r="Y141" s="152">
        <f>ROUND(VLOOKUP($G141,factors,+Y$375,FALSE)*$I141,0)</f>
        <v>386677</v>
      </c>
      <c r="Z141" s="151"/>
      <c r="AA141" s="159">
        <f>ROUND(VLOOKUP($G141,factors,+AA$375,FALSE)*$I141,0)</f>
        <v>58707</v>
      </c>
      <c r="AB141" s="159"/>
      <c r="AC141" s="159">
        <f>ROUND(VLOOKUP($G141,factors,+AC$375,FALSE)*$I141,0)</f>
        <v>32741</v>
      </c>
      <c r="AE141" s="159">
        <f>ROUND(VLOOKUP($G141,factors,+AE$375,FALSE)*$I141,0)</f>
        <v>9596</v>
      </c>
      <c r="AG141" s="159">
        <f>ROUND(VLOOKUP($G141,factors,+AG$375,FALSE)*$I141,0)</f>
        <v>19757</v>
      </c>
      <c r="AH141" s="152"/>
      <c r="AI141" s="153">
        <f t="shared" si="78"/>
        <v>-2</v>
      </c>
    </row>
    <row r="142" spans="1:35">
      <c r="A142" s="276"/>
      <c r="C142" s="155">
        <v>931</v>
      </c>
      <c r="E142" s="216" t="s">
        <v>276</v>
      </c>
      <c r="F142" s="216"/>
      <c r="G142" s="253">
        <v>12</v>
      </c>
      <c r="H142" s="239"/>
      <c r="I142" s="254">
        <f>+Linkin!H133</f>
        <v>254000</v>
      </c>
      <c r="J142" s="148"/>
      <c r="K142" s="152">
        <f>ROUND(VLOOKUP($G142,factors,+K$375,FALSE)*$I142,0)</f>
        <v>83820</v>
      </c>
      <c r="M142" s="152">
        <f>ROUND(VLOOKUP($G142,factors,+M$375,FALSE)*$I142,0)</f>
        <v>25400</v>
      </c>
      <c r="N142" s="152"/>
      <c r="O142" s="152">
        <f>ROUND(VLOOKUP($G142,factors,+O$375,FALSE)*$I142,0)</f>
        <v>6350</v>
      </c>
      <c r="P142" s="152"/>
      <c r="Q142" s="152">
        <f>ROUND(VLOOKUP($G142,factors,+Q$375,FALSE)*$I142,0)</f>
        <v>7493</v>
      </c>
      <c r="R142" s="152"/>
      <c r="S142" s="159">
        <f>ROUND(VLOOKUP($G142,factors,+S$375,FALSE)*$I142,0)</f>
        <v>9652</v>
      </c>
      <c r="T142" s="159"/>
      <c r="U142" s="159">
        <f>ROUND(VLOOKUP($G142,factors,+U$375,FALSE)*$I142,0)</f>
        <v>4394</v>
      </c>
      <c r="W142" s="152">
        <f>ROUND(VLOOKUP($G142,factors,+W$375,FALSE)*$I142,0)</f>
        <v>94056</v>
      </c>
      <c r="X142" s="152"/>
      <c r="Y142" s="152">
        <f>ROUND(VLOOKUP($G142,factors,+Y$375,FALSE)*$I142,0)</f>
        <v>17399</v>
      </c>
      <c r="Z142" s="151"/>
      <c r="AA142" s="159">
        <f>ROUND(VLOOKUP($G142,factors,+AA$375,FALSE)*$I142,0)</f>
        <v>2642</v>
      </c>
      <c r="AB142" s="159"/>
      <c r="AC142" s="159">
        <f>ROUND(VLOOKUP($G142,factors,+AC$375,FALSE)*$I142,0)</f>
        <v>1473</v>
      </c>
      <c r="AE142" s="159">
        <f>ROUND(VLOOKUP($G142,factors,+AE$375,FALSE)*$I142,0)</f>
        <v>432</v>
      </c>
      <c r="AG142" s="159">
        <f>ROUND(VLOOKUP($G142,factors,+AG$375,FALSE)*$I142,0)</f>
        <v>889</v>
      </c>
      <c r="AI142" s="153">
        <f t="shared" si="78"/>
        <v>0</v>
      </c>
    </row>
    <row r="143" spans="1:35">
      <c r="C143" s="155" t="s">
        <v>213</v>
      </c>
      <c r="E143" s="216" t="s">
        <v>215</v>
      </c>
      <c r="F143" s="216"/>
      <c r="G143" s="253"/>
      <c r="H143" s="216"/>
      <c r="I143" s="760">
        <f>SUM(I130:I142)</f>
        <v>118317020</v>
      </c>
      <c r="K143" s="260">
        <f>SUM(K130:K142)</f>
        <v>35484234</v>
      </c>
      <c r="M143" s="260">
        <f>SUM(M130:M142)</f>
        <v>11816735</v>
      </c>
      <c r="O143" s="260">
        <f>SUM(O130:O142)</f>
        <v>3009900</v>
      </c>
      <c r="P143" s="159"/>
      <c r="Q143" s="260">
        <f>SUM(Q130:Q142)</f>
        <v>3515982</v>
      </c>
      <c r="S143" s="260">
        <f>SUM(S130:S142)</f>
        <v>4644719</v>
      </c>
      <c r="T143" s="159"/>
      <c r="U143" s="260">
        <f>SUM(U130:U142)</f>
        <v>2097321</v>
      </c>
      <c r="W143" s="260">
        <f>SUM(W130:W142)</f>
        <v>46212182</v>
      </c>
      <c r="Y143" s="260">
        <f>SUM(Y130:Y142)</f>
        <v>8882369</v>
      </c>
      <c r="Z143" s="151"/>
      <c r="AA143" s="260">
        <f>SUM(AA130:AA142)</f>
        <v>1297116</v>
      </c>
      <c r="AB143" s="159"/>
      <c r="AC143" s="260">
        <f>SUM(AC130:AC142)</f>
        <v>726344</v>
      </c>
      <c r="AE143" s="260">
        <f t="shared" ref="AE143" si="79">SUM(AE130:AE142)</f>
        <v>194730</v>
      </c>
      <c r="AG143" s="260">
        <f t="shared" ref="AG143" si="80">SUM(AG130:AG142)</f>
        <v>435388</v>
      </c>
      <c r="AI143" s="153">
        <f t="shared" si="78"/>
        <v>0</v>
      </c>
    </row>
    <row r="144" spans="1:35">
      <c r="C144" s="155"/>
      <c r="E144" s="216"/>
      <c r="F144" s="216"/>
      <c r="G144" s="253"/>
      <c r="H144" s="216"/>
      <c r="I144" s="454"/>
      <c r="S144" s="151"/>
      <c r="T144" s="151"/>
      <c r="U144" s="151"/>
      <c r="Z144" s="151"/>
      <c r="AA144" s="151"/>
      <c r="AB144" s="151"/>
      <c r="AC144" s="151"/>
      <c r="AE144" s="151"/>
      <c r="AG144" s="151"/>
      <c r="AI144" s="153">
        <f t="shared" si="78"/>
        <v>0</v>
      </c>
    </row>
    <row r="145" spans="1:37">
      <c r="C145" s="155" t="s">
        <v>213</v>
      </c>
      <c r="E145" s="442" t="s">
        <v>205</v>
      </c>
      <c r="F145" s="216"/>
      <c r="G145" s="253"/>
      <c r="H145" s="216"/>
      <c r="I145" s="454"/>
      <c r="S145" s="151"/>
      <c r="T145" s="151"/>
      <c r="U145" s="151"/>
      <c r="Z145" s="151"/>
      <c r="AA145" s="151"/>
      <c r="AB145" s="151"/>
      <c r="AC145" s="151"/>
      <c r="AE145" s="151"/>
      <c r="AG145" s="151"/>
      <c r="AI145" s="153">
        <f t="shared" si="78"/>
        <v>0</v>
      </c>
    </row>
    <row r="146" spans="1:37" s="47" customFormat="1">
      <c r="A146" s="147"/>
      <c r="B146" s="147"/>
      <c r="C146" s="155">
        <v>932</v>
      </c>
      <c r="D146" s="147"/>
      <c r="E146" s="216" t="s">
        <v>270</v>
      </c>
      <c r="F146" s="216"/>
      <c r="G146" s="253">
        <v>12</v>
      </c>
      <c r="H146" s="216"/>
      <c r="I146" s="254">
        <f>+Linkin!H137</f>
        <v>3541000</v>
      </c>
      <c r="J146" s="147"/>
      <c r="K146" s="152">
        <f>ROUND(VLOOKUP($G146,factors,+K$375,FALSE)*$I146,0)</f>
        <v>1168530</v>
      </c>
      <c r="L146" s="147"/>
      <c r="M146" s="152">
        <f>ROUND(VLOOKUP($G146,factors,+M$375,FALSE)*$I146,0)</f>
        <v>354100</v>
      </c>
      <c r="N146" s="152"/>
      <c r="O146" s="152">
        <f>ROUND(VLOOKUP($G146,factors,+O$375,FALSE)*$I146,0)</f>
        <v>88525</v>
      </c>
      <c r="P146" s="152"/>
      <c r="Q146" s="152">
        <f>ROUND(VLOOKUP($G146,factors,+Q$375,FALSE)*$I146,0)</f>
        <v>104460</v>
      </c>
      <c r="R146" s="152"/>
      <c r="S146" s="159">
        <f>ROUND(VLOOKUP($G146,factors,+S$375,FALSE)*$I146,0)</f>
        <v>134558</v>
      </c>
      <c r="T146" s="159"/>
      <c r="U146" s="159">
        <f>ROUND(VLOOKUP($G146,factors,+U$375,FALSE)*$I146,0)</f>
        <v>61259</v>
      </c>
      <c r="V146" s="147"/>
      <c r="W146" s="152">
        <f>ROUND(VLOOKUP($G146,factors,+W$375,FALSE)*$I146,0)</f>
        <v>1311232</v>
      </c>
      <c r="X146" s="152"/>
      <c r="Y146" s="152">
        <f>ROUND(VLOOKUP($G146,factors,+Y$375,FALSE)*$I146,0)</f>
        <v>242559</v>
      </c>
      <c r="Z146" s="151"/>
      <c r="AA146" s="159">
        <f>ROUND(VLOOKUP($G146,factors,+AA$375,FALSE)*$I146,0)</f>
        <v>36826</v>
      </c>
      <c r="AB146" s="159"/>
      <c r="AC146" s="159">
        <f>ROUND(VLOOKUP($G146,factors,+AC$375,FALSE)*$I146,0)</f>
        <v>20538</v>
      </c>
      <c r="AD146" s="147"/>
      <c r="AE146" s="159">
        <f>ROUND(VLOOKUP($G146,factors,+AE$375,FALSE)*$I146,0)</f>
        <v>6020</v>
      </c>
      <c r="AF146" s="147"/>
      <c r="AG146" s="159">
        <f>ROUND(VLOOKUP($G146,factors,+AG$375,FALSE)*$I146,0)</f>
        <v>12394</v>
      </c>
      <c r="AH146" s="147"/>
      <c r="AI146" s="153">
        <f t="shared" si="78"/>
        <v>1</v>
      </c>
      <c r="AJ146" s="147"/>
      <c r="AK146" s="147"/>
    </row>
    <row r="147" spans="1:37" s="47" customFormat="1">
      <c r="A147" s="147"/>
      <c r="B147" s="147"/>
      <c r="C147" s="155">
        <v>935</v>
      </c>
      <c r="D147" s="147"/>
      <c r="E147" s="216" t="s">
        <v>270</v>
      </c>
      <c r="F147" s="216"/>
      <c r="G147" s="253">
        <v>12</v>
      </c>
      <c r="H147" s="216"/>
      <c r="I147" s="451">
        <f>+Linkin!H138</f>
        <v>1152000</v>
      </c>
      <c r="J147" s="147"/>
      <c r="K147" s="156">
        <f>ROUND(VLOOKUP($G147,factors,+K$375,FALSE)*$I147,0)</f>
        <v>380160</v>
      </c>
      <c r="L147" s="147"/>
      <c r="M147" s="156">
        <f>ROUND(VLOOKUP($G147,factors,+M$375,FALSE)*$I147,0)</f>
        <v>115200</v>
      </c>
      <c r="N147" s="147"/>
      <c r="O147" s="156">
        <f>ROUND(VLOOKUP($G147,factors,+O$375,FALSE)*$I147,0)</f>
        <v>28800</v>
      </c>
      <c r="P147" s="159"/>
      <c r="Q147" s="156">
        <f>ROUND(VLOOKUP($G147,factors,+Q$375,FALSE)*$I147,0)</f>
        <v>33984</v>
      </c>
      <c r="R147" s="147"/>
      <c r="S147" s="156">
        <f>ROUND(VLOOKUP($G147,factors,+S$375,FALSE)*$I147,0)</f>
        <v>43776</v>
      </c>
      <c r="T147" s="159"/>
      <c r="U147" s="156">
        <f>ROUND(VLOOKUP($G147,factors,+U$375,FALSE)*$I147,0)</f>
        <v>19930</v>
      </c>
      <c r="V147" s="147"/>
      <c r="W147" s="156">
        <f>ROUND(VLOOKUP($G147,factors,+W$375,FALSE)*$I147,0)</f>
        <v>426586</v>
      </c>
      <c r="X147" s="147"/>
      <c r="Y147" s="156">
        <f>ROUND(VLOOKUP($G147,factors,+Y$375,FALSE)*$I147,0)</f>
        <v>78912</v>
      </c>
      <c r="Z147" s="151"/>
      <c r="AA147" s="156">
        <f>ROUND(VLOOKUP($G147,factors,+AA$375,FALSE)*$I147,0)</f>
        <v>11981</v>
      </c>
      <c r="AB147" s="159"/>
      <c r="AC147" s="156">
        <f>ROUND(VLOOKUP($G147,factors,+AC$375,FALSE)*$I147,0)</f>
        <v>6682</v>
      </c>
      <c r="AD147" s="147"/>
      <c r="AE147" s="156">
        <f>ROUND(VLOOKUP($G147,factors,+AE$375,FALSE)*$I147,0)</f>
        <v>1958</v>
      </c>
      <c r="AF147" s="147"/>
      <c r="AG147" s="156">
        <f>ROUND(VLOOKUP($G147,factors,+AG$375,FALSE)*$I147,0)</f>
        <v>4032</v>
      </c>
      <c r="AH147" s="147"/>
      <c r="AI147" s="153"/>
      <c r="AJ147" s="147"/>
      <c r="AK147" s="147"/>
    </row>
    <row r="148" spans="1:37">
      <c r="C148" s="147" t="s">
        <v>213</v>
      </c>
      <c r="E148" s="216" t="s">
        <v>216</v>
      </c>
      <c r="F148" s="216"/>
      <c r="G148" s="253"/>
      <c r="H148" s="216"/>
      <c r="I148" s="451">
        <f>SUM(I146:I147)</f>
        <v>4693000</v>
      </c>
      <c r="J148" s="156"/>
      <c r="K148" s="156">
        <f t="shared" ref="K148:AG148" si="81">SUM(K146:K147)</f>
        <v>1548690</v>
      </c>
      <c r="L148" s="156"/>
      <c r="M148" s="156">
        <f t="shared" si="81"/>
        <v>469300</v>
      </c>
      <c r="N148" s="156"/>
      <c r="O148" s="156">
        <f t="shared" si="81"/>
        <v>117325</v>
      </c>
      <c r="P148" s="156"/>
      <c r="Q148" s="156">
        <f t="shared" si="81"/>
        <v>138444</v>
      </c>
      <c r="R148" s="156"/>
      <c r="S148" s="156">
        <f t="shared" si="81"/>
        <v>178334</v>
      </c>
      <c r="T148" s="156"/>
      <c r="U148" s="156">
        <f t="shared" si="81"/>
        <v>81189</v>
      </c>
      <c r="V148" s="156"/>
      <c r="W148" s="156">
        <f t="shared" si="81"/>
        <v>1737818</v>
      </c>
      <c r="X148" s="156"/>
      <c r="Y148" s="156">
        <f t="shared" si="81"/>
        <v>321471</v>
      </c>
      <c r="Z148" s="156"/>
      <c r="AA148" s="156">
        <f t="shared" si="81"/>
        <v>48807</v>
      </c>
      <c r="AB148" s="156"/>
      <c r="AC148" s="156">
        <f t="shared" si="81"/>
        <v>27220</v>
      </c>
      <c r="AD148" s="156"/>
      <c r="AE148" s="156">
        <f t="shared" si="81"/>
        <v>7978</v>
      </c>
      <c r="AF148" s="156"/>
      <c r="AG148" s="156">
        <f t="shared" si="81"/>
        <v>16426</v>
      </c>
      <c r="AI148" s="153">
        <f t="shared" ref="AI148:AI214" si="82">SUM(K148:AG148)-I148</f>
        <v>2</v>
      </c>
    </row>
    <row r="149" spans="1:37">
      <c r="E149" s="216"/>
      <c r="F149" s="216"/>
      <c r="G149" s="253"/>
      <c r="H149" s="216"/>
      <c r="I149" s="254"/>
      <c r="K149" s="151"/>
      <c r="M149" s="151"/>
      <c r="O149" s="151"/>
      <c r="P149" s="151"/>
      <c r="Q149" s="151"/>
      <c r="S149" s="151"/>
      <c r="T149" s="151"/>
      <c r="U149" s="151"/>
      <c r="W149" s="151"/>
      <c r="Y149" s="151"/>
      <c r="Z149" s="151"/>
      <c r="AA149" s="151"/>
      <c r="AB149" s="151"/>
      <c r="AC149" s="151"/>
      <c r="AE149" s="151"/>
      <c r="AG149" s="151"/>
      <c r="AI149" s="153">
        <f t="shared" si="82"/>
        <v>0</v>
      </c>
    </row>
    <row r="150" spans="1:37" ht="15.75">
      <c r="E150" s="443" t="s">
        <v>255</v>
      </c>
      <c r="F150" s="443"/>
      <c r="G150" s="444"/>
      <c r="H150" s="443"/>
      <c r="I150" s="445">
        <f>+I148+I143</f>
        <v>123010020</v>
      </c>
      <c r="J150" s="27"/>
      <c r="K150" s="39">
        <f>+K148+K143</f>
        <v>37032924</v>
      </c>
      <c r="L150" s="27"/>
      <c r="M150" s="39">
        <f>+M148+M143</f>
        <v>12286035</v>
      </c>
      <c r="N150" s="27"/>
      <c r="O150" s="39">
        <f>+O148+O143</f>
        <v>3127225</v>
      </c>
      <c r="P150" s="48"/>
      <c r="Q150" s="39">
        <f>+Q148+Q143</f>
        <v>3654426</v>
      </c>
      <c r="R150" s="27"/>
      <c r="S150" s="39">
        <f>+S148+S143</f>
        <v>4823053</v>
      </c>
      <c r="T150" s="48"/>
      <c r="U150" s="39">
        <f>+U148+U143</f>
        <v>2178510</v>
      </c>
      <c r="V150" s="27"/>
      <c r="W150" s="39">
        <f>+W148+W143</f>
        <v>47950000</v>
      </c>
      <c r="X150" s="27"/>
      <c r="Y150" s="39">
        <f>+Y148+Y143</f>
        <v>9203840</v>
      </c>
      <c r="Z150" s="151"/>
      <c r="AA150" s="39">
        <f>+AA148+AA143</f>
        <v>1345923</v>
      </c>
      <c r="AB150" s="48"/>
      <c r="AC150" s="39">
        <f>+AC148+AC143</f>
        <v>753564</v>
      </c>
      <c r="AD150" s="27"/>
      <c r="AE150" s="39">
        <f t="shared" ref="AE150" si="83">+AE148+AE143</f>
        <v>202708</v>
      </c>
      <c r="AF150" s="27"/>
      <c r="AG150" s="39">
        <f t="shared" ref="AG150" si="84">+AG148+AG143</f>
        <v>451814</v>
      </c>
      <c r="AH150" s="27"/>
      <c r="AI150" s="153">
        <f t="shared" si="82"/>
        <v>2</v>
      </c>
    </row>
    <row r="151" spans="1:37">
      <c r="E151" s="216"/>
      <c r="F151" s="216"/>
      <c r="G151" s="253"/>
      <c r="H151" s="216"/>
      <c r="I151" s="254"/>
      <c r="K151" s="151"/>
      <c r="M151" s="151"/>
      <c r="O151" s="151"/>
      <c r="P151" s="151"/>
      <c r="Q151" s="151"/>
      <c r="S151" s="151"/>
      <c r="T151" s="151"/>
      <c r="U151" s="151"/>
      <c r="W151" s="151"/>
      <c r="Y151" s="151"/>
      <c r="Z151" s="151"/>
      <c r="AA151" s="151"/>
      <c r="AB151" s="151"/>
      <c r="AC151" s="151"/>
      <c r="AE151" s="151"/>
      <c r="AG151" s="151"/>
      <c r="AI151" s="153">
        <f t="shared" si="82"/>
        <v>0</v>
      </c>
    </row>
    <row r="152" spans="1:37" ht="15.75">
      <c r="B152" s="912">
        <f>[2]WPs!$Y$205*1000+'[2]D-1'!$I$28*1000-[2]WPs!$Y$56*1000</f>
        <v>281114520.84320676</v>
      </c>
      <c r="E152" s="443" t="s">
        <v>246</v>
      </c>
      <c r="F152" s="443"/>
      <c r="G152" s="444"/>
      <c r="H152" s="443"/>
      <c r="I152" s="445">
        <f>+I150+I125+I115+I105+I94+I44+I51+I57</f>
        <v>281114521.82910275</v>
      </c>
      <c r="J152" s="27"/>
      <c r="K152" s="39">
        <f>+K150+K125+K115+K105+K94+K44+K51+K57</f>
        <v>91813081.495720521</v>
      </c>
      <c r="L152" s="27"/>
      <c r="M152" s="39">
        <f>+M150+M125+M115+M105+M94+M44+M51+M57</f>
        <v>29381056.664346769</v>
      </c>
      <c r="N152" s="27"/>
      <c r="O152" s="39">
        <f>+O150+O125+O115+O105+O94+O44+O51+O57</f>
        <v>6906227.9719796311</v>
      </c>
      <c r="P152" s="27"/>
      <c r="Q152" s="39">
        <f>+Q150+Q125+Q115+Q105+Q94+Q44+Q51+Q57</f>
        <v>8123836.679013364</v>
      </c>
      <c r="R152" s="27"/>
      <c r="S152" s="39">
        <f>+S150+S125+S115+S105+S94+S44+S51+S57</f>
        <v>10571603</v>
      </c>
      <c r="T152" s="48"/>
      <c r="U152" s="39">
        <f>+U150+U125+U115+U105+U94+U44+U51+U57</f>
        <v>4803226</v>
      </c>
      <c r="V152" s="27"/>
      <c r="W152" s="39">
        <f>+W150+W125+W115+W105+W94+W44+W51+W57</f>
        <v>103965775.73952483</v>
      </c>
      <c r="X152" s="27"/>
      <c r="Y152" s="39">
        <f>+Y150+Y125+Y115+Y105+Y94+Y44+Y51+Y57</f>
        <v>19573758.042459249</v>
      </c>
      <c r="Z152" s="27"/>
      <c r="AA152" s="39">
        <f>+AA150+AA125+AA115+AA105+AA94+AA44+AA51+AA57</f>
        <v>2914155</v>
      </c>
      <c r="AB152" s="27"/>
      <c r="AC152" s="39">
        <f>+AC150+AC125+AC115+AC105+AC94+AC44+AC51+AC57</f>
        <v>1631715</v>
      </c>
      <c r="AD152" s="27"/>
      <c r="AE152" s="39">
        <f>+AE150+AE125+AE115+AE105+AE94+AE44+AE51+AE57</f>
        <v>454647</v>
      </c>
      <c r="AF152" s="27"/>
      <c r="AG152" s="39">
        <f>+AG150+AG125+AG115+AG105+AG94+AG44+AG51+AG57</f>
        <v>975436</v>
      </c>
      <c r="AH152" s="27"/>
      <c r="AI152" s="153">
        <f t="shared" si="82"/>
        <v>-3.2360584139823914</v>
      </c>
    </row>
    <row r="153" spans="1:37" ht="16.149999999999999" customHeight="1">
      <c r="B153" s="172">
        <f>+I152-B152</f>
        <v>0.98589599132537842</v>
      </c>
      <c r="E153" s="216"/>
      <c r="F153" s="216"/>
      <c r="G153" s="253"/>
      <c r="H153" s="216"/>
      <c r="I153" s="274"/>
      <c r="S153" s="151"/>
      <c r="T153" s="151"/>
      <c r="U153" s="151"/>
      <c r="AA153" s="151"/>
      <c r="AB153" s="151"/>
      <c r="AC153" s="151"/>
      <c r="AE153" s="151"/>
      <c r="AG153" s="151"/>
      <c r="AI153" s="153">
        <f t="shared" si="82"/>
        <v>0</v>
      </c>
    </row>
    <row r="154" spans="1:37" ht="33" customHeight="1">
      <c r="C154" s="27" t="s">
        <v>426</v>
      </c>
      <c r="E154" s="216"/>
      <c r="F154" s="216"/>
      <c r="G154" s="253"/>
      <c r="H154" s="216"/>
      <c r="I154" s="274"/>
      <c r="AI154" s="153">
        <f t="shared" si="82"/>
        <v>0</v>
      </c>
    </row>
    <row r="155" spans="1:37" ht="6.6" customHeight="1">
      <c r="E155" s="449"/>
      <c r="F155" s="216"/>
      <c r="G155" s="253"/>
      <c r="H155" s="216"/>
      <c r="I155" s="274"/>
      <c r="AI155" s="153">
        <f t="shared" si="82"/>
        <v>0</v>
      </c>
    </row>
    <row r="156" spans="1:37" s="87" customFormat="1" ht="15.75" customHeight="1">
      <c r="C156" s="27" t="s">
        <v>636</v>
      </c>
      <c r="E156" s="252"/>
      <c r="F156" s="252"/>
      <c r="G156" s="376"/>
      <c r="H156" s="252"/>
      <c r="I156" s="254"/>
      <c r="AI156" s="1025"/>
    </row>
    <row r="157" spans="1:37" s="87" customFormat="1" ht="15.75" customHeight="1">
      <c r="C157" s="1008">
        <v>305</v>
      </c>
      <c r="E157" s="87" t="s">
        <v>729</v>
      </c>
      <c r="F157" s="252"/>
      <c r="G157" s="376">
        <v>2</v>
      </c>
      <c r="H157" s="252"/>
      <c r="I157" s="254">
        <f>+'Linkin (2)'!W14</f>
        <v>0</v>
      </c>
      <c r="K157" s="172">
        <f t="shared" ref="K157:K167" si="85">ROUND(VLOOKUP($G157,factors,+K$375,FALSE)*$I157,0)</f>
        <v>0</v>
      </c>
      <c r="M157" s="172">
        <f t="shared" ref="M157:M167" si="86">ROUND(VLOOKUP($G157,factors,+M$375,FALSE)*$I157,0)</f>
        <v>0</v>
      </c>
      <c r="N157" s="172"/>
      <c r="O157" s="172">
        <f t="shared" ref="O157:O167" si="87">ROUND(VLOOKUP($G157,factors,+O$375,FALSE)*$I157,0)</f>
        <v>0</v>
      </c>
      <c r="P157" s="172"/>
      <c r="Q157" s="172">
        <f t="shared" ref="Q157:Q167" si="88">ROUND(VLOOKUP($G157,factors,+Q$375,FALSE)*$I157,0)</f>
        <v>0</v>
      </c>
      <c r="R157" s="172"/>
      <c r="S157" s="145">
        <f t="shared" ref="S157:S167" si="89">ROUND(VLOOKUP($G157,factors,+S$375,FALSE)*$I157,0)</f>
        <v>0</v>
      </c>
      <c r="T157" s="145"/>
      <c r="U157" s="145">
        <f t="shared" ref="U157:U167" si="90">ROUND(VLOOKUP($G157,factors,+U$375,FALSE)*$I157,0)</f>
        <v>0</v>
      </c>
      <c r="W157" s="172">
        <f t="shared" ref="W157:W167" si="91">ROUND(VLOOKUP($G157,factors,+W$375,FALSE)*$I157,0)</f>
        <v>0</v>
      </c>
      <c r="X157" s="172"/>
      <c r="Y157" s="172">
        <f t="shared" ref="Y157:Y167" si="92">ROUND(VLOOKUP($G157,factors,+Y$375,FALSE)*$I157,0)</f>
        <v>0</v>
      </c>
      <c r="Z157" s="145"/>
      <c r="AA157" s="145">
        <f t="shared" ref="AA157:AA167" si="93">ROUND(VLOOKUP($G157,factors,+AA$375,FALSE)*$I157,0)</f>
        <v>0</v>
      </c>
      <c r="AB157" s="145"/>
      <c r="AC157" s="145">
        <f t="shared" ref="AC157:AC167" si="94">ROUND(VLOOKUP($G157,factors,+AC$375,FALSE)*$I157,0)</f>
        <v>0</v>
      </c>
      <c r="AE157" s="145">
        <f t="shared" ref="AE157:AE167" si="95">ROUND(VLOOKUP($G157,factors,+AE$375,FALSE)*$I157,0)</f>
        <v>0</v>
      </c>
      <c r="AG157" s="145">
        <f t="shared" ref="AG157:AG167" si="96">ROUND(VLOOKUP($G157,factors,+AG$375,FALSE)*$I157,0)</f>
        <v>0</v>
      </c>
      <c r="AH157" s="172"/>
      <c r="AI157" s="1025">
        <f t="shared" ref="AI157:AI189" si="97">SUM(K157:AG157)-I157</f>
        <v>0</v>
      </c>
    </row>
    <row r="158" spans="1:37" s="87" customFormat="1" ht="15.75" customHeight="1">
      <c r="C158" s="1008">
        <v>325.2</v>
      </c>
      <c r="E158" s="87" t="s">
        <v>738</v>
      </c>
      <c r="F158" s="252"/>
      <c r="G158" s="376">
        <v>2</v>
      </c>
      <c r="H158" s="252"/>
      <c r="I158" s="254">
        <f>+'Linkin (2)'!W15</f>
        <v>14858</v>
      </c>
      <c r="K158" s="172">
        <f t="shared" si="85"/>
        <v>2238</v>
      </c>
      <c r="M158" s="172">
        <f t="shared" si="86"/>
        <v>1379</v>
      </c>
      <c r="N158" s="172"/>
      <c r="O158" s="172">
        <f t="shared" si="87"/>
        <v>461</v>
      </c>
      <c r="P158" s="172"/>
      <c r="Q158" s="172">
        <f t="shared" si="88"/>
        <v>984</v>
      </c>
      <c r="R158" s="172"/>
      <c r="S158" s="145">
        <f t="shared" si="89"/>
        <v>7332</v>
      </c>
      <c r="T158" s="145"/>
      <c r="U158" s="145">
        <f t="shared" si="90"/>
        <v>2465</v>
      </c>
      <c r="W158" s="172">
        <f t="shared" si="91"/>
        <v>0</v>
      </c>
      <c r="X158" s="172"/>
      <c r="Y158" s="172">
        <f t="shared" si="92"/>
        <v>0</v>
      </c>
      <c r="Z158" s="145"/>
      <c r="AA158" s="145">
        <f t="shared" si="93"/>
        <v>0</v>
      </c>
      <c r="AB158" s="145"/>
      <c r="AC158" s="145">
        <f t="shared" si="94"/>
        <v>0</v>
      </c>
      <c r="AE158" s="145">
        <f t="shared" si="95"/>
        <v>0</v>
      </c>
      <c r="AG158" s="145">
        <f t="shared" si="96"/>
        <v>0</v>
      </c>
      <c r="AH158" s="172"/>
      <c r="AI158" s="1025">
        <f t="shared" si="97"/>
        <v>1</v>
      </c>
    </row>
    <row r="159" spans="1:37" s="87" customFormat="1" ht="15.75" customHeight="1">
      <c r="C159" s="1008">
        <v>325.39999999999998</v>
      </c>
      <c r="E159" s="87" t="s">
        <v>730</v>
      </c>
      <c r="F159" s="252"/>
      <c r="G159" s="376">
        <v>2</v>
      </c>
      <c r="H159" s="252"/>
      <c r="I159" s="254">
        <f>+'Linkin (2)'!W16</f>
        <v>19</v>
      </c>
      <c r="K159" s="172">
        <f t="shared" si="85"/>
        <v>3</v>
      </c>
      <c r="M159" s="172">
        <f t="shared" si="86"/>
        <v>2</v>
      </c>
      <c r="N159" s="172"/>
      <c r="O159" s="172">
        <f t="shared" si="87"/>
        <v>1</v>
      </c>
      <c r="P159" s="172"/>
      <c r="Q159" s="172">
        <f t="shared" si="88"/>
        <v>1</v>
      </c>
      <c r="R159" s="172"/>
      <c r="S159" s="145">
        <f t="shared" si="89"/>
        <v>9</v>
      </c>
      <c r="T159" s="145"/>
      <c r="U159" s="145">
        <f t="shared" si="90"/>
        <v>3</v>
      </c>
      <c r="W159" s="172">
        <f t="shared" si="91"/>
        <v>0</v>
      </c>
      <c r="X159" s="172"/>
      <c r="Y159" s="172">
        <f t="shared" si="92"/>
        <v>0</v>
      </c>
      <c r="Z159" s="145"/>
      <c r="AA159" s="145">
        <f t="shared" si="93"/>
        <v>0</v>
      </c>
      <c r="AB159" s="145"/>
      <c r="AC159" s="145">
        <f t="shared" si="94"/>
        <v>0</v>
      </c>
      <c r="AE159" s="145">
        <f t="shared" si="95"/>
        <v>0</v>
      </c>
      <c r="AG159" s="145">
        <f t="shared" si="96"/>
        <v>0</v>
      </c>
      <c r="AH159" s="172"/>
      <c r="AI159" s="1025">
        <f t="shared" si="97"/>
        <v>0</v>
      </c>
    </row>
    <row r="160" spans="1:37" s="87" customFormat="1" ht="15.75" customHeight="1">
      <c r="C160" s="1008">
        <v>328</v>
      </c>
      <c r="E160" s="87" t="s">
        <v>731</v>
      </c>
      <c r="F160" s="252"/>
      <c r="G160" s="376">
        <v>2</v>
      </c>
      <c r="H160" s="252"/>
      <c r="I160" s="254">
        <f>+'Linkin (2)'!W17</f>
        <v>0</v>
      </c>
      <c r="K160" s="172">
        <f t="shared" si="85"/>
        <v>0</v>
      </c>
      <c r="M160" s="172">
        <f t="shared" si="86"/>
        <v>0</v>
      </c>
      <c r="N160" s="172"/>
      <c r="O160" s="172">
        <f t="shared" si="87"/>
        <v>0</v>
      </c>
      <c r="P160" s="172"/>
      <c r="Q160" s="172">
        <f t="shared" si="88"/>
        <v>0</v>
      </c>
      <c r="R160" s="172"/>
      <c r="S160" s="145">
        <f t="shared" si="89"/>
        <v>0</v>
      </c>
      <c r="T160" s="145"/>
      <c r="U160" s="145">
        <f t="shared" si="90"/>
        <v>0</v>
      </c>
      <c r="W160" s="172">
        <f t="shared" si="91"/>
        <v>0</v>
      </c>
      <c r="X160" s="172"/>
      <c r="Y160" s="172">
        <f t="shared" si="92"/>
        <v>0</v>
      </c>
      <c r="Z160" s="145"/>
      <c r="AA160" s="145">
        <f t="shared" si="93"/>
        <v>0</v>
      </c>
      <c r="AB160" s="145"/>
      <c r="AC160" s="145">
        <f t="shared" si="94"/>
        <v>0</v>
      </c>
      <c r="AE160" s="145">
        <f t="shared" si="95"/>
        <v>0</v>
      </c>
      <c r="AG160" s="145">
        <f t="shared" si="96"/>
        <v>0</v>
      </c>
      <c r="AH160" s="172"/>
      <c r="AI160" s="1025">
        <f t="shared" si="97"/>
        <v>0</v>
      </c>
    </row>
    <row r="161" spans="3:35" s="87" customFormat="1" ht="15.75" customHeight="1">
      <c r="C161" s="1008">
        <v>329</v>
      </c>
      <c r="E161" s="87" t="s">
        <v>732</v>
      </c>
      <c r="F161" s="252"/>
      <c r="G161" s="376">
        <v>2</v>
      </c>
      <c r="H161" s="252"/>
      <c r="I161" s="254">
        <f>+'Linkin (2)'!W18</f>
        <v>0</v>
      </c>
      <c r="K161" s="172">
        <f t="shared" si="85"/>
        <v>0</v>
      </c>
      <c r="M161" s="172">
        <f t="shared" si="86"/>
        <v>0</v>
      </c>
      <c r="N161" s="172"/>
      <c r="O161" s="172">
        <f t="shared" si="87"/>
        <v>0</v>
      </c>
      <c r="P161" s="172"/>
      <c r="Q161" s="172">
        <f t="shared" si="88"/>
        <v>0</v>
      </c>
      <c r="R161" s="172"/>
      <c r="S161" s="145">
        <f t="shared" si="89"/>
        <v>0</v>
      </c>
      <c r="T161" s="145"/>
      <c r="U161" s="145">
        <f t="shared" si="90"/>
        <v>0</v>
      </c>
      <c r="W161" s="172">
        <f t="shared" si="91"/>
        <v>0</v>
      </c>
      <c r="X161" s="172"/>
      <c r="Y161" s="172">
        <f t="shared" si="92"/>
        <v>0</v>
      </c>
      <c r="Z161" s="145"/>
      <c r="AA161" s="145">
        <f t="shared" si="93"/>
        <v>0</v>
      </c>
      <c r="AB161" s="145"/>
      <c r="AC161" s="145">
        <f t="shared" si="94"/>
        <v>0</v>
      </c>
      <c r="AE161" s="145">
        <f t="shared" si="95"/>
        <v>0</v>
      </c>
      <c r="AG161" s="145">
        <f t="shared" si="96"/>
        <v>0</v>
      </c>
      <c r="AH161" s="172"/>
      <c r="AI161" s="1025">
        <f t="shared" si="97"/>
        <v>0</v>
      </c>
    </row>
    <row r="162" spans="3:35" s="87" customFormat="1" ht="15.75" customHeight="1">
      <c r="C162" s="1008">
        <v>330</v>
      </c>
      <c r="E162" s="87" t="s">
        <v>733</v>
      </c>
      <c r="F162" s="252"/>
      <c r="G162" s="376">
        <v>2</v>
      </c>
      <c r="H162" s="252"/>
      <c r="I162" s="254">
        <f>+'Linkin (2)'!W19</f>
        <v>0</v>
      </c>
      <c r="K162" s="172">
        <f t="shared" si="85"/>
        <v>0</v>
      </c>
      <c r="M162" s="172">
        <f t="shared" si="86"/>
        <v>0</v>
      </c>
      <c r="N162" s="172"/>
      <c r="O162" s="172">
        <f t="shared" si="87"/>
        <v>0</v>
      </c>
      <c r="P162" s="172"/>
      <c r="Q162" s="172">
        <f t="shared" si="88"/>
        <v>0</v>
      </c>
      <c r="R162" s="172"/>
      <c r="S162" s="145">
        <f t="shared" si="89"/>
        <v>0</v>
      </c>
      <c r="T162" s="145"/>
      <c r="U162" s="145">
        <f t="shared" si="90"/>
        <v>0</v>
      </c>
      <c r="W162" s="172">
        <f t="shared" si="91"/>
        <v>0</v>
      </c>
      <c r="X162" s="172"/>
      <c r="Y162" s="172">
        <f t="shared" si="92"/>
        <v>0</v>
      </c>
      <c r="Z162" s="145"/>
      <c r="AA162" s="145">
        <f t="shared" si="93"/>
        <v>0</v>
      </c>
      <c r="AB162" s="145"/>
      <c r="AC162" s="145">
        <f t="shared" si="94"/>
        <v>0</v>
      </c>
      <c r="AE162" s="145">
        <f t="shared" si="95"/>
        <v>0</v>
      </c>
      <c r="AG162" s="145">
        <f t="shared" si="96"/>
        <v>0</v>
      </c>
      <c r="AH162" s="172"/>
      <c r="AI162" s="1025">
        <f t="shared" si="97"/>
        <v>0</v>
      </c>
    </row>
    <row r="163" spans="3:35" s="87" customFormat="1" ht="15.75" customHeight="1">
      <c r="C163" s="1008">
        <v>331</v>
      </c>
      <c r="E163" s="87" t="s">
        <v>734</v>
      </c>
      <c r="F163" s="252"/>
      <c r="G163" s="376">
        <v>2</v>
      </c>
      <c r="H163" s="252"/>
      <c r="I163" s="254">
        <f>+'Linkin (2)'!W20</f>
        <v>0</v>
      </c>
      <c r="K163" s="172">
        <f t="shared" si="85"/>
        <v>0</v>
      </c>
      <c r="M163" s="172">
        <f t="shared" si="86"/>
        <v>0</v>
      </c>
      <c r="N163" s="172"/>
      <c r="O163" s="172">
        <f t="shared" si="87"/>
        <v>0</v>
      </c>
      <c r="P163" s="172"/>
      <c r="Q163" s="172">
        <f t="shared" si="88"/>
        <v>0</v>
      </c>
      <c r="R163" s="172"/>
      <c r="S163" s="145">
        <f t="shared" si="89"/>
        <v>0</v>
      </c>
      <c r="T163" s="145"/>
      <c r="U163" s="145">
        <f t="shared" si="90"/>
        <v>0</v>
      </c>
      <c r="W163" s="172">
        <f t="shared" si="91"/>
        <v>0</v>
      </c>
      <c r="X163" s="172"/>
      <c r="Y163" s="172">
        <f t="shared" si="92"/>
        <v>0</v>
      </c>
      <c r="Z163" s="145"/>
      <c r="AA163" s="145">
        <f t="shared" si="93"/>
        <v>0</v>
      </c>
      <c r="AB163" s="145"/>
      <c r="AC163" s="145">
        <f t="shared" si="94"/>
        <v>0</v>
      </c>
      <c r="AE163" s="145">
        <f t="shared" si="95"/>
        <v>0</v>
      </c>
      <c r="AG163" s="145">
        <f t="shared" si="96"/>
        <v>0</v>
      </c>
      <c r="AH163" s="172"/>
      <c r="AI163" s="1025">
        <f t="shared" si="97"/>
        <v>0</v>
      </c>
    </row>
    <row r="164" spans="3:35" s="87" customFormat="1" ht="15.75" customHeight="1">
      <c r="C164" s="1008">
        <v>332</v>
      </c>
      <c r="E164" s="87" t="s">
        <v>735</v>
      </c>
      <c r="F164" s="252"/>
      <c r="G164" s="376">
        <v>2</v>
      </c>
      <c r="H164" s="252"/>
      <c r="I164" s="254">
        <f>+'Linkin (2)'!W21</f>
        <v>1004</v>
      </c>
      <c r="K164" s="172">
        <f t="shared" si="85"/>
        <v>151</v>
      </c>
      <c r="M164" s="172">
        <f t="shared" si="86"/>
        <v>93</v>
      </c>
      <c r="N164" s="172"/>
      <c r="O164" s="172">
        <f t="shared" si="87"/>
        <v>31</v>
      </c>
      <c r="P164" s="172"/>
      <c r="Q164" s="172">
        <f t="shared" si="88"/>
        <v>66</v>
      </c>
      <c r="R164" s="172"/>
      <c r="S164" s="145">
        <f t="shared" si="89"/>
        <v>495</v>
      </c>
      <c r="T164" s="145"/>
      <c r="U164" s="145">
        <f t="shared" si="90"/>
        <v>167</v>
      </c>
      <c r="W164" s="172">
        <f t="shared" si="91"/>
        <v>0</v>
      </c>
      <c r="X164" s="172"/>
      <c r="Y164" s="172">
        <f t="shared" si="92"/>
        <v>0</v>
      </c>
      <c r="Z164" s="145"/>
      <c r="AA164" s="145">
        <f t="shared" si="93"/>
        <v>0</v>
      </c>
      <c r="AB164" s="145"/>
      <c r="AC164" s="145">
        <f t="shared" si="94"/>
        <v>0</v>
      </c>
      <c r="AE164" s="145">
        <f t="shared" si="95"/>
        <v>0</v>
      </c>
      <c r="AG164" s="145">
        <f t="shared" si="96"/>
        <v>0</v>
      </c>
      <c r="AH164" s="172"/>
      <c r="AI164" s="1025">
        <f t="shared" si="97"/>
        <v>-1</v>
      </c>
    </row>
    <row r="165" spans="3:35" s="87" customFormat="1" ht="15.75" customHeight="1">
      <c r="C165" s="1008">
        <v>334</v>
      </c>
      <c r="E165" s="87" t="s">
        <v>731</v>
      </c>
      <c r="F165" s="252"/>
      <c r="G165" s="376">
        <v>2</v>
      </c>
      <c r="H165" s="252"/>
      <c r="I165" s="254">
        <f>+'Linkin (2)'!W22</f>
        <v>614</v>
      </c>
      <c r="K165" s="172">
        <f t="shared" si="85"/>
        <v>92</v>
      </c>
      <c r="M165" s="172">
        <f t="shared" si="86"/>
        <v>57</v>
      </c>
      <c r="N165" s="172"/>
      <c r="O165" s="172">
        <f t="shared" si="87"/>
        <v>19</v>
      </c>
      <c r="P165" s="172"/>
      <c r="Q165" s="172">
        <f t="shared" si="88"/>
        <v>41</v>
      </c>
      <c r="R165" s="172"/>
      <c r="S165" s="145">
        <f t="shared" si="89"/>
        <v>303</v>
      </c>
      <c r="T165" s="145"/>
      <c r="U165" s="145">
        <f t="shared" si="90"/>
        <v>102</v>
      </c>
      <c r="W165" s="172">
        <f t="shared" si="91"/>
        <v>0</v>
      </c>
      <c r="X165" s="172"/>
      <c r="Y165" s="172">
        <f t="shared" si="92"/>
        <v>0</v>
      </c>
      <c r="Z165" s="145"/>
      <c r="AA165" s="145">
        <f t="shared" si="93"/>
        <v>0</v>
      </c>
      <c r="AB165" s="145"/>
      <c r="AC165" s="145">
        <f t="shared" si="94"/>
        <v>0</v>
      </c>
      <c r="AE165" s="145">
        <f t="shared" si="95"/>
        <v>0</v>
      </c>
      <c r="AG165" s="145">
        <f t="shared" si="96"/>
        <v>0</v>
      </c>
      <c r="AH165" s="172"/>
      <c r="AI165" s="1025">
        <f t="shared" si="97"/>
        <v>0</v>
      </c>
    </row>
    <row r="166" spans="3:35" s="87" customFormat="1" ht="15.75" customHeight="1">
      <c r="C166" s="1008">
        <v>335</v>
      </c>
      <c r="E166" s="87" t="s">
        <v>736</v>
      </c>
      <c r="F166" s="252"/>
      <c r="G166" s="376">
        <v>2</v>
      </c>
      <c r="H166" s="252"/>
      <c r="I166" s="254">
        <f>+'Linkin (2)'!W23</f>
        <v>19</v>
      </c>
      <c r="K166" s="172">
        <f t="shared" si="85"/>
        <v>3</v>
      </c>
      <c r="M166" s="172">
        <f t="shared" si="86"/>
        <v>2</v>
      </c>
      <c r="N166" s="172"/>
      <c r="O166" s="172">
        <f t="shared" si="87"/>
        <v>1</v>
      </c>
      <c r="P166" s="172"/>
      <c r="Q166" s="172">
        <f t="shared" si="88"/>
        <v>1</v>
      </c>
      <c r="R166" s="172"/>
      <c r="S166" s="145">
        <f t="shared" si="89"/>
        <v>9</v>
      </c>
      <c r="T166" s="145"/>
      <c r="U166" s="145">
        <f t="shared" si="90"/>
        <v>3</v>
      </c>
      <c r="W166" s="172">
        <f t="shared" si="91"/>
        <v>0</v>
      </c>
      <c r="X166" s="172"/>
      <c r="Y166" s="172">
        <f t="shared" si="92"/>
        <v>0</v>
      </c>
      <c r="Z166" s="145"/>
      <c r="AA166" s="145">
        <f t="shared" si="93"/>
        <v>0</v>
      </c>
      <c r="AB166" s="145"/>
      <c r="AC166" s="145">
        <f t="shared" si="94"/>
        <v>0</v>
      </c>
      <c r="AE166" s="145">
        <f t="shared" si="95"/>
        <v>0</v>
      </c>
      <c r="AG166" s="145">
        <f t="shared" si="96"/>
        <v>0</v>
      </c>
      <c r="AH166" s="172"/>
      <c r="AI166" s="1025">
        <f t="shared" si="97"/>
        <v>0</v>
      </c>
    </row>
    <row r="167" spans="3:35" s="87" customFormat="1" ht="15.75" customHeight="1">
      <c r="C167" s="1008">
        <v>337</v>
      </c>
      <c r="E167" s="87" t="s">
        <v>166</v>
      </c>
      <c r="F167" s="252"/>
      <c r="G167" s="376">
        <v>2</v>
      </c>
      <c r="H167" s="252"/>
      <c r="I167" s="254">
        <f>+'Linkin (2)'!W24</f>
        <v>0</v>
      </c>
      <c r="K167" s="172">
        <f t="shared" si="85"/>
        <v>0</v>
      </c>
      <c r="M167" s="172">
        <f t="shared" si="86"/>
        <v>0</v>
      </c>
      <c r="N167" s="172"/>
      <c r="O167" s="172">
        <f t="shared" si="87"/>
        <v>0</v>
      </c>
      <c r="P167" s="172"/>
      <c r="Q167" s="172">
        <f t="shared" si="88"/>
        <v>0</v>
      </c>
      <c r="R167" s="172"/>
      <c r="S167" s="145">
        <f t="shared" si="89"/>
        <v>0</v>
      </c>
      <c r="T167" s="145"/>
      <c r="U167" s="145">
        <f t="shared" si="90"/>
        <v>0</v>
      </c>
      <c r="W167" s="172">
        <f t="shared" si="91"/>
        <v>0</v>
      </c>
      <c r="X167" s="172"/>
      <c r="Y167" s="172">
        <f t="shared" si="92"/>
        <v>0</v>
      </c>
      <c r="Z167" s="145"/>
      <c r="AA167" s="145">
        <f t="shared" si="93"/>
        <v>0</v>
      </c>
      <c r="AB167" s="145"/>
      <c r="AC167" s="145">
        <f t="shared" si="94"/>
        <v>0</v>
      </c>
      <c r="AE167" s="145">
        <f t="shared" si="95"/>
        <v>0</v>
      </c>
      <c r="AG167" s="145">
        <f t="shared" si="96"/>
        <v>0</v>
      </c>
      <c r="AH167" s="172"/>
      <c r="AI167" s="1025">
        <f t="shared" si="97"/>
        <v>0</v>
      </c>
    </row>
    <row r="168" spans="3:35" s="27" customFormat="1" ht="15.75" customHeight="1">
      <c r="C168" s="45"/>
      <c r="E168" s="27" t="s">
        <v>742</v>
      </c>
      <c r="F168" s="443"/>
      <c r="G168" s="444"/>
      <c r="H168" s="443"/>
      <c r="I168" s="994">
        <f>SUM(I157:I167)</f>
        <v>16514</v>
      </c>
      <c r="J168" s="443"/>
      <c r="K168" s="994">
        <f t="shared" ref="K168" si="98">SUM(K157:K167)</f>
        <v>2487</v>
      </c>
      <c r="L168" s="443"/>
      <c r="M168" s="994">
        <f t="shared" ref="M168" si="99">SUM(M157:M167)</f>
        <v>1533</v>
      </c>
      <c r="N168" s="443"/>
      <c r="O168" s="994">
        <f t="shared" ref="O168" si="100">SUM(O157:O167)</f>
        <v>513</v>
      </c>
      <c r="P168" s="443"/>
      <c r="Q168" s="994">
        <f t="shared" ref="Q168" si="101">SUM(Q157:Q167)</f>
        <v>1093</v>
      </c>
      <c r="R168" s="443"/>
      <c r="S168" s="994">
        <f t="shared" ref="S168" si="102">SUM(S157:S167)</f>
        <v>8148</v>
      </c>
      <c r="T168" s="443"/>
      <c r="U168" s="994">
        <f t="shared" ref="U168" si="103">SUM(U157:U167)</f>
        <v>2740</v>
      </c>
      <c r="V168" s="443"/>
      <c r="W168" s="994">
        <f t="shared" ref="W168" si="104">SUM(W157:W167)</f>
        <v>0</v>
      </c>
      <c r="X168" s="443"/>
      <c r="Y168" s="994">
        <f t="shared" ref="Y168" si="105">SUM(Y157:Y167)</f>
        <v>0</v>
      </c>
      <c r="Z168" s="443"/>
      <c r="AA168" s="994">
        <f t="shared" ref="AA168" si="106">SUM(AA157:AA167)</f>
        <v>0</v>
      </c>
      <c r="AB168" s="443"/>
      <c r="AC168" s="994">
        <f t="shared" ref="AC168" si="107">SUM(AC157:AC167)</f>
        <v>0</v>
      </c>
      <c r="AD168" s="443"/>
      <c r="AE168" s="994">
        <f t="shared" ref="AE168" si="108">SUM(AE157:AE167)</f>
        <v>0</v>
      </c>
      <c r="AF168" s="443"/>
      <c r="AG168" s="994">
        <f t="shared" ref="AG168" si="109">SUM(AG157:AG167)</f>
        <v>0</v>
      </c>
      <c r="AI168" s="1025">
        <f t="shared" si="97"/>
        <v>0</v>
      </c>
    </row>
    <row r="169" spans="3:35" s="87" customFormat="1" ht="15.75" customHeight="1">
      <c r="C169" s="1008"/>
      <c r="F169" s="252"/>
      <c r="G169" s="376"/>
      <c r="H169" s="252"/>
      <c r="I169" s="254"/>
      <c r="AI169" s="1025">
        <f t="shared" si="97"/>
        <v>0</v>
      </c>
    </row>
    <row r="170" spans="3:35" s="87" customFormat="1" ht="15.75" customHeight="1">
      <c r="C170" s="27" t="s">
        <v>657</v>
      </c>
      <c r="E170" s="252"/>
      <c r="F170" s="252"/>
      <c r="G170" s="376"/>
      <c r="H170" s="252"/>
      <c r="I170" s="254"/>
      <c r="AI170" s="1025">
        <f t="shared" si="97"/>
        <v>0</v>
      </c>
    </row>
    <row r="171" spans="3:35" s="27" customFormat="1" ht="15.75" customHeight="1">
      <c r="C171" s="45">
        <v>352.01</v>
      </c>
      <c r="E171" s="27" t="s">
        <v>737</v>
      </c>
      <c r="F171" s="443"/>
      <c r="G171" s="444">
        <v>2</v>
      </c>
      <c r="H171" s="443"/>
      <c r="I171" s="1026">
        <f>+'Linkin (2)'!W28</f>
        <v>15970</v>
      </c>
      <c r="K171" s="684">
        <f>ROUND(VLOOKUP($G171,factors,+K$375)*$I171,0)</f>
        <v>2405</v>
      </c>
      <c r="M171" s="684">
        <f>ROUND(VLOOKUP($G171,factors,+M$375)*$I171,0)</f>
        <v>1482</v>
      </c>
      <c r="N171" s="684"/>
      <c r="O171" s="684">
        <f>ROUND(VLOOKUP($G171,factors,+O$375)*$I171,0)</f>
        <v>495</v>
      </c>
      <c r="P171" s="684"/>
      <c r="Q171" s="684">
        <f>ROUND(VLOOKUP($G171,factors,+Q$375)*$I171,0)</f>
        <v>1057</v>
      </c>
      <c r="R171" s="684"/>
      <c r="S171" s="242">
        <f>ROUND(VLOOKUP($G171,factors,+S$375)*$I171,0)</f>
        <v>7881</v>
      </c>
      <c r="T171" s="242"/>
      <c r="U171" s="242">
        <f>ROUND(VLOOKUP($G171,factors,+U$375)*$I171,0)</f>
        <v>2649</v>
      </c>
      <c r="W171" s="684">
        <f>ROUND(VLOOKUP($G171,factors,+W$375)*$I171,0)</f>
        <v>0</v>
      </c>
      <c r="X171" s="684"/>
      <c r="Y171" s="684">
        <f>ROUND(VLOOKUP($G171,factors,+Y$375)*$I171,0)</f>
        <v>0</v>
      </c>
      <c r="Z171" s="242"/>
      <c r="AA171" s="242">
        <f>ROUND(VLOOKUP($G171,factors,+AA$375)*$I171,0)</f>
        <v>0</v>
      </c>
      <c r="AB171" s="242"/>
      <c r="AC171" s="242">
        <f>ROUND(VLOOKUP($G171,factors,+AC$375)*$I171,0)</f>
        <v>0</v>
      </c>
      <c r="AE171" s="242">
        <f>ROUND(VLOOKUP($G171,factors,+AE$375)*$I171,0)</f>
        <v>0</v>
      </c>
      <c r="AG171" s="242">
        <f>ROUND(VLOOKUP($G171,factors,+AG$375)*$I171,0)</f>
        <v>0</v>
      </c>
      <c r="AH171" s="684"/>
      <c r="AI171" s="1025">
        <f t="shared" si="97"/>
        <v>-1</v>
      </c>
    </row>
    <row r="172" spans="3:35" s="87" customFormat="1" ht="15.75" customHeight="1">
      <c r="C172" s="1008"/>
      <c r="F172" s="252"/>
      <c r="G172" s="376"/>
      <c r="H172" s="252"/>
      <c r="I172" s="254"/>
      <c r="AI172" s="1025">
        <f t="shared" si="97"/>
        <v>0</v>
      </c>
    </row>
    <row r="173" spans="3:35" s="87" customFormat="1" ht="15.75" customHeight="1">
      <c r="C173" s="634" t="s">
        <v>660</v>
      </c>
      <c r="F173" s="252"/>
      <c r="G173" s="376"/>
      <c r="H173" s="252"/>
      <c r="I173" s="254"/>
      <c r="AI173" s="1025">
        <f t="shared" si="97"/>
        <v>0</v>
      </c>
    </row>
    <row r="174" spans="3:35" s="87" customFormat="1" ht="15.75" customHeight="1">
      <c r="C174" s="1008">
        <v>365.2</v>
      </c>
      <c r="E174" s="87" t="s">
        <v>730</v>
      </c>
      <c r="F174" s="252"/>
      <c r="G174" s="376">
        <v>4</v>
      </c>
      <c r="H174" s="252"/>
      <c r="I174" s="254">
        <f>+'Linkin (2)'!$W32</f>
        <v>11864</v>
      </c>
      <c r="K174" s="172">
        <f t="shared" ref="K174:K180" si="110">ROUND(VLOOKUP($G174,factors,+K$375,FALSE)*$I174,0)</f>
        <v>5675</v>
      </c>
      <c r="M174" s="172">
        <f t="shared" ref="M174:M180" si="111">ROUND(VLOOKUP($G174,factors,+M$375,FALSE)*$I174,0)</f>
        <v>3532</v>
      </c>
      <c r="N174" s="172"/>
      <c r="O174" s="172">
        <f t="shared" ref="O174:O180" si="112">ROUND(VLOOKUP($G174,factors,+O$375,FALSE)*$I174,0)</f>
        <v>986</v>
      </c>
      <c r="P174" s="172"/>
      <c r="Q174" s="172">
        <f t="shared" ref="Q174:Q180" si="113">ROUND(VLOOKUP($G174,factors,+Q$375,FALSE)*$I174,0)</f>
        <v>1131</v>
      </c>
      <c r="R174" s="172"/>
      <c r="S174" s="145">
        <f t="shared" ref="S174:S180" si="114">ROUND(VLOOKUP($G174,factors,+S$375,FALSE)*$I174,0)</f>
        <v>0</v>
      </c>
      <c r="T174" s="145"/>
      <c r="U174" s="145">
        <f t="shared" ref="U174:U180" si="115">ROUND(VLOOKUP($G174,factors,+U$375,FALSE)*$I174,0)</f>
        <v>541</v>
      </c>
      <c r="W174" s="172">
        <f t="shared" ref="W174:W180" si="116">ROUND(VLOOKUP($G174,factors,+W$375,FALSE)*$I174,0)</f>
        <v>0</v>
      </c>
      <c r="X174" s="172"/>
      <c r="Y174" s="172">
        <f t="shared" ref="Y174:Y180" si="117">ROUND(VLOOKUP($G174,factors,+Y$375,FALSE)*$I174,0)</f>
        <v>0</v>
      </c>
      <c r="Z174" s="145"/>
      <c r="AA174" s="145">
        <f t="shared" ref="AA174:AA180" si="118">ROUND(VLOOKUP($G174,factors,+AA$375,FALSE)*$I174,0)</f>
        <v>0</v>
      </c>
      <c r="AB174" s="145"/>
      <c r="AC174" s="145">
        <f t="shared" ref="AC174:AC180" si="119">ROUND(VLOOKUP($G174,factors,+AC$375,FALSE)*$I174,0)</f>
        <v>0</v>
      </c>
      <c r="AE174" s="145">
        <f t="shared" ref="AE174:AE180" si="120">ROUND(VLOOKUP($G174,factors,+AE$375,FALSE)*$I174,0)</f>
        <v>0</v>
      </c>
      <c r="AG174" s="145">
        <f t="shared" ref="AG174:AG180" si="121">ROUND(VLOOKUP($G174,factors,+AG$375,FALSE)*$I174,0)</f>
        <v>0</v>
      </c>
      <c r="AH174" s="172"/>
      <c r="AI174" s="1025">
        <f t="shared" si="97"/>
        <v>1</v>
      </c>
    </row>
    <row r="175" spans="3:35" s="87" customFormat="1" ht="15.75" customHeight="1">
      <c r="C175" s="1008">
        <v>366</v>
      </c>
      <c r="E175" s="252" t="s">
        <v>522</v>
      </c>
      <c r="F175" s="252"/>
      <c r="G175" s="376">
        <v>4</v>
      </c>
      <c r="H175" s="252"/>
      <c r="I175" s="254">
        <f>+'Linkin (2)'!$W33</f>
        <v>5869</v>
      </c>
      <c r="K175" s="172">
        <f t="shared" si="110"/>
        <v>2807</v>
      </c>
      <c r="M175" s="172">
        <f t="shared" si="111"/>
        <v>1747</v>
      </c>
      <c r="N175" s="172"/>
      <c r="O175" s="172">
        <f t="shared" si="112"/>
        <v>488</v>
      </c>
      <c r="P175" s="172"/>
      <c r="Q175" s="172">
        <f t="shared" si="113"/>
        <v>559</v>
      </c>
      <c r="R175" s="172"/>
      <c r="S175" s="145">
        <f t="shared" si="114"/>
        <v>0</v>
      </c>
      <c r="T175" s="145"/>
      <c r="U175" s="145">
        <f t="shared" si="115"/>
        <v>268</v>
      </c>
      <c r="W175" s="172">
        <f t="shared" si="116"/>
        <v>0</v>
      </c>
      <c r="X175" s="172"/>
      <c r="Y175" s="172">
        <f t="shared" si="117"/>
        <v>0</v>
      </c>
      <c r="Z175" s="145"/>
      <c r="AA175" s="145">
        <f t="shared" si="118"/>
        <v>0</v>
      </c>
      <c r="AB175" s="145"/>
      <c r="AC175" s="145">
        <f t="shared" si="119"/>
        <v>0</v>
      </c>
      <c r="AE175" s="145">
        <f t="shared" si="120"/>
        <v>0</v>
      </c>
      <c r="AG175" s="145">
        <f t="shared" si="121"/>
        <v>0</v>
      </c>
      <c r="AH175" s="172"/>
      <c r="AI175" s="1025">
        <f t="shared" si="97"/>
        <v>0</v>
      </c>
    </row>
    <row r="176" spans="3:35" s="87" customFormat="1" ht="15.75" customHeight="1">
      <c r="C176" s="1008">
        <v>367</v>
      </c>
      <c r="E176" s="252" t="s">
        <v>155</v>
      </c>
      <c r="F176" s="252"/>
      <c r="G176" s="376">
        <v>4</v>
      </c>
      <c r="H176" s="252"/>
      <c r="I176" s="254">
        <f>+'Linkin (2)'!$W34</f>
        <v>450280</v>
      </c>
      <c r="K176" s="172">
        <f t="shared" si="110"/>
        <v>215369</v>
      </c>
      <c r="M176" s="172">
        <f t="shared" si="111"/>
        <v>134048</v>
      </c>
      <c r="N176" s="172"/>
      <c r="O176" s="172">
        <f t="shared" si="112"/>
        <v>37418</v>
      </c>
      <c r="P176" s="172"/>
      <c r="Q176" s="172">
        <f t="shared" si="113"/>
        <v>42912</v>
      </c>
      <c r="R176" s="172"/>
      <c r="S176" s="145">
        <f t="shared" si="114"/>
        <v>0</v>
      </c>
      <c r="T176" s="145"/>
      <c r="U176" s="145">
        <f t="shared" si="115"/>
        <v>20533</v>
      </c>
      <c r="W176" s="172">
        <f t="shared" si="116"/>
        <v>0</v>
      </c>
      <c r="X176" s="172"/>
      <c r="Y176" s="172">
        <f t="shared" si="117"/>
        <v>0</v>
      </c>
      <c r="Z176" s="145"/>
      <c r="AA176" s="145">
        <f t="shared" si="118"/>
        <v>0</v>
      </c>
      <c r="AB176" s="145"/>
      <c r="AC176" s="145">
        <f t="shared" si="119"/>
        <v>0</v>
      </c>
      <c r="AE176" s="145">
        <f t="shared" si="120"/>
        <v>0</v>
      </c>
      <c r="AG176" s="145">
        <f t="shared" si="121"/>
        <v>0</v>
      </c>
      <c r="AH176" s="172"/>
      <c r="AI176" s="1025">
        <f t="shared" si="97"/>
        <v>0</v>
      </c>
    </row>
    <row r="177" spans="1:35" s="87" customFormat="1" ht="15.75" customHeight="1">
      <c r="C177" s="1008">
        <v>369</v>
      </c>
      <c r="E177" s="252" t="s">
        <v>739</v>
      </c>
      <c r="F177" s="252"/>
      <c r="G177" s="376">
        <v>4</v>
      </c>
      <c r="H177" s="252"/>
      <c r="I177" s="254">
        <f>+'Linkin (2)'!$W35</f>
        <v>94864</v>
      </c>
      <c r="K177" s="172">
        <f t="shared" si="110"/>
        <v>45373</v>
      </c>
      <c r="M177" s="172">
        <f t="shared" si="111"/>
        <v>28241</v>
      </c>
      <c r="N177" s="172"/>
      <c r="O177" s="172">
        <f t="shared" si="112"/>
        <v>7883</v>
      </c>
      <c r="P177" s="172"/>
      <c r="Q177" s="172">
        <f t="shared" si="113"/>
        <v>9041</v>
      </c>
      <c r="R177" s="172"/>
      <c r="S177" s="145">
        <f t="shared" si="114"/>
        <v>0</v>
      </c>
      <c r="T177" s="145"/>
      <c r="U177" s="145">
        <f t="shared" si="115"/>
        <v>4326</v>
      </c>
      <c r="W177" s="172">
        <f t="shared" si="116"/>
        <v>0</v>
      </c>
      <c r="X177" s="172"/>
      <c r="Y177" s="172">
        <f t="shared" si="117"/>
        <v>0</v>
      </c>
      <c r="Z177" s="145"/>
      <c r="AA177" s="145">
        <f t="shared" si="118"/>
        <v>0</v>
      </c>
      <c r="AB177" s="145"/>
      <c r="AC177" s="145">
        <f t="shared" si="119"/>
        <v>0</v>
      </c>
      <c r="AE177" s="145">
        <f t="shared" si="120"/>
        <v>0</v>
      </c>
      <c r="AG177" s="145">
        <f t="shared" si="121"/>
        <v>0</v>
      </c>
      <c r="AH177" s="172"/>
      <c r="AI177" s="1025">
        <f t="shared" si="97"/>
        <v>0</v>
      </c>
    </row>
    <row r="178" spans="1:35" s="87" customFormat="1" ht="15.75" customHeight="1">
      <c r="C178" s="1008">
        <v>370</v>
      </c>
      <c r="E178" s="252" t="s">
        <v>740</v>
      </c>
      <c r="F178" s="252"/>
      <c r="G178" s="376">
        <v>4</v>
      </c>
      <c r="H178" s="252"/>
      <c r="I178" s="254">
        <f>+'Linkin (2)'!$W36</f>
        <v>111341</v>
      </c>
      <c r="K178" s="172">
        <f t="shared" si="110"/>
        <v>53254</v>
      </c>
      <c r="M178" s="172">
        <f t="shared" si="111"/>
        <v>33146</v>
      </c>
      <c r="N178" s="172"/>
      <c r="O178" s="172">
        <f t="shared" si="112"/>
        <v>9252</v>
      </c>
      <c r="P178" s="172"/>
      <c r="Q178" s="172">
        <f t="shared" si="113"/>
        <v>10611</v>
      </c>
      <c r="R178" s="172"/>
      <c r="S178" s="145">
        <f t="shared" si="114"/>
        <v>0</v>
      </c>
      <c r="T178" s="145"/>
      <c r="U178" s="145">
        <f t="shared" si="115"/>
        <v>5077</v>
      </c>
      <c r="W178" s="172">
        <f t="shared" si="116"/>
        <v>0</v>
      </c>
      <c r="X178" s="172"/>
      <c r="Y178" s="172">
        <f t="shared" si="117"/>
        <v>0</v>
      </c>
      <c r="Z178" s="145"/>
      <c r="AA178" s="145">
        <f t="shared" si="118"/>
        <v>0</v>
      </c>
      <c r="AB178" s="145"/>
      <c r="AC178" s="145">
        <f t="shared" si="119"/>
        <v>0</v>
      </c>
      <c r="AE178" s="145">
        <f t="shared" si="120"/>
        <v>0</v>
      </c>
      <c r="AG178" s="145">
        <f t="shared" si="121"/>
        <v>0</v>
      </c>
      <c r="AH178" s="172"/>
      <c r="AI178" s="1025">
        <f t="shared" si="97"/>
        <v>-1</v>
      </c>
    </row>
    <row r="179" spans="1:35" s="87" customFormat="1" ht="15.75" customHeight="1">
      <c r="C179" s="1008">
        <v>371</v>
      </c>
      <c r="E179" s="252" t="s">
        <v>166</v>
      </c>
      <c r="F179" s="252"/>
      <c r="G179" s="376">
        <v>4</v>
      </c>
      <c r="H179" s="252"/>
      <c r="I179" s="254">
        <f>+'Linkin (2)'!$W37</f>
        <v>1232</v>
      </c>
      <c r="K179" s="172">
        <f t="shared" si="110"/>
        <v>589</v>
      </c>
      <c r="M179" s="172">
        <f t="shared" si="111"/>
        <v>367</v>
      </c>
      <c r="N179" s="172"/>
      <c r="O179" s="172">
        <f t="shared" si="112"/>
        <v>102</v>
      </c>
      <c r="P179" s="172"/>
      <c r="Q179" s="172">
        <f t="shared" si="113"/>
        <v>117</v>
      </c>
      <c r="R179" s="172"/>
      <c r="S179" s="145">
        <f t="shared" si="114"/>
        <v>0</v>
      </c>
      <c r="T179" s="145"/>
      <c r="U179" s="145">
        <f t="shared" si="115"/>
        <v>56</v>
      </c>
      <c r="W179" s="172">
        <f t="shared" si="116"/>
        <v>0</v>
      </c>
      <c r="X179" s="172"/>
      <c r="Y179" s="172">
        <f t="shared" si="117"/>
        <v>0</v>
      </c>
      <c r="Z179" s="145"/>
      <c r="AA179" s="145">
        <f t="shared" si="118"/>
        <v>0</v>
      </c>
      <c r="AB179" s="145"/>
      <c r="AC179" s="145">
        <f t="shared" si="119"/>
        <v>0</v>
      </c>
      <c r="AE179" s="145">
        <f t="shared" si="120"/>
        <v>0</v>
      </c>
      <c r="AG179" s="145">
        <f t="shared" si="121"/>
        <v>0</v>
      </c>
      <c r="AH179" s="172"/>
      <c r="AI179" s="1025">
        <f t="shared" si="97"/>
        <v>-1</v>
      </c>
    </row>
    <row r="180" spans="1:35" s="87" customFormat="1" ht="15.75" customHeight="1">
      <c r="C180" s="1008">
        <v>371.1</v>
      </c>
      <c r="E180" s="252" t="s">
        <v>741</v>
      </c>
      <c r="F180" s="252"/>
      <c r="G180" s="376">
        <v>4</v>
      </c>
      <c r="H180" s="252"/>
      <c r="I180" s="254">
        <f>+'Linkin (2)'!$W38</f>
        <v>5258</v>
      </c>
      <c r="K180" s="172">
        <f t="shared" si="110"/>
        <v>2515</v>
      </c>
      <c r="M180" s="172">
        <f t="shared" si="111"/>
        <v>1565</v>
      </c>
      <c r="N180" s="172"/>
      <c r="O180" s="172">
        <f t="shared" si="112"/>
        <v>437</v>
      </c>
      <c r="P180" s="172"/>
      <c r="Q180" s="172">
        <f t="shared" si="113"/>
        <v>501</v>
      </c>
      <c r="R180" s="172"/>
      <c r="S180" s="145">
        <f t="shared" si="114"/>
        <v>0</v>
      </c>
      <c r="T180" s="145"/>
      <c r="U180" s="145">
        <f t="shared" si="115"/>
        <v>240</v>
      </c>
      <c r="W180" s="172">
        <f t="shared" si="116"/>
        <v>0</v>
      </c>
      <c r="X180" s="172"/>
      <c r="Y180" s="172">
        <f t="shared" si="117"/>
        <v>0</v>
      </c>
      <c r="Z180" s="145"/>
      <c r="AA180" s="145">
        <f t="shared" si="118"/>
        <v>0</v>
      </c>
      <c r="AB180" s="145"/>
      <c r="AC180" s="145">
        <f t="shared" si="119"/>
        <v>0</v>
      </c>
      <c r="AE180" s="145">
        <f t="shared" si="120"/>
        <v>0</v>
      </c>
      <c r="AG180" s="145">
        <f t="shared" si="121"/>
        <v>0</v>
      </c>
      <c r="AH180" s="172"/>
      <c r="AI180" s="1025">
        <f t="shared" si="97"/>
        <v>0</v>
      </c>
    </row>
    <row r="181" spans="1:35" s="27" customFormat="1" ht="15.75" customHeight="1">
      <c r="C181" s="45"/>
      <c r="E181" s="443" t="s">
        <v>743</v>
      </c>
      <c r="F181" s="443"/>
      <c r="G181" s="444"/>
      <c r="H181" s="443"/>
      <c r="I181" s="994">
        <f>SUM(I174:I180)</f>
        <v>680708</v>
      </c>
      <c r="J181" s="443"/>
      <c r="K181" s="994">
        <f t="shared" ref="K181" si="122">SUM(K174:K180)</f>
        <v>325582</v>
      </c>
      <c r="L181" s="443"/>
      <c r="M181" s="994">
        <f t="shared" ref="M181" si="123">SUM(M174:M180)</f>
        <v>202646</v>
      </c>
      <c r="N181" s="443"/>
      <c r="O181" s="994">
        <f t="shared" ref="O181" si="124">SUM(O174:O180)</f>
        <v>56566</v>
      </c>
      <c r="P181" s="443"/>
      <c r="Q181" s="994">
        <f t="shared" ref="Q181" si="125">SUM(Q174:Q180)</f>
        <v>64872</v>
      </c>
      <c r="R181" s="443"/>
      <c r="S181" s="994">
        <f t="shared" ref="S181" si="126">SUM(S174:S180)</f>
        <v>0</v>
      </c>
      <c r="T181" s="443"/>
      <c r="U181" s="994">
        <f t="shared" ref="U181" si="127">SUM(U174:U180)</f>
        <v>31041</v>
      </c>
      <c r="V181" s="443"/>
      <c r="W181" s="994">
        <f t="shared" ref="W181" si="128">SUM(W174:W180)</f>
        <v>0</v>
      </c>
      <c r="X181" s="443"/>
      <c r="Y181" s="994">
        <f t="shared" ref="Y181" si="129">SUM(Y174:Y180)</f>
        <v>0</v>
      </c>
      <c r="Z181" s="443"/>
      <c r="AA181" s="994">
        <f t="shared" ref="AA181" si="130">SUM(AA174:AA180)</f>
        <v>0</v>
      </c>
      <c r="AB181" s="443"/>
      <c r="AC181" s="994">
        <f t="shared" ref="AC181" si="131">SUM(AC174:AC180)</f>
        <v>0</v>
      </c>
      <c r="AD181" s="443"/>
      <c r="AE181" s="994">
        <f t="shared" ref="AE181" si="132">SUM(AE174:AE180)</f>
        <v>0</v>
      </c>
      <c r="AF181" s="443"/>
      <c r="AG181" s="994">
        <f t="shared" ref="AG181" si="133">SUM(AG174:AG180)</f>
        <v>0</v>
      </c>
      <c r="AI181" s="1025">
        <f t="shared" si="97"/>
        <v>-1</v>
      </c>
    </row>
    <row r="182" spans="1:35" s="87" customFormat="1" ht="15.75" customHeight="1">
      <c r="E182" s="252"/>
      <c r="F182" s="252"/>
      <c r="G182" s="376"/>
      <c r="H182" s="252"/>
      <c r="I182" s="254"/>
      <c r="AI182" s="1025">
        <f t="shared" si="97"/>
        <v>0</v>
      </c>
    </row>
    <row r="183" spans="1:35" s="87" customFormat="1" ht="15.75" customHeight="1">
      <c r="C183" s="27" t="s">
        <v>235</v>
      </c>
      <c r="E183" s="252"/>
      <c r="F183" s="252"/>
      <c r="G183" s="376"/>
      <c r="H183" s="252"/>
      <c r="I183" s="254"/>
      <c r="S183" s="145"/>
      <c r="T183" s="145"/>
      <c r="U183" s="145"/>
      <c r="Z183" s="145"/>
      <c r="AA183" s="145"/>
      <c r="AB183" s="145"/>
      <c r="AC183" s="145"/>
      <c r="AE183" s="145"/>
      <c r="AG183" s="145"/>
      <c r="AI183" s="1025">
        <f t="shared" si="97"/>
        <v>0</v>
      </c>
    </row>
    <row r="184" spans="1:35" s="87" customFormat="1" ht="15.75" customHeight="1">
      <c r="C184" s="1008">
        <v>305</v>
      </c>
      <c r="E184" s="252" t="s">
        <v>518</v>
      </c>
      <c r="F184" s="252"/>
      <c r="G184" s="376">
        <v>1</v>
      </c>
      <c r="H184" s="252"/>
      <c r="I184" s="254">
        <f>+Linkin!H157</f>
        <v>0</v>
      </c>
      <c r="K184" s="172">
        <f>ROUND(VLOOKUP($G184,factors,+K$375,FALSE)*$I184,0)</f>
        <v>0</v>
      </c>
      <c r="M184" s="172">
        <f>ROUND(VLOOKUP($G184,factors,+M$375,FALSE)*$I184,0)</f>
        <v>0</v>
      </c>
      <c r="N184" s="172"/>
      <c r="O184" s="172">
        <f>ROUND(VLOOKUP($G184,factors,+O$375,FALSE)*$I184,0)</f>
        <v>0</v>
      </c>
      <c r="P184" s="172"/>
      <c r="Q184" s="172">
        <f>ROUND(VLOOKUP($G184,factors,+Q$375,FALSE)*$I184,0)</f>
        <v>0</v>
      </c>
      <c r="R184" s="172"/>
      <c r="S184" s="145">
        <f>ROUND(VLOOKUP($G184,factors,+S$375,FALSE)*$I184,0)</f>
        <v>0</v>
      </c>
      <c r="T184" s="145"/>
      <c r="U184" s="145">
        <f>ROUND(VLOOKUP($G184,factors,+U$375,FALSE)*$I184,0)</f>
        <v>0</v>
      </c>
      <c r="V184" s="145"/>
      <c r="W184" s="145">
        <f>ROUND(VLOOKUP($G184,factors,+W$375,FALSE)*$I184,0)</f>
        <v>0</v>
      </c>
      <c r="X184" s="145"/>
      <c r="Y184" s="145">
        <f>ROUND(VLOOKUP($G184,factors,+Y$375,FALSE)*$I184,0)</f>
        <v>0</v>
      </c>
      <c r="Z184" s="145"/>
      <c r="AA184" s="145">
        <f>ROUND(VLOOKUP($G184,factors,+AA$375,FALSE)*$I184,0)</f>
        <v>0</v>
      </c>
      <c r="AB184" s="145"/>
      <c r="AC184" s="172">
        <f>ROUND(VLOOKUP($G184,factors,+AC$375,FALSE)*$I184,0)</f>
        <v>0</v>
      </c>
      <c r="AD184" s="145"/>
      <c r="AE184" s="172">
        <f>ROUND(VLOOKUP($G184,factors,+AE$375,FALSE)*$I184,0)</f>
        <v>0</v>
      </c>
      <c r="AF184" s="145"/>
      <c r="AG184" s="172">
        <f>ROUND(VLOOKUP($G184,factors,+AG$375,FALSE)*$I184,0)</f>
        <v>0</v>
      </c>
      <c r="AI184" s="1025">
        <f t="shared" si="97"/>
        <v>0</v>
      </c>
    </row>
    <row r="185" spans="1:35" s="87" customFormat="1" ht="15.75" customHeight="1">
      <c r="C185" s="1008">
        <v>374.2</v>
      </c>
      <c r="E185" s="252" t="s">
        <v>749</v>
      </c>
      <c r="F185" s="252"/>
      <c r="G185" s="376">
        <v>18</v>
      </c>
      <c r="H185" s="252"/>
      <c r="I185" s="254">
        <f>+'Linkin (2)'!W42</f>
        <v>43109</v>
      </c>
      <c r="K185" s="172">
        <f>ROUND(VLOOKUP($G185,factors,+K$375,FALSE)*$I185,0)</f>
        <v>19416</v>
      </c>
      <c r="M185" s="172">
        <f>ROUND(VLOOKUP($G185,factors,+M$375,FALSE)*$I185,0)</f>
        <v>12088</v>
      </c>
      <c r="N185" s="172"/>
      <c r="O185" s="172">
        <f>ROUND(VLOOKUP($G185,factors,+O$375,FALSE)*$I185,0)</f>
        <v>3375</v>
      </c>
      <c r="P185" s="172"/>
      <c r="Q185" s="172">
        <f>ROUND(VLOOKUP($G185,factors,+Q$375,FALSE)*$I185,0)</f>
        <v>3867</v>
      </c>
      <c r="R185" s="172"/>
      <c r="S185" s="145">
        <f>ROUND(VLOOKUP($G185,factors,+S$375,FALSE)*$I185,0)</f>
        <v>2500</v>
      </c>
      <c r="T185" s="145"/>
      <c r="U185" s="145">
        <f>ROUND(VLOOKUP($G185,factors,+U$375,FALSE)*$I185,0)</f>
        <v>1862</v>
      </c>
      <c r="V185" s="145"/>
      <c r="W185" s="145">
        <f>ROUND(VLOOKUP($G185,factors,+W$375,FALSE)*$I185,0)</f>
        <v>0</v>
      </c>
      <c r="X185" s="145"/>
      <c r="Y185" s="145">
        <f>ROUND(VLOOKUP($G185,factors,+Y$375,FALSE)*$I185,0)</f>
        <v>0</v>
      </c>
      <c r="Z185" s="145"/>
      <c r="AA185" s="145">
        <f>ROUND(VLOOKUP($G185,factors,+AA$375,FALSE)*$I185,0)</f>
        <v>0</v>
      </c>
      <c r="AB185" s="145"/>
      <c r="AC185" s="172">
        <f>ROUND(VLOOKUP($G185,factors,+AC$375,FALSE)*$I185,0)</f>
        <v>0</v>
      </c>
      <c r="AD185" s="145"/>
      <c r="AE185" s="172">
        <f>ROUND(VLOOKUP($G185,factors,+AE$375,FALSE)*$I185,0)</f>
        <v>0</v>
      </c>
      <c r="AF185" s="145"/>
      <c r="AG185" s="172">
        <f>ROUND(VLOOKUP($G185,factors,+AG$375,FALSE)*$I185,0)</f>
        <v>0</v>
      </c>
      <c r="AI185" s="1025">
        <f t="shared" ref="AI185" si="134">SUM(K185:AG185)-I185</f>
        <v>-1</v>
      </c>
    </row>
    <row r="186" spans="1:35" s="87" customFormat="1">
      <c r="C186" s="1008">
        <v>375</v>
      </c>
      <c r="E186" s="252" t="s">
        <v>284</v>
      </c>
      <c r="F186" s="252"/>
      <c r="G186" s="376">
        <v>18</v>
      </c>
      <c r="H186" s="252"/>
      <c r="I186" s="254">
        <f>+'Linkin (2)'!W43</f>
        <v>89444</v>
      </c>
      <c r="K186" s="172">
        <f>ROUND(VLOOKUP($G186,factors,+K$375,FALSE)*$I186,0)</f>
        <v>40286</v>
      </c>
      <c r="M186" s="172">
        <f>ROUND(VLOOKUP($G186,factors,+M$375,FALSE)*$I186,0)</f>
        <v>25080</v>
      </c>
      <c r="N186" s="172"/>
      <c r="O186" s="172">
        <f>ROUND(VLOOKUP($G186,factors,+O$375,FALSE)*$I186,0)</f>
        <v>7003</v>
      </c>
      <c r="P186" s="172"/>
      <c r="Q186" s="172">
        <f>ROUND(VLOOKUP($G186,factors,+Q$375,FALSE)*$I186,0)</f>
        <v>8023</v>
      </c>
      <c r="R186" s="172"/>
      <c r="S186" s="145">
        <f>ROUND(VLOOKUP($G186,factors,+S$375,FALSE)*$I186,0)</f>
        <v>5188</v>
      </c>
      <c r="T186" s="145"/>
      <c r="U186" s="145">
        <f>ROUND(VLOOKUP($G186,factors,+U$375,FALSE)*$I186,0)</f>
        <v>3864</v>
      </c>
      <c r="V186" s="145"/>
      <c r="W186" s="145">
        <f>ROUND(VLOOKUP($G186,factors,+W$375,FALSE)*$I186,0)</f>
        <v>0</v>
      </c>
      <c r="X186" s="145"/>
      <c r="Y186" s="145">
        <f>ROUND(VLOOKUP($G186,factors,+Y$375,FALSE)*$I186,0)</f>
        <v>0</v>
      </c>
      <c r="Z186" s="145"/>
      <c r="AA186" s="145">
        <f>ROUND(VLOOKUP($G186,factors,+AA$375,FALSE)*$I186,0)</f>
        <v>0</v>
      </c>
      <c r="AB186" s="145"/>
      <c r="AC186" s="172">
        <f>ROUND(VLOOKUP($G186,factors,+AC$375,FALSE)*$I186,0)</f>
        <v>0</v>
      </c>
      <c r="AD186" s="145"/>
      <c r="AE186" s="172">
        <f>ROUND(VLOOKUP($G186,factors,+AE$375,FALSE)*$I186,0)</f>
        <v>0</v>
      </c>
      <c r="AF186" s="145"/>
      <c r="AG186" s="172">
        <f>ROUND(VLOOKUP($G186,factors,+AG$375,FALSE)*$I186,0)</f>
        <v>0</v>
      </c>
      <c r="AI186" s="1025">
        <f t="shared" si="97"/>
        <v>0</v>
      </c>
    </row>
    <row r="187" spans="1:35" s="87" customFormat="1">
      <c r="A187" s="296">
        <f>+'Linkin (2)'!$AA$47*Alloc!A302</f>
        <v>11601548.147459744</v>
      </c>
      <c r="B187" s="145">
        <f>SUM(I187:I189)</f>
        <v>34682212</v>
      </c>
      <c r="C187" s="1008">
        <v>376</v>
      </c>
      <c r="E187" s="252" t="s">
        <v>390</v>
      </c>
      <c r="F187" s="252"/>
      <c r="G187" s="376">
        <v>5</v>
      </c>
      <c r="H187" s="252"/>
      <c r="I187" s="254">
        <f>ROUND(A187,0)</f>
        <v>11601548</v>
      </c>
      <c r="K187" s="172">
        <f>ROUND(VLOOKUP($G187,factors,+K$375,FALSE)*$I187,0)</f>
        <v>5549020</v>
      </c>
      <c r="M187" s="172">
        <f>ROUND(VLOOKUP($G187,factors,+M$375,FALSE)*$I187,0)</f>
        <v>3453781</v>
      </c>
      <c r="N187" s="172"/>
      <c r="O187" s="172">
        <f>ROUND(VLOOKUP($G187,factors,+O$375,FALSE)*$I187,0)</f>
        <v>964089</v>
      </c>
      <c r="P187" s="172"/>
      <c r="Q187" s="172">
        <f>ROUND(VLOOKUP($G187,factors,+Q$375,FALSE)*$I187,0)</f>
        <v>1105628</v>
      </c>
      <c r="R187" s="172"/>
      <c r="S187" s="145">
        <f>ROUND(VLOOKUP($G187,factors,+S$375,FALSE)*$I187,0)</f>
        <v>0</v>
      </c>
      <c r="T187" s="145"/>
      <c r="U187" s="145">
        <f>ROUND(VLOOKUP($G187,factors,+U$375,FALSE)*$I187,0)</f>
        <v>529031</v>
      </c>
      <c r="V187" s="145"/>
      <c r="W187" s="145">
        <f>ROUND(VLOOKUP($G187,factors,+W$375,FALSE)*$I187,0)</f>
        <v>0</v>
      </c>
      <c r="X187" s="145"/>
      <c r="Y187" s="145">
        <f>ROUND(VLOOKUP($G187,factors,+Y$375,FALSE)*$I187,0)</f>
        <v>0</v>
      </c>
      <c r="Z187" s="145"/>
      <c r="AA187" s="145">
        <f>ROUND(VLOOKUP($G187,factors,+AA$375,FALSE)*$I187,0)</f>
        <v>0</v>
      </c>
      <c r="AB187" s="145"/>
      <c r="AC187" s="172">
        <f>ROUND(VLOOKUP($G187,factors,+AC$375,FALSE)*$I187,0)</f>
        <v>0</v>
      </c>
      <c r="AD187" s="145"/>
      <c r="AE187" s="172">
        <f>ROUND(VLOOKUP($G187,factors,+AE$375,FALSE)*$I187,0)</f>
        <v>0</v>
      </c>
      <c r="AF187" s="145"/>
      <c r="AG187" s="172">
        <f>ROUND(VLOOKUP($G187,factors,+AG$375,FALSE)*$I187,0)</f>
        <v>0</v>
      </c>
      <c r="AI187" s="1025">
        <f t="shared" si="97"/>
        <v>1</v>
      </c>
    </row>
    <row r="188" spans="1:35" s="87" customFormat="1">
      <c r="A188" s="296">
        <f>+'Linkin (2)'!$AA$47*Alloc!A303</f>
        <v>21060468.033451695</v>
      </c>
      <c r="B188" s="296"/>
      <c r="C188" s="1008"/>
      <c r="E188" s="252" t="s">
        <v>391</v>
      </c>
      <c r="F188" s="252"/>
      <c r="G188" s="376">
        <v>4</v>
      </c>
      <c r="H188" s="252"/>
      <c r="I188" s="254">
        <f t="shared" ref="I188:I189" si="135">ROUND(A188,0)</f>
        <v>21060468</v>
      </c>
      <c r="K188" s="172">
        <f>ROUND(VLOOKUP($G188,factors,+K$375,FALSE)*$I188,0)</f>
        <v>10073222</v>
      </c>
      <c r="M188" s="172">
        <f>ROUND(VLOOKUP($G188,factors,+M$375,FALSE)*$I188,0)</f>
        <v>6269701</v>
      </c>
      <c r="N188" s="172"/>
      <c r="O188" s="172">
        <f>ROUND(VLOOKUP($G188,factors,+O$375,FALSE)*$I188,0)</f>
        <v>1750125</v>
      </c>
      <c r="P188" s="172"/>
      <c r="Q188" s="172">
        <f>ROUND(VLOOKUP($G188,factors,+Q$375,FALSE)*$I188,0)</f>
        <v>2007063</v>
      </c>
      <c r="R188" s="172"/>
      <c r="S188" s="145">
        <f>ROUND(VLOOKUP($G188,factors,+S$375,FALSE)*$I188,0)</f>
        <v>0</v>
      </c>
      <c r="T188" s="145"/>
      <c r="U188" s="145">
        <f>ROUND(VLOOKUP($G188,factors,+U$375,FALSE)*$I188,0)</f>
        <v>960357</v>
      </c>
      <c r="V188" s="145"/>
      <c r="W188" s="145">
        <f>ROUND(VLOOKUP($G188,factors,+W$375,FALSE)*$I188,0)</f>
        <v>0</v>
      </c>
      <c r="X188" s="145"/>
      <c r="Y188" s="145">
        <f>ROUND(VLOOKUP($G188,factors,+Y$375,FALSE)*$I188,0)</f>
        <v>0</v>
      </c>
      <c r="Z188" s="145"/>
      <c r="AA188" s="145">
        <f>ROUND(VLOOKUP($G188,factors,+AA$375,FALSE)*$I188,0)</f>
        <v>0</v>
      </c>
      <c r="AB188" s="145"/>
      <c r="AC188" s="172">
        <f>ROUND(VLOOKUP($G188,factors,+AC$375,FALSE)*$I188,0)</f>
        <v>0</v>
      </c>
      <c r="AD188" s="145"/>
      <c r="AE188" s="172">
        <f>ROUND(VLOOKUP($G188,factors,+AE$375,FALSE)*$I188,0)</f>
        <v>0</v>
      </c>
      <c r="AF188" s="145"/>
      <c r="AG188" s="172">
        <f>ROUND(VLOOKUP($G188,factors,+AG$375,FALSE)*$I188,0)</f>
        <v>0</v>
      </c>
      <c r="AI188" s="1025">
        <f t="shared" si="97"/>
        <v>0</v>
      </c>
    </row>
    <row r="189" spans="1:35" s="87" customFormat="1">
      <c r="A189" s="296">
        <f>+'Linkin (2)'!$AA$47*Alloc!A304</f>
        <v>2020195.8190885624</v>
      </c>
      <c r="B189" s="1027"/>
      <c r="C189" s="1008"/>
      <c r="E189" s="252" t="s">
        <v>457</v>
      </c>
      <c r="F189" s="252"/>
      <c r="G189" s="376" t="s">
        <v>383</v>
      </c>
      <c r="H189" s="252"/>
      <c r="I189" s="254">
        <f t="shared" si="135"/>
        <v>2020196</v>
      </c>
      <c r="K189" s="172"/>
      <c r="M189" s="172"/>
      <c r="N189" s="172"/>
      <c r="O189" s="172"/>
      <c r="P189" s="172"/>
      <c r="Q189" s="172"/>
      <c r="R189" s="172"/>
      <c r="S189" s="145">
        <f>+I189-U189</f>
        <v>2010917</v>
      </c>
      <c r="T189" s="145"/>
      <c r="U189" s="145">
        <f>ROUND(552094*'Linkin (2)'!AA47,0)</f>
        <v>9279</v>
      </c>
      <c r="V189" s="145"/>
      <c r="W189" s="145"/>
      <c r="X189" s="145"/>
      <c r="Y189" s="145"/>
      <c r="Z189" s="145"/>
      <c r="AA189" s="145"/>
      <c r="AB189" s="145"/>
      <c r="AC189" s="172"/>
      <c r="AD189" s="145"/>
      <c r="AE189" s="172"/>
      <c r="AF189" s="145"/>
      <c r="AG189" s="172"/>
      <c r="AI189" s="1025">
        <f t="shared" si="97"/>
        <v>0</v>
      </c>
    </row>
    <row r="190" spans="1:35" s="87" customFormat="1">
      <c r="A190" s="296"/>
      <c r="B190" s="1028"/>
      <c r="C190" s="1008">
        <v>378</v>
      </c>
      <c r="E190" s="252" t="s">
        <v>156</v>
      </c>
      <c r="F190" s="252"/>
      <c r="G190" s="376">
        <v>18</v>
      </c>
      <c r="H190" s="252"/>
      <c r="I190" s="254">
        <f>+'Linkin (2)'!W48</f>
        <v>4363753</v>
      </c>
      <c r="K190" s="172">
        <f t="shared" ref="K190:K200" si="136">ROUND(VLOOKUP($G190,factors,+K$375,FALSE)*$I190,0)</f>
        <v>1965434</v>
      </c>
      <c r="M190" s="172">
        <f t="shared" ref="M190:M200" si="137">ROUND(VLOOKUP($G190,factors,+M$375,FALSE)*$I190,0)</f>
        <v>1223596</v>
      </c>
      <c r="N190" s="172"/>
      <c r="O190" s="172">
        <f t="shared" ref="O190:O200" si="138">ROUND(VLOOKUP($G190,factors,+O$375,FALSE)*$I190,0)</f>
        <v>341682</v>
      </c>
      <c r="P190" s="172"/>
      <c r="Q190" s="172">
        <f t="shared" ref="Q190:Q200" si="139">ROUND(VLOOKUP($G190,factors,+Q$375,FALSE)*$I190,0)</f>
        <v>391429</v>
      </c>
      <c r="R190" s="172"/>
      <c r="S190" s="145">
        <f t="shared" ref="S190:S200" si="140">ROUND(VLOOKUP($G190,factors,+S$375,FALSE)*$I190,0)</f>
        <v>253098</v>
      </c>
      <c r="T190" s="145"/>
      <c r="U190" s="145">
        <f t="shared" ref="U190:U200" si="141">ROUND(VLOOKUP($G190,factors,+U$375,FALSE)*$I190,0)</f>
        <v>188514</v>
      </c>
      <c r="V190" s="145"/>
      <c r="W190" s="145">
        <f t="shared" ref="W190:W200" si="142">ROUND(VLOOKUP($G190,factors,+W$375,FALSE)*$I190,0)</f>
        <v>0</v>
      </c>
      <c r="X190" s="145"/>
      <c r="Y190" s="145">
        <f t="shared" ref="Y190:Y200" si="143">ROUND(VLOOKUP($G190,factors,+Y$375,FALSE)*$I190,0)</f>
        <v>0</v>
      </c>
      <c r="Z190" s="145"/>
      <c r="AA190" s="145">
        <f t="shared" ref="AA190:AA200" si="144">ROUND(VLOOKUP($G190,factors,+AA$375,FALSE)*$I190,0)</f>
        <v>0</v>
      </c>
      <c r="AB190" s="145"/>
      <c r="AC190" s="172">
        <f t="shared" ref="AC190:AC200" si="145">ROUND(VLOOKUP($G190,factors,+AC$375,FALSE)*$I190,0)</f>
        <v>0</v>
      </c>
      <c r="AD190" s="145"/>
      <c r="AE190" s="172">
        <f t="shared" ref="AE190:AE200" si="146">ROUND(VLOOKUP($G190,factors,+AE$375,FALSE)*$I190,0)</f>
        <v>0</v>
      </c>
      <c r="AF190" s="145"/>
      <c r="AG190" s="172">
        <f t="shared" ref="AG190:AG200" si="147">ROUND(VLOOKUP($G190,factors,+AG$375,FALSE)*$I190,0)</f>
        <v>0</v>
      </c>
      <c r="AI190" s="1025">
        <f t="shared" si="82"/>
        <v>0</v>
      </c>
    </row>
    <row r="191" spans="1:35" s="87" customFormat="1">
      <c r="A191" s="172">
        <f>SUM(A187:A190)</f>
        <v>34682212</v>
      </c>
      <c r="C191" s="1008">
        <v>379</v>
      </c>
      <c r="E191" s="252" t="s">
        <v>157</v>
      </c>
      <c r="F191" s="252"/>
      <c r="G191" s="376">
        <v>18</v>
      </c>
      <c r="H191" s="252"/>
      <c r="I191" s="254">
        <f>+'Linkin (2)'!W49</f>
        <v>479346</v>
      </c>
      <c r="K191" s="172">
        <f t="shared" si="136"/>
        <v>215897</v>
      </c>
      <c r="M191" s="172">
        <f t="shared" si="137"/>
        <v>134409</v>
      </c>
      <c r="N191" s="172"/>
      <c r="O191" s="172">
        <f t="shared" si="138"/>
        <v>37533</v>
      </c>
      <c r="P191" s="172"/>
      <c r="Q191" s="172">
        <f t="shared" si="139"/>
        <v>42997</v>
      </c>
      <c r="R191" s="172"/>
      <c r="S191" s="145">
        <f t="shared" si="140"/>
        <v>27802</v>
      </c>
      <c r="T191" s="145"/>
      <c r="U191" s="145">
        <f t="shared" si="141"/>
        <v>20708</v>
      </c>
      <c r="V191" s="145"/>
      <c r="W191" s="145">
        <f t="shared" si="142"/>
        <v>0</v>
      </c>
      <c r="X191" s="145"/>
      <c r="Y191" s="145">
        <f t="shared" si="143"/>
        <v>0</v>
      </c>
      <c r="Z191" s="145"/>
      <c r="AA191" s="145">
        <f t="shared" si="144"/>
        <v>0</v>
      </c>
      <c r="AB191" s="145"/>
      <c r="AC191" s="172">
        <f t="shared" si="145"/>
        <v>0</v>
      </c>
      <c r="AD191" s="145"/>
      <c r="AE191" s="172">
        <f t="shared" si="146"/>
        <v>0</v>
      </c>
      <c r="AF191" s="145"/>
      <c r="AG191" s="172">
        <f t="shared" si="147"/>
        <v>0</v>
      </c>
      <c r="AI191" s="1025">
        <f t="shared" si="82"/>
        <v>0</v>
      </c>
    </row>
    <row r="192" spans="1:35" s="87" customFormat="1">
      <c r="C192" s="1008">
        <v>380</v>
      </c>
      <c r="E192" s="252" t="s">
        <v>285</v>
      </c>
      <c r="F192" s="252"/>
      <c r="G192" s="376" t="s">
        <v>395</v>
      </c>
      <c r="H192" s="252"/>
      <c r="I192" s="254">
        <f>+'Linkin (2)'!W50</f>
        <v>34514619</v>
      </c>
      <c r="K192" s="172">
        <f t="shared" si="136"/>
        <v>0</v>
      </c>
      <c r="M192" s="172">
        <f t="shared" si="137"/>
        <v>0</v>
      </c>
      <c r="N192" s="172"/>
      <c r="O192" s="172">
        <f t="shared" si="138"/>
        <v>0</v>
      </c>
      <c r="P192" s="172"/>
      <c r="Q192" s="172">
        <f t="shared" si="139"/>
        <v>0</v>
      </c>
      <c r="R192" s="172"/>
      <c r="S192" s="145">
        <f t="shared" si="140"/>
        <v>0</v>
      </c>
      <c r="T192" s="145"/>
      <c r="U192" s="145">
        <f t="shared" si="141"/>
        <v>0</v>
      </c>
      <c r="V192" s="145"/>
      <c r="W192" s="145">
        <f t="shared" si="142"/>
        <v>30124359</v>
      </c>
      <c r="X192" s="145"/>
      <c r="Y192" s="145">
        <f t="shared" si="143"/>
        <v>4086531</v>
      </c>
      <c r="Z192" s="145"/>
      <c r="AA192" s="145">
        <f t="shared" si="144"/>
        <v>162219</v>
      </c>
      <c r="AB192" s="145"/>
      <c r="AC192" s="172">
        <f t="shared" si="145"/>
        <v>79384</v>
      </c>
      <c r="AD192" s="145"/>
      <c r="AE192" s="172">
        <f t="shared" si="146"/>
        <v>10354</v>
      </c>
      <c r="AF192" s="145"/>
      <c r="AG192" s="172">
        <f t="shared" si="147"/>
        <v>51772</v>
      </c>
      <c r="AI192" s="1025">
        <f t="shared" si="82"/>
        <v>0</v>
      </c>
    </row>
    <row r="193" spans="1:35" s="87" customFormat="1">
      <c r="C193" s="1008">
        <v>381</v>
      </c>
      <c r="E193" s="252" t="s">
        <v>286</v>
      </c>
      <c r="F193" s="252"/>
      <c r="G193" s="376">
        <v>6</v>
      </c>
      <c r="H193" s="252"/>
      <c r="I193" s="254">
        <f>+'Linkin (2)'!W51+'Linkin (2)'!W52</f>
        <v>4988399</v>
      </c>
      <c r="K193" s="172">
        <f t="shared" si="136"/>
        <v>0</v>
      </c>
      <c r="M193" s="172">
        <f t="shared" si="137"/>
        <v>0</v>
      </c>
      <c r="N193" s="172"/>
      <c r="O193" s="172">
        <f t="shared" si="138"/>
        <v>0</v>
      </c>
      <c r="P193" s="172"/>
      <c r="Q193" s="172">
        <f t="shared" si="139"/>
        <v>0</v>
      </c>
      <c r="R193" s="172"/>
      <c r="S193" s="145">
        <f t="shared" si="140"/>
        <v>0</v>
      </c>
      <c r="T193" s="145"/>
      <c r="U193" s="145">
        <f t="shared" si="141"/>
        <v>0</v>
      </c>
      <c r="V193" s="145"/>
      <c r="W193" s="145">
        <f t="shared" si="142"/>
        <v>2131543</v>
      </c>
      <c r="X193" s="145"/>
      <c r="Y193" s="145">
        <f t="shared" si="143"/>
        <v>2092135</v>
      </c>
      <c r="Z193" s="145"/>
      <c r="AA193" s="145">
        <f t="shared" si="144"/>
        <v>377123</v>
      </c>
      <c r="AB193" s="145"/>
      <c r="AC193" s="172">
        <f t="shared" si="145"/>
        <v>218492</v>
      </c>
      <c r="AD193" s="145"/>
      <c r="AE193" s="172">
        <f t="shared" si="146"/>
        <v>41404</v>
      </c>
      <c r="AF193" s="145"/>
      <c r="AG193" s="172">
        <f t="shared" si="147"/>
        <v>127703</v>
      </c>
      <c r="AI193" s="1025">
        <f t="shared" si="82"/>
        <v>1</v>
      </c>
    </row>
    <row r="194" spans="1:35" s="87" customFormat="1">
      <c r="C194" s="1008">
        <v>382</v>
      </c>
      <c r="E194" s="252" t="s">
        <v>287</v>
      </c>
      <c r="F194" s="252"/>
      <c r="G194" s="376">
        <v>6</v>
      </c>
      <c r="H194" s="252"/>
      <c r="I194" s="254">
        <f>+'Linkin (2)'!W53</f>
        <v>2773029</v>
      </c>
      <c r="K194" s="172">
        <f t="shared" si="136"/>
        <v>0</v>
      </c>
      <c r="M194" s="172">
        <f t="shared" si="137"/>
        <v>0</v>
      </c>
      <c r="N194" s="172"/>
      <c r="O194" s="172">
        <f t="shared" si="138"/>
        <v>0</v>
      </c>
      <c r="P194" s="172"/>
      <c r="Q194" s="172">
        <f t="shared" si="139"/>
        <v>0</v>
      </c>
      <c r="R194" s="172"/>
      <c r="S194" s="145">
        <f t="shared" si="140"/>
        <v>0</v>
      </c>
      <c r="T194" s="145"/>
      <c r="U194" s="145">
        <f t="shared" si="141"/>
        <v>0</v>
      </c>
      <c r="V194" s="145"/>
      <c r="W194" s="145">
        <f t="shared" si="142"/>
        <v>1184915</v>
      </c>
      <c r="X194" s="145"/>
      <c r="Y194" s="145">
        <f t="shared" si="143"/>
        <v>1163008</v>
      </c>
      <c r="Z194" s="145"/>
      <c r="AA194" s="145">
        <f t="shared" si="144"/>
        <v>209641</v>
      </c>
      <c r="AB194" s="145"/>
      <c r="AC194" s="172">
        <f t="shared" si="145"/>
        <v>121459</v>
      </c>
      <c r="AD194" s="145"/>
      <c r="AE194" s="172">
        <f t="shared" si="146"/>
        <v>23016</v>
      </c>
      <c r="AF194" s="145"/>
      <c r="AG194" s="172">
        <f t="shared" si="147"/>
        <v>70990</v>
      </c>
      <c r="AI194" s="1025">
        <f t="shared" si="82"/>
        <v>0</v>
      </c>
    </row>
    <row r="195" spans="1:35" s="87" customFormat="1">
      <c r="C195" s="1008">
        <v>383</v>
      </c>
      <c r="E195" s="252" t="s">
        <v>159</v>
      </c>
      <c r="F195" s="252"/>
      <c r="G195" s="376" t="s">
        <v>297</v>
      </c>
      <c r="H195" s="252"/>
      <c r="I195" s="254">
        <f>+'Linkin (2)'!W54</f>
        <v>1173664</v>
      </c>
      <c r="K195" s="172">
        <f t="shared" si="136"/>
        <v>0</v>
      </c>
      <c r="M195" s="172">
        <f t="shared" si="137"/>
        <v>0</v>
      </c>
      <c r="N195" s="172"/>
      <c r="O195" s="172">
        <f t="shared" si="138"/>
        <v>0</v>
      </c>
      <c r="P195" s="172"/>
      <c r="Q195" s="172">
        <f t="shared" si="139"/>
        <v>0</v>
      </c>
      <c r="R195" s="172"/>
      <c r="S195" s="145">
        <f t="shared" si="140"/>
        <v>0</v>
      </c>
      <c r="T195" s="145"/>
      <c r="U195" s="145">
        <f t="shared" si="141"/>
        <v>0</v>
      </c>
      <c r="V195" s="145"/>
      <c r="W195" s="145">
        <f t="shared" si="142"/>
        <v>1033294</v>
      </c>
      <c r="X195" s="145"/>
      <c r="Y195" s="145">
        <f t="shared" si="143"/>
        <v>140370</v>
      </c>
      <c r="Z195" s="145"/>
      <c r="AA195" s="145">
        <f t="shared" si="144"/>
        <v>0</v>
      </c>
      <c r="AB195" s="145"/>
      <c r="AC195" s="172">
        <f t="shared" si="145"/>
        <v>0</v>
      </c>
      <c r="AD195" s="145"/>
      <c r="AE195" s="172">
        <f t="shared" si="146"/>
        <v>0</v>
      </c>
      <c r="AF195" s="145"/>
      <c r="AG195" s="172">
        <f t="shared" si="147"/>
        <v>0</v>
      </c>
      <c r="AI195" s="1025">
        <f t="shared" si="82"/>
        <v>0</v>
      </c>
    </row>
    <row r="196" spans="1:35" s="87" customFormat="1">
      <c r="C196" s="1008">
        <v>384</v>
      </c>
      <c r="E196" s="252" t="s">
        <v>160</v>
      </c>
      <c r="F196" s="252"/>
      <c r="G196" s="376" t="s">
        <v>297</v>
      </c>
      <c r="H196" s="252"/>
      <c r="I196" s="254">
        <f>+'Linkin (2)'!W55</f>
        <v>457028</v>
      </c>
      <c r="K196" s="172">
        <f t="shared" si="136"/>
        <v>0</v>
      </c>
      <c r="M196" s="172">
        <f t="shared" si="137"/>
        <v>0</v>
      </c>
      <c r="N196" s="172"/>
      <c r="O196" s="172">
        <f t="shared" si="138"/>
        <v>0</v>
      </c>
      <c r="P196" s="172"/>
      <c r="Q196" s="172">
        <f t="shared" si="139"/>
        <v>0</v>
      </c>
      <c r="R196" s="172"/>
      <c r="S196" s="145">
        <f t="shared" si="140"/>
        <v>0</v>
      </c>
      <c r="T196" s="145"/>
      <c r="U196" s="145">
        <f t="shared" si="141"/>
        <v>0</v>
      </c>
      <c r="V196" s="145"/>
      <c r="W196" s="145">
        <f t="shared" si="142"/>
        <v>402367</v>
      </c>
      <c r="X196" s="145"/>
      <c r="Y196" s="145">
        <f t="shared" si="143"/>
        <v>54661</v>
      </c>
      <c r="Z196" s="145"/>
      <c r="AA196" s="145">
        <f t="shared" si="144"/>
        <v>0</v>
      </c>
      <c r="AB196" s="145"/>
      <c r="AC196" s="172">
        <f t="shared" si="145"/>
        <v>0</v>
      </c>
      <c r="AD196" s="145"/>
      <c r="AE196" s="172">
        <f t="shared" si="146"/>
        <v>0</v>
      </c>
      <c r="AF196" s="145"/>
      <c r="AG196" s="172">
        <f t="shared" si="147"/>
        <v>0</v>
      </c>
      <c r="AI196" s="1025">
        <f t="shared" si="82"/>
        <v>0</v>
      </c>
    </row>
    <row r="197" spans="1:35" s="87" customFormat="1">
      <c r="C197" s="1008">
        <v>385</v>
      </c>
      <c r="E197" s="252" t="s">
        <v>161</v>
      </c>
      <c r="F197" s="252"/>
      <c r="G197" s="376">
        <v>6</v>
      </c>
      <c r="H197" s="252"/>
      <c r="I197" s="254">
        <f>+'Linkin (2)'!W56</f>
        <v>724401</v>
      </c>
      <c r="K197" s="172">
        <f t="shared" si="136"/>
        <v>0</v>
      </c>
      <c r="M197" s="172">
        <f t="shared" si="137"/>
        <v>0</v>
      </c>
      <c r="N197" s="172"/>
      <c r="O197" s="172">
        <f t="shared" si="138"/>
        <v>0</v>
      </c>
      <c r="P197" s="172"/>
      <c r="Q197" s="172">
        <f t="shared" si="139"/>
        <v>0</v>
      </c>
      <c r="R197" s="172"/>
      <c r="S197" s="145">
        <f t="shared" si="140"/>
        <v>0</v>
      </c>
      <c r="T197" s="145"/>
      <c r="U197" s="145">
        <f t="shared" si="141"/>
        <v>0</v>
      </c>
      <c r="V197" s="145"/>
      <c r="W197" s="145">
        <f t="shared" si="142"/>
        <v>309537</v>
      </c>
      <c r="X197" s="145"/>
      <c r="Y197" s="145">
        <f t="shared" si="143"/>
        <v>303814</v>
      </c>
      <c r="Z197" s="145"/>
      <c r="AA197" s="145">
        <f t="shared" si="144"/>
        <v>54765</v>
      </c>
      <c r="AB197" s="145"/>
      <c r="AC197" s="172">
        <f t="shared" si="145"/>
        <v>31729</v>
      </c>
      <c r="AD197" s="145"/>
      <c r="AE197" s="172">
        <f t="shared" si="146"/>
        <v>6013</v>
      </c>
      <c r="AF197" s="145"/>
      <c r="AG197" s="172">
        <f t="shared" si="147"/>
        <v>18545</v>
      </c>
      <c r="AI197" s="1025">
        <f t="shared" si="82"/>
        <v>2</v>
      </c>
    </row>
    <row r="198" spans="1:35" s="87" customFormat="1">
      <c r="C198" s="376">
        <v>386</v>
      </c>
      <c r="D198" s="252"/>
      <c r="E198" s="252" t="s">
        <v>37</v>
      </c>
      <c r="F198" s="252"/>
      <c r="G198" s="376" t="s">
        <v>395</v>
      </c>
      <c r="H198" s="252"/>
      <c r="I198" s="254">
        <f>+SUM('Linkin (2)'!W57:W60)</f>
        <v>22576</v>
      </c>
      <c r="J198" s="252"/>
      <c r="K198" s="172">
        <f t="shared" si="136"/>
        <v>0</v>
      </c>
      <c r="M198" s="172">
        <f t="shared" si="137"/>
        <v>0</v>
      </c>
      <c r="N198" s="172"/>
      <c r="O198" s="172">
        <f t="shared" si="138"/>
        <v>0</v>
      </c>
      <c r="P198" s="172"/>
      <c r="Q198" s="172">
        <f t="shared" si="139"/>
        <v>0</v>
      </c>
      <c r="R198" s="172"/>
      <c r="S198" s="145">
        <f t="shared" si="140"/>
        <v>0</v>
      </c>
      <c r="T198" s="145"/>
      <c r="U198" s="145">
        <f t="shared" si="141"/>
        <v>0</v>
      </c>
      <c r="V198" s="145"/>
      <c r="W198" s="145">
        <f t="shared" si="142"/>
        <v>19704</v>
      </c>
      <c r="X198" s="145"/>
      <c r="Y198" s="145">
        <f t="shared" si="143"/>
        <v>2673</v>
      </c>
      <c r="Z198" s="145"/>
      <c r="AA198" s="145">
        <f t="shared" si="144"/>
        <v>106</v>
      </c>
      <c r="AB198" s="145"/>
      <c r="AC198" s="172">
        <f t="shared" si="145"/>
        <v>52</v>
      </c>
      <c r="AD198" s="145"/>
      <c r="AE198" s="172">
        <f t="shared" si="146"/>
        <v>7</v>
      </c>
      <c r="AF198" s="145"/>
      <c r="AG198" s="172">
        <f t="shared" si="147"/>
        <v>34</v>
      </c>
      <c r="AI198" s="1025">
        <f t="shared" si="82"/>
        <v>0</v>
      </c>
    </row>
    <row r="199" spans="1:35" s="87" customFormat="1">
      <c r="C199" s="376">
        <v>387</v>
      </c>
      <c r="D199" s="252"/>
      <c r="E199" s="252" t="s">
        <v>288</v>
      </c>
      <c r="F199" s="252"/>
      <c r="G199" s="376">
        <v>10</v>
      </c>
      <c r="H199" s="252"/>
      <c r="I199" s="254">
        <f>+'Linkin (2)'!W61</f>
        <v>100854</v>
      </c>
      <c r="J199" s="252"/>
      <c r="K199" s="172">
        <f t="shared" si="136"/>
        <v>20211</v>
      </c>
      <c r="M199" s="172">
        <f t="shared" si="137"/>
        <v>12576</v>
      </c>
      <c r="N199" s="172"/>
      <c r="O199" s="172">
        <f t="shared" si="138"/>
        <v>3490</v>
      </c>
      <c r="P199" s="172"/>
      <c r="Q199" s="172">
        <f t="shared" si="139"/>
        <v>3883</v>
      </c>
      <c r="R199" s="172"/>
      <c r="S199" s="145">
        <f t="shared" si="140"/>
        <v>6545</v>
      </c>
      <c r="T199" s="145"/>
      <c r="U199" s="145">
        <f t="shared" si="141"/>
        <v>2642</v>
      </c>
      <c r="V199" s="145"/>
      <c r="W199" s="145">
        <f t="shared" si="142"/>
        <v>36136</v>
      </c>
      <c r="X199" s="145"/>
      <c r="Y199" s="145">
        <f t="shared" si="143"/>
        <v>11548</v>
      </c>
      <c r="Z199" s="145"/>
      <c r="AA199" s="145">
        <f t="shared" si="144"/>
        <v>1896</v>
      </c>
      <c r="AB199" s="145"/>
      <c r="AC199" s="172">
        <f t="shared" si="145"/>
        <v>1089</v>
      </c>
      <c r="AD199" s="145"/>
      <c r="AE199" s="172">
        <f t="shared" si="146"/>
        <v>202</v>
      </c>
      <c r="AF199" s="145"/>
      <c r="AG199" s="172">
        <f t="shared" si="147"/>
        <v>635</v>
      </c>
      <c r="AI199" s="1025">
        <f t="shared" si="82"/>
        <v>-1</v>
      </c>
    </row>
    <row r="200" spans="1:35" s="87" customFormat="1">
      <c r="C200" s="1008">
        <v>387.1</v>
      </c>
      <c r="E200" s="252" t="s">
        <v>288</v>
      </c>
      <c r="F200" s="252"/>
      <c r="G200" s="376">
        <v>10</v>
      </c>
      <c r="H200" s="252"/>
      <c r="I200" s="254">
        <f>+'Linkin (2)'!W62</f>
        <v>4400</v>
      </c>
      <c r="J200" s="259"/>
      <c r="K200" s="172">
        <f t="shared" si="136"/>
        <v>882</v>
      </c>
      <c r="M200" s="172">
        <f t="shared" si="137"/>
        <v>549</v>
      </c>
      <c r="N200" s="172"/>
      <c r="O200" s="172">
        <f t="shared" si="138"/>
        <v>152</v>
      </c>
      <c r="P200" s="172"/>
      <c r="Q200" s="172">
        <f t="shared" si="139"/>
        <v>169</v>
      </c>
      <c r="R200" s="172"/>
      <c r="S200" s="145">
        <f t="shared" si="140"/>
        <v>286</v>
      </c>
      <c r="T200" s="145"/>
      <c r="U200" s="145">
        <f t="shared" si="141"/>
        <v>115</v>
      </c>
      <c r="V200" s="145"/>
      <c r="W200" s="145">
        <f t="shared" si="142"/>
        <v>1577</v>
      </c>
      <c r="X200" s="145"/>
      <c r="Y200" s="145">
        <f t="shared" si="143"/>
        <v>504</v>
      </c>
      <c r="Z200" s="145"/>
      <c r="AA200" s="145">
        <f t="shared" si="144"/>
        <v>83</v>
      </c>
      <c r="AB200" s="145"/>
      <c r="AC200" s="172">
        <f t="shared" si="145"/>
        <v>48</v>
      </c>
      <c r="AD200" s="145"/>
      <c r="AE200" s="172">
        <f t="shared" si="146"/>
        <v>9</v>
      </c>
      <c r="AF200" s="145"/>
      <c r="AG200" s="172">
        <f t="shared" si="147"/>
        <v>28</v>
      </c>
      <c r="AI200" s="1025">
        <f t="shared" si="82"/>
        <v>2</v>
      </c>
    </row>
    <row r="201" spans="1:35" s="87" customFormat="1" ht="15.75">
      <c r="B201" s="1029">
        <f>'Linkin (2)'!W63</f>
        <v>84416834</v>
      </c>
      <c r="E201" s="443" t="s">
        <v>236</v>
      </c>
      <c r="F201" s="443"/>
      <c r="G201" s="444"/>
      <c r="H201" s="443"/>
      <c r="I201" s="994">
        <f>SUM(I184:I200)</f>
        <v>84416834</v>
      </c>
      <c r="J201" s="39"/>
      <c r="K201" s="39">
        <f>SUM(K184:K200)</f>
        <v>17884368</v>
      </c>
      <c r="L201" s="39"/>
      <c r="M201" s="39">
        <f>SUM(M184:M200)</f>
        <v>11131780</v>
      </c>
      <c r="N201" s="39"/>
      <c r="O201" s="39">
        <f>SUM(O184:O200)</f>
        <v>3107449</v>
      </c>
      <c r="P201" s="39"/>
      <c r="Q201" s="39">
        <f>SUM(Q184:Q200)</f>
        <v>3563059</v>
      </c>
      <c r="R201" s="39"/>
      <c r="S201" s="39">
        <f>SUM(S184:S200)</f>
        <v>2306336</v>
      </c>
      <c r="T201" s="39"/>
      <c r="U201" s="39">
        <f>SUM(U184:U200)</f>
        <v>1716372</v>
      </c>
      <c r="V201" s="39"/>
      <c r="W201" s="39">
        <f>SUM(W184:W200)</f>
        <v>35243432</v>
      </c>
      <c r="X201" s="39"/>
      <c r="Y201" s="39">
        <f>SUM(Y184:Y200)</f>
        <v>7855244</v>
      </c>
      <c r="Z201" s="39"/>
      <c r="AA201" s="39">
        <f>SUM(AA184:AA200)</f>
        <v>805833</v>
      </c>
      <c r="AB201" s="39"/>
      <c r="AC201" s="39">
        <f>SUM(AC184:AC200)</f>
        <v>452253</v>
      </c>
      <c r="AD201" s="39"/>
      <c r="AE201" s="39">
        <f>SUM(AE184:AE200)</f>
        <v>81005</v>
      </c>
      <c r="AF201" s="39"/>
      <c r="AG201" s="39">
        <f>SUM(AG184:AG200)</f>
        <v>269707</v>
      </c>
      <c r="AH201" s="27"/>
      <c r="AI201" s="1025">
        <f t="shared" si="82"/>
        <v>4</v>
      </c>
    </row>
    <row r="202" spans="1:35" s="87" customFormat="1">
      <c r="B202" s="145">
        <f>+B201-I201</f>
        <v>0</v>
      </c>
      <c r="E202" s="252"/>
      <c r="F202" s="252"/>
      <c r="G202" s="376"/>
      <c r="H202" s="252"/>
      <c r="I202" s="254"/>
      <c r="S202" s="145"/>
      <c r="T202" s="145"/>
      <c r="U202" s="145"/>
      <c r="Z202" s="145"/>
      <c r="AA202" s="145"/>
      <c r="AB202" s="145"/>
      <c r="AI202" s="1025">
        <f t="shared" si="82"/>
        <v>0</v>
      </c>
    </row>
    <row r="203" spans="1:35" s="87" customFormat="1" ht="15.75">
      <c r="A203" s="376"/>
      <c r="B203" s="376"/>
      <c r="C203" s="27" t="s">
        <v>237</v>
      </c>
      <c r="E203" s="252"/>
      <c r="F203" s="252"/>
      <c r="G203" s="376"/>
      <c r="H203" s="252"/>
      <c r="I203" s="254"/>
      <c r="S203" s="145"/>
      <c r="T203" s="145"/>
      <c r="U203" s="145"/>
      <c r="Z203" s="145"/>
      <c r="AA203" s="145"/>
      <c r="AB203" s="145"/>
      <c r="AI203" s="1025">
        <f t="shared" si="82"/>
        <v>0</v>
      </c>
    </row>
    <row r="204" spans="1:35" s="87" customFormat="1" ht="3.75" customHeight="1">
      <c r="A204" s="252"/>
      <c r="B204" s="252"/>
      <c r="C204" s="87" t="s">
        <v>213</v>
      </c>
      <c r="E204" s="252" t="s">
        <v>214</v>
      </c>
      <c r="F204" s="252"/>
      <c r="G204" s="376"/>
      <c r="H204" s="252"/>
      <c r="I204" s="254"/>
      <c r="S204" s="145"/>
      <c r="T204" s="145"/>
      <c r="U204" s="145"/>
      <c r="Z204" s="145"/>
      <c r="AA204" s="145"/>
      <c r="AB204" s="145"/>
      <c r="AI204" s="1025">
        <f t="shared" si="82"/>
        <v>0</v>
      </c>
    </row>
    <row r="205" spans="1:35" s="87" customFormat="1">
      <c r="A205" s="252"/>
      <c r="B205" s="252"/>
      <c r="C205" s="1008">
        <v>390</v>
      </c>
      <c r="E205" s="252" t="s">
        <v>284</v>
      </c>
      <c r="F205" s="252"/>
      <c r="G205" s="376">
        <v>12</v>
      </c>
      <c r="H205" s="252"/>
      <c r="I205" s="254">
        <f>+'Linkin (2)'!W81+'Linkin (2)'!W86</f>
        <v>4917752</v>
      </c>
      <c r="K205" s="1030">
        <f t="shared" ref="K205:K213" si="148">ROUND(VLOOKUP($G205,factors,+K$375,FALSE)*$I205,0)</f>
        <v>1622858</v>
      </c>
      <c r="M205" s="172">
        <f t="shared" ref="M205:M213" si="149">ROUND(VLOOKUP($G205,factors,+M$375,FALSE)*$I205,0)</f>
        <v>491775</v>
      </c>
      <c r="N205" s="172"/>
      <c r="O205" s="172">
        <f t="shared" ref="O205:O213" si="150">ROUND(VLOOKUP($G205,factors,+O$375,FALSE)*$I205,0)</f>
        <v>122944</v>
      </c>
      <c r="P205" s="172"/>
      <c r="Q205" s="172">
        <f t="shared" ref="Q205:Q213" si="151">ROUND(VLOOKUP($G205,factors,+Q$375,FALSE)*$I205,0)</f>
        <v>145074</v>
      </c>
      <c r="R205" s="172"/>
      <c r="S205" s="145">
        <f t="shared" ref="S205:S213" si="152">ROUND(VLOOKUP($G205,factors,+S$375,FALSE)*$I205,0)</f>
        <v>186875</v>
      </c>
      <c r="T205" s="145"/>
      <c r="U205" s="145">
        <f t="shared" ref="U205:U213" si="153">ROUND(VLOOKUP($G205,factors,+U$375,FALSE)*$I205,0)</f>
        <v>85077</v>
      </c>
      <c r="V205" s="145"/>
      <c r="W205" s="145">
        <f t="shared" ref="W205:W213" si="154">ROUND(VLOOKUP($G205,factors,+W$375,FALSE)*$I205,0)</f>
        <v>1821044</v>
      </c>
      <c r="X205" s="145"/>
      <c r="Y205" s="145">
        <f t="shared" ref="Y205:Y213" si="155">ROUND(VLOOKUP($G205,factors,+Y$375,FALSE)*$I205,0)</f>
        <v>336866</v>
      </c>
      <c r="Z205" s="145"/>
      <c r="AA205" s="145">
        <f t="shared" ref="AA205:AA213" si="156">ROUND(VLOOKUP($G205,factors,+AA$375,FALSE)*$I205,0)</f>
        <v>51145</v>
      </c>
      <c r="AB205" s="145"/>
      <c r="AC205" s="172">
        <f t="shared" ref="AC205:AC213" si="157">ROUND(VLOOKUP($G205,factors,+AC$375,FALSE)*$I205,0)</f>
        <v>28523</v>
      </c>
      <c r="AD205" s="145"/>
      <c r="AE205" s="172">
        <f t="shared" ref="AE205:AE213" si="158">ROUND(VLOOKUP($G205,factors,+AE$375,FALSE)*$I205,0)</f>
        <v>8360</v>
      </c>
      <c r="AF205" s="145"/>
      <c r="AG205" s="172">
        <f t="shared" ref="AG205:AG213" si="159">ROUND(VLOOKUP($G205,factors,+AG$375,FALSE)*$I205,0)</f>
        <v>17212</v>
      </c>
      <c r="AI205" s="1025">
        <f t="shared" si="82"/>
        <v>1</v>
      </c>
    </row>
    <row r="206" spans="1:35" s="87" customFormat="1">
      <c r="A206" s="1055"/>
      <c r="B206" s="1055"/>
      <c r="C206" s="1008">
        <v>391</v>
      </c>
      <c r="E206" s="252" t="s">
        <v>289</v>
      </c>
      <c r="F206" s="252"/>
      <c r="G206" s="376">
        <v>12</v>
      </c>
      <c r="H206" s="252"/>
      <c r="I206" s="254">
        <f>+SUM('Linkin (2)'!W88:W90)</f>
        <v>642086</v>
      </c>
      <c r="K206" s="1030">
        <f t="shared" si="148"/>
        <v>211888</v>
      </c>
      <c r="M206" s="172">
        <f t="shared" si="149"/>
        <v>64209</v>
      </c>
      <c r="N206" s="172"/>
      <c r="O206" s="172">
        <f t="shared" si="150"/>
        <v>16052</v>
      </c>
      <c r="P206" s="172"/>
      <c r="Q206" s="172">
        <f t="shared" si="151"/>
        <v>18942</v>
      </c>
      <c r="R206" s="172"/>
      <c r="S206" s="145">
        <f t="shared" si="152"/>
        <v>24399</v>
      </c>
      <c r="T206" s="145"/>
      <c r="U206" s="145">
        <f t="shared" si="153"/>
        <v>11108</v>
      </c>
      <c r="V206" s="145"/>
      <c r="W206" s="145">
        <f t="shared" si="154"/>
        <v>237764</v>
      </c>
      <c r="X206" s="145"/>
      <c r="Y206" s="145">
        <f t="shared" si="155"/>
        <v>43983</v>
      </c>
      <c r="Z206" s="145"/>
      <c r="AA206" s="145">
        <f t="shared" si="156"/>
        <v>6678</v>
      </c>
      <c r="AB206" s="145"/>
      <c r="AC206" s="172">
        <f t="shared" si="157"/>
        <v>3724</v>
      </c>
      <c r="AD206" s="145"/>
      <c r="AE206" s="172">
        <f t="shared" si="158"/>
        <v>1092</v>
      </c>
      <c r="AF206" s="145"/>
      <c r="AG206" s="172">
        <f t="shared" si="159"/>
        <v>2247</v>
      </c>
      <c r="AI206" s="1025">
        <f t="shared" si="82"/>
        <v>0</v>
      </c>
    </row>
    <row r="207" spans="1:35" s="87" customFormat="1">
      <c r="A207" s="1055"/>
      <c r="B207" s="252"/>
      <c r="C207" s="1008">
        <v>392</v>
      </c>
      <c r="E207" s="252" t="s">
        <v>290</v>
      </c>
      <c r="F207" s="252"/>
      <c r="G207" s="376">
        <v>12</v>
      </c>
      <c r="H207" s="252"/>
      <c r="I207" s="254">
        <f>+SUM('Linkin (2)'!W91:W96)</f>
        <v>4718115</v>
      </c>
      <c r="K207" s="1030">
        <f t="shared" si="148"/>
        <v>1556978</v>
      </c>
      <c r="M207" s="172">
        <f t="shared" si="149"/>
        <v>471812</v>
      </c>
      <c r="N207" s="172"/>
      <c r="O207" s="172">
        <f t="shared" si="150"/>
        <v>117953</v>
      </c>
      <c r="P207" s="172"/>
      <c r="Q207" s="172">
        <f t="shared" si="151"/>
        <v>139184</v>
      </c>
      <c r="R207" s="172"/>
      <c r="S207" s="145">
        <f t="shared" si="152"/>
        <v>179288</v>
      </c>
      <c r="T207" s="145"/>
      <c r="U207" s="145">
        <f t="shared" si="153"/>
        <v>81623</v>
      </c>
      <c r="V207" s="145"/>
      <c r="W207" s="145">
        <f t="shared" si="154"/>
        <v>1747118</v>
      </c>
      <c r="X207" s="145"/>
      <c r="Y207" s="145">
        <f t="shared" si="155"/>
        <v>323191</v>
      </c>
      <c r="Z207" s="145"/>
      <c r="AA207" s="145">
        <f t="shared" si="156"/>
        <v>49068</v>
      </c>
      <c r="AB207" s="145"/>
      <c r="AC207" s="172">
        <f t="shared" si="157"/>
        <v>27365</v>
      </c>
      <c r="AD207" s="145"/>
      <c r="AE207" s="172">
        <f t="shared" si="158"/>
        <v>8021</v>
      </c>
      <c r="AF207" s="145"/>
      <c r="AG207" s="172">
        <f t="shared" si="159"/>
        <v>16513</v>
      </c>
      <c r="AI207" s="1025">
        <f t="shared" si="82"/>
        <v>-1</v>
      </c>
    </row>
    <row r="208" spans="1:35" s="87" customFormat="1">
      <c r="A208" s="1055"/>
      <c r="B208" s="252"/>
      <c r="C208" s="1008">
        <v>393</v>
      </c>
      <c r="E208" s="252" t="s">
        <v>745</v>
      </c>
      <c r="F208" s="252"/>
      <c r="G208" s="376">
        <v>12</v>
      </c>
      <c r="H208" s="252"/>
      <c r="I208" s="254">
        <f>+'Linkin (2)'!W97</f>
        <v>885</v>
      </c>
      <c r="K208" s="1030">
        <f t="shared" si="148"/>
        <v>292</v>
      </c>
      <c r="M208" s="172">
        <f t="shared" si="149"/>
        <v>89</v>
      </c>
      <c r="N208" s="172"/>
      <c r="O208" s="172">
        <f t="shared" si="150"/>
        <v>22</v>
      </c>
      <c r="P208" s="172"/>
      <c r="Q208" s="172">
        <f t="shared" si="151"/>
        <v>26</v>
      </c>
      <c r="R208" s="172"/>
      <c r="S208" s="145">
        <f t="shared" si="152"/>
        <v>34</v>
      </c>
      <c r="T208" s="145"/>
      <c r="U208" s="145">
        <f t="shared" si="153"/>
        <v>15</v>
      </c>
      <c r="V208" s="145"/>
      <c r="W208" s="145">
        <f t="shared" si="154"/>
        <v>328</v>
      </c>
      <c r="X208" s="145"/>
      <c r="Y208" s="145">
        <f t="shared" si="155"/>
        <v>61</v>
      </c>
      <c r="Z208" s="145"/>
      <c r="AA208" s="145">
        <f t="shared" si="156"/>
        <v>9</v>
      </c>
      <c r="AB208" s="145"/>
      <c r="AC208" s="172">
        <f t="shared" si="157"/>
        <v>5</v>
      </c>
      <c r="AD208" s="145"/>
      <c r="AE208" s="172">
        <f t="shared" si="158"/>
        <v>2</v>
      </c>
      <c r="AF208" s="145"/>
      <c r="AG208" s="172">
        <f t="shared" si="159"/>
        <v>3</v>
      </c>
      <c r="AI208" s="1025">
        <f t="shared" ref="AI208:AI210" si="160">SUM(K208:AG208)-I208</f>
        <v>1</v>
      </c>
    </row>
    <row r="209" spans="2:35" s="87" customFormat="1">
      <c r="C209" s="1008">
        <v>394</v>
      </c>
      <c r="E209" s="252" t="s">
        <v>291</v>
      </c>
      <c r="F209" s="252"/>
      <c r="G209" s="376">
        <v>12</v>
      </c>
      <c r="H209" s="252"/>
      <c r="I209" s="254">
        <f>+'Linkin (2)'!W98</f>
        <v>1793913</v>
      </c>
      <c r="K209" s="1030">
        <f t="shared" si="148"/>
        <v>591991</v>
      </c>
      <c r="M209" s="172">
        <f t="shared" si="149"/>
        <v>179391</v>
      </c>
      <c r="N209" s="172"/>
      <c r="O209" s="172">
        <f t="shared" si="150"/>
        <v>44848</v>
      </c>
      <c r="P209" s="172"/>
      <c r="Q209" s="172">
        <f t="shared" si="151"/>
        <v>52920</v>
      </c>
      <c r="R209" s="172"/>
      <c r="S209" s="145">
        <f t="shared" si="152"/>
        <v>68169</v>
      </c>
      <c r="T209" s="145"/>
      <c r="U209" s="145">
        <f t="shared" si="153"/>
        <v>31035</v>
      </c>
      <c r="V209" s="145"/>
      <c r="W209" s="145">
        <f t="shared" si="154"/>
        <v>664286</v>
      </c>
      <c r="X209" s="145"/>
      <c r="Y209" s="145">
        <f t="shared" si="155"/>
        <v>122883</v>
      </c>
      <c r="Z209" s="145"/>
      <c r="AA209" s="145">
        <f t="shared" si="156"/>
        <v>18657</v>
      </c>
      <c r="AB209" s="145"/>
      <c r="AC209" s="172">
        <f t="shared" si="157"/>
        <v>10405</v>
      </c>
      <c r="AD209" s="145"/>
      <c r="AE209" s="172">
        <f t="shared" si="158"/>
        <v>3050</v>
      </c>
      <c r="AF209" s="145"/>
      <c r="AG209" s="172">
        <f t="shared" si="159"/>
        <v>6279</v>
      </c>
      <c r="AI209" s="1025">
        <f t="shared" si="160"/>
        <v>1</v>
      </c>
    </row>
    <row r="210" spans="2:35" s="87" customFormat="1">
      <c r="C210" s="1008">
        <v>395</v>
      </c>
      <c r="E210" s="252" t="s">
        <v>746</v>
      </c>
      <c r="F210" s="252"/>
      <c r="G210" s="376">
        <v>12</v>
      </c>
      <c r="H210" s="252"/>
      <c r="I210" s="254">
        <f>+'Linkin (2)'!W99</f>
        <v>22099</v>
      </c>
      <c r="K210" s="1030">
        <f t="shared" si="148"/>
        <v>7293</v>
      </c>
      <c r="M210" s="172">
        <f t="shared" si="149"/>
        <v>2210</v>
      </c>
      <c r="N210" s="172"/>
      <c r="O210" s="172">
        <f t="shared" si="150"/>
        <v>552</v>
      </c>
      <c r="P210" s="172"/>
      <c r="Q210" s="172">
        <f t="shared" si="151"/>
        <v>652</v>
      </c>
      <c r="R210" s="172"/>
      <c r="S210" s="145">
        <f t="shared" si="152"/>
        <v>840</v>
      </c>
      <c r="T210" s="145"/>
      <c r="U210" s="145">
        <f t="shared" si="153"/>
        <v>382</v>
      </c>
      <c r="V210" s="145"/>
      <c r="W210" s="145">
        <f t="shared" si="154"/>
        <v>8183</v>
      </c>
      <c r="X210" s="145"/>
      <c r="Y210" s="145">
        <f t="shared" si="155"/>
        <v>1514</v>
      </c>
      <c r="Z210" s="145"/>
      <c r="AA210" s="145">
        <f t="shared" si="156"/>
        <v>230</v>
      </c>
      <c r="AB210" s="145"/>
      <c r="AC210" s="172">
        <f t="shared" si="157"/>
        <v>128</v>
      </c>
      <c r="AD210" s="145"/>
      <c r="AE210" s="172">
        <f t="shared" si="158"/>
        <v>38</v>
      </c>
      <c r="AF210" s="145"/>
      <c r="AG210" s="172">
        <f t="shared" si="159"/>
        <v>77</v>
      </c>
      <c r="AI210" s="1025">
        <f t="shared" si="160"/>
        <v>0</v>
      </c>
    </row>
    <row r="211" spans="2:35" s="87" customFormat="1">
      <c r="C211" s="1008">
        <v>396</v>
      </c>
      <c r="E211" s="252" t="s">
        <v>292</v>
      </c>
      <c r="F211" s="252"/>
      <c r="G211" s="376">
        <v>12</v>
      </c>
      <c r="H211" s="252"/>
      <c r="I211" s="254">
        <f>+'Linkin (2)'!W100</f>
        <v>527199</v>
      </c>
      <c r="K211" s="1030">
        <f t="shared" si="148"/>
        <v>173976</v>
      </c>
      <c r="M211" s="172">
        <f t="shared" si="149"/>
        <v>52720</v>
      </c>
      <c r="N211" s="172"/>
      <c r="O211" s="172">
        <f t="shared" si="150"/>
        <v>13180</v>
      </c>
      <c r="P211" s="172"/>
      <c r="Q211" s="172">
        <f t="shared" si="151"/>
        <v>15552</v>
      </c>
      <c r="R211" s="172"/>
      <c r="S211" s="145">
        <f t="shared" si="152"/>
        <v>20034</v>
      </c>
      <c r="T211" s="145"/>
      <c r="U211" s="145">
        <f t="shared" si="153"/>
        <v>9121</v>
      </c>
      <c r="V211" s="145"/>
      <c r="W211" s="145">
        <f t="shared" si="154"/>
        <v>195222</v>
      </c>
      <c r="X211" s="145"/>
      <c r="Y211" s="145">
        <f t="shared" si="155"/>
        <v>36113</v>
      </c>
      <c r="Z211" s="145"/>
      <c r="AA211" s="145">
        <f t="shared" si="156"/>
        <v>5483</v>
      </c>
      <c r="AB211" s="145"/>
      <c r="AC211" s="172">
        <f t="shared" si="157"/>
        <v>3058</v>
      </c>
      <c r="AD211" s="145"/>
      <c r="AE211" s="172">
        <f t="shared" si="158"/>
        <v>896</v>
      </c>
      <c r="AF211" s="145"/>
      <c r="AG211" s="172">
        <f t="shared" si="159"/>
        <v>1845</v>
      </c>
      <c r="AH211" s="172"/>
      <c r="AI211" s="1025">
        <f t="shared" si="82"/>
        <v>1</v>
      </c>
    </row>
    <row r="212" spans="2:35" s="87" customFormat="1">
      <c r="C212" s="1008">
        <v>397</v>
      </c>
      <c r="E212" s="252" t="s">
        <v>293</v>
      </c>
      <c r="F212" s="252"/>
      <c r="G212" s="376">
        <v>12</v>
      </c>
      <c r="H212" s="88"/>
      <c r="I212" s="254">
        <f>+'Linkin (2)'!W101</f>
        <v>102110</v>
      </c>
      <c r="J212" s="259"/>
      <c r="K212" s="1030">
        <f t="shared" si="148"/>
        <v>33696</v>
      </c>
      <c r="M212" s="172">
        <f t="shared" si="149"/>
        <v>10211</v>
      </c>
      <c r="N212" s="172"/>
      <c r="O212" s="172">
        <f t="shared" si="150"/>
        <v>2553</v>
      </c>
      <c r="P212" s="172"/>
      <c r="Q212" s="172">
        <f t="shared" si="151"/>
        <v>3012</v>
      </c>
      <c r="R212" s="172"/>
      <c r="S212" s="145">
        <f t="shared" si="152"/>
        <v>3880</v>
      </c>
      <c r="T212" s="145"/>
      <c r="U212" s="145">
        <f t="shared" si="153"/>
        <v>1767</v>
      </c>
      <c r="V212" s="145"/>
      <c r="W212" s="145">
        <f t="shared" si="154"/>
        <v>37811</v>
      </c>
      <c r="X212" s="145"/>
      <c r="Y212" s="145">
        <f t="shared" si="155"/>
        <v>6995</v>
      </c>
      <c r="Z212" s="145"/>
      <c r="AA212" s="145">
        <f t="shared" si="156"/>
        <v>1062</v>
      </c>
      <c r="AB212" s="145"/>
      <c r="AC212" s="172">
        <f t="shared" si="157"/>
        <v>592</v>
      </c>
      <c r="AD212" s="145"/>
      <c r="AE212" s="172">
        <f t="shared" si="158"/>
        <v>174</v>
      </c>
      <c r="AF212" s="145"/>
      <c r="AG212" s="172">
        <f t="shared" si="159"/>
        <v>357</v>
      </c>
      <c r="AH212" s="172"/>
      <c r="AI212" s="1025">
        <f t="shared" si="82"/>
        <v>0</v>
      </c>
    </row>
    <row r="213" spans="2:35" s="87" customFormat="1">
      <c r="C213" s="1008">
        <v>398</v>
      </c>
      <c r="E213" s="252" t="s">
        <v>162</v>
      </c>
      <c r="F213" s="252"/>
      <c r="G213" s="376">
        <v>12</v>
      </c>
      <c r="H213" s="88"/>
      <c r="I213" s="254">
        <f>+'Linkin (2)'!W102</f>
        <v>635997</v>
      </c>
      <c r="J213" s="259"/>
      <c r="K213" s="1030">
        <f t="shared" si="148"/>
        <v>209879</v>
      </c>
      <c r="M213" s="172">
        <f t="shared" si="149"/>
        <v>63600</v>
      </c>
      <c r="N213" s="172"/>
      <c r="O213" s="172">
        <f t="shared" si="150"/>
        <v>15900</v>
      </c>
      <c r="P213" s="172"/>
      <c r="Q213" s="172">
        <f t="shared" si="151"/>
        <v>18762</v>
      </c>
      <c r="R213" s="172"/>
      <c r="S213" s="145">
        <f t="shared" si="152"/>
        <v>24168</v>
      </c>
      <c r="T213" s="145"/>
      <c r="U213" s="145">
        <f t="shared" si="153"/>
        <v>11003</v>
      </c>
      <c r="V213" s="145"/>
      <c r="W213" s="145">
        <f t="shared" si="154"/>
        <v>235510</v>
      </c>
      <c r="X213" s="145"/>
      <c r="Y213" s="145">
        <f t="shared" si="155"/>
        <v>43566</v>
      </c>
      <c r="Z213" s="145"/>
      <c r="AA213" s="145">
        <f t="shared" si="156"/>
        <v>6614</v>
      </c>
      <c r="AB213" s="145"/>
      <c r="AC213" s="172">
        <f t="shared" si="157"/>
        <v>3689</v>
      </c>
      <c r="AD213" s="145"/>
      <c r="AE213" s="172">
        <f t="shared" si="158"/>
        <v>1081</v>
      </c>
      <c r="AF213" s="145"/>
      <c r="AG213" s="172">
        <f t="shared" si="159"/>
        <v>2226</v>
      </c>
      <c r="AH213" s="172"/>
      <c r="AI213" s="1025">
        <f t="shared" si="82"/>
        <v>1</v>
      </c>
    </row>
    <row r="214" spans="2:35" s="87" customFormat="1" ht="15.75">
      <c r="E214" s="443" t="s">
        <v>238</v>
      </c>
      <c r="F214" s="443"/>
      <c r="G214" s="444"/>
      <c r="H214" s="443"/>
      <c r="I214" s="448">
        <f>SUM(I205:I213)</f>
        <v>13360156</v>
      </c>
      <c r="J214" s="27"/>
      <c r="K214" s="994">
        <f>SUM(K205:K213)</f>
        <v>4408851</v>
      </c>
      <c r="L214" s="27"/>
      <c r="M214" s="994">
        <f>SUM(M205:M213)</f>
        <v>1336017</v>
      </c>
      <c r="N214" s="27"/>
      <c r="O214" s="994">
        <f>SUM(O205:O213)</f>
        <v>334004</v>
      </c>
      <c r="P214" s="48"/>
      <c r="Q214" s="994">
        <f>SUM(Q205:Q213)</f>
        <v>394124</v>
      </c>
      <c r="R214" s="27"/>
      <c r="S214" s="994">
        <f>SUM(S205:S213)</f>
        <v>507687</v>
      </c>
      <c r="T214" s="48"/>
      <c r="U214" s="994">
        <f>SUM(U205:U213)</f>
        <v>231131</v>
      </c>
      <c r="V214" s="27"/>
      <c r="W214" s="994">
        <f>SUM(W205:W213)</f>
        <v>4947266</v>
      </c>
      <c r="X214" s="27"/>
      <c r="Y214" s="994">
        <f>SUM(Y205:Y213)</f>
        <v>915172</v>
      </c>
      <c r="Z214" s="27"/>
      <c r="AA214" s="994">
        <f>SUM(AA205:AA213)</f>
        <v>138946</v>
      </c>
      <c r="AB214" s="48"/>
      <c r="AC214" s="994">
        <f>SUM(AC205:AC213)</f>
        <v>77489</v>
      </c>
      <c r="AD214" s="27"/>
      <c r="AE214" s="994">
        <f>SUM(AE205:AE213)</f>
        <v>22714</v>
      </c>
      <c r="AF214" s="27"/>
      <c r="AG214" s="994">
        <f>SUM(AG205:AG213)</f>
        <v>46759</v>
      </c>
      <c r="AH214" s="27"/>
      <c r="AI214" s="1025">
        <f t="shared" si="82"/>
        <v>4</v>
      </c>
    </row>
    <row r="215" spans="2:35" s="87" customFormat="1" ht="15.75">
      <c r="B215" s="145">
        <f>+I214+I201+I181+I171+I168</f>
        <v>98490182</v>
      </c>
      <c r="E215" s="443"/>
      <c r="F215" s="443"/>
      <c r="G215" s="444"/>
      <c r="H215" s="443"/>
      <c r="I215" s="446"/>
      <c r="J215" s="27"/>
      <c r="K215" s="48"/>
      <c r="L215" s="27"/>
      <c r="M215" s="48"/>
      <c r="N215" s="27"/>
      <c r="O215" s="48"/>
      <c r="P215" s="48"/>
      <c r="Q215" s="48"/>
      <c r="R215" s="27"/>
      <c r="S215" s="48"/>
      <c r="T215" s="48"/>
      <c r="U215" s="48"/>
      <c r="V215" s="27"/>
      <c r="W215" s="48"/>
      <c r="X215" s="27"/>
      <c r="Y215" s="48"/>
      <c r="Z215" s="27"/>
      <c r="AA215" s="48"/>
      <c r="AB215" s="48"/>
      <c r="AC215" s="48"/>
      <c r="AD215" s="27"/>
      <c r="AE215" s="48"/>
      <c r="AF215" s="27"/>
      <c r="AG215" s="48"/>
      <c r="AH215" s="27"/>
      <c r="AI215" s="1025"/>
    </row>
    <row r="216" spans="2:35" s="87" customFormat="1" ht="15.75">
      <c r="C216" s="27" t="s">
        <v>819</v>
      </c>
      <c r="E216" s="443"/>
      <c r="F216" s="443"/>
      <c r="G216" s="444"/>
      <c r="H216" s="443"/>
      <c r="I216" s="446"/>
      <c r="J216" s="27"/>
      <c r="K216" s="48"/>
      <c r="L216" s="27"/>
      <c r="M216" s="48"/>
      <c r="N216" s="27"/>
      <c r="O216" s="48"/>
      <c r="P216" s="48"/>
      <c r="Q216" s="48"/>
      <c r="R216" s="27"/>
      <c r="S216" s="48"/>
      <c r="T216" s="48"/>
      <c r="U216" s="48"/>
      <c r="V216" s="27"/>
      <c r="W216" s="48"/>
      <c r="X216" s="27"/>
      <c r="Y216" s="48"/>
      <c r="Z216" s="27"/>
      <c r="AA216" s="48"/>
      <c r="AB216" s="48"/>
      <c r="AC216" s="48"/>
      <c r="AD216" s="27"/>
      <c r="AE216" s="48"/>
      <c r="AF216" s="27"/>
      <c r="AG216" s="48"/>
      <c r="AH216" s="27"/>
      <c r="AI216" s="1025"/>
    </row>
    <row r="217" spans="2:35" s="87" customFormat="1" ht="15.75">
      <c r="B217" s="87">
        <v>0.88429999999999997</v>
      </c>
      <c r="C217" s="1031">
        <v>390.2</v>
      </c>
      <c r="E217" s="419" t="s">
        <v>522</v>
      </c>
      <c r="F217" s="443"/>
      <c r="G217" s="376">
        <v>12</v>
      </c>
      <c r="H217" s="443"/>
      <c r="I217" s="450">
        <f>+'Linkin (2)'!W129*B217</f>
        <v>767721.84669999999</v>
      </c>
      <c r="J217" s="27"/>
      <c r="K217" s="1030">
        <f>ROUND(VLOOKUP($G217,factors,+K$375,FALSE)*$I217,0)</f>
        <v>253348</v>
      </c>
      <c r="M217" s="172">
        <f>ROUND(VLOOKUP($G217,factors,+M$375,FALSE)*$I217,0)</f>
        <v>76772</v>
      </c>
      <c r="N217" s="172"/>
      <c r="O217" s="172">
        <f>ROUND(VLOOKUP($G217,factors,+O$375,FALSE)*$I217,0)</f>
        <v>19193</v>
      </c>
      <c r="P217" s="172"/>
      <c r="Q217" s="172">
        <f>ROUND(VLOOKUP($G217,factors,+Q$375,FALSE)*$I217,0)</f>
        <v>22648</v>
      </c>
      <c r="R217" s="172"/>
      <c r="S217" s="145">
        <f>ROUND(VLOOKUP($G217,factors,+S$375,FALSE)*$I217,0)</f>
        <v>29173</v>
      </c>
      <c r="T217" s="145"/>
      <c r="U217" s="145">
        <f>ROUND(VLOOKUP($G217,factors,+U$375,FALSE)*$I217,0)</f>
        <v>13282</v>
      </c>
      <c r="V217" s="145"/>
      <c r="W217" s="145">
        <f>ROUND(VLOOKUP($G217,factors,+W$375,FALSE)*$I217,0)</f>
        <v>284287</v>
      </c>
      <c r="X217" s="145"/>
      <c r="Y217" s="145">
        <f>ROUND(VLOOKUP($G217,factors,+Y$375,FALSE)*$I217,0)</f>
        <v>52589</v>
      </c>
      <c r="Z217" s="145"/>
      <c r="AA217" s="145">
        <f>ROUND(VLOOKUP($G217,factors,+AA$375,FALSE)*$I217,0)</f>
        <v>7984</v>
      </c>
      <c r="AB217" s="145"/>
      <c r="AC217" s="172">
        <f>ROUND(VLOOKUP($G217,factors,+AC$375,FALSE)*$I217,0)</f>
        <v>4453</v>
      </c>
      <c r="AD217" s="145"/>
      <c r="AE217" s="172">
        <f>ROUND(VLOOKUP($G217,factors,+AE$375,FALSE)*$I217,0)</f>
        <v>1305</v>
      </c>
      <c r="AF217" s="145"/>
      <c r="AG217" s="172">
        <f>ROUND(VLOOKUP($G217,factors,+AG$375,FALSE)*$I217,0)</f>
        <v>2687</v>
      </c>
      <c r="AI217" s="1025">
        <f>SUM(K217:AG217)-I217</f>
        <v>-0.84669999999459833</v>
      </c>
    </row>
    <row r="218" spans="2:35" s="87" customFormat="1" ht="15.75">
      <c r="C218" s="1005">
        <v>391</v>
      </c>
      <c r="E218" s="219" t="s">
        <v>520</v>
      </c>
      <c r="F218" s="443"/>
      <c r="G218" s="376">
        <v>12</v>
      </c>
      <c r="H218" s="443"/>
      <c r="I218" s="450">
        <f>+SUM('Linkin (2)'!W130:W131)*B217</f>
        <v>68132.662100000001</v>
      </c>
      <c r="J218" s="27"/>
      <c r="K218" s="1030">
        <f>ROUND(VLOOKUP($G218,factors,+K$375,FALSE)*$I218,0)</f>
        <v>22484</v>
      </c>
      <c r="M218" s="172">
        <f>ROUND(VLOOKUP($G218,factors,+M$375,FALSE)*$I218,0)</f>
        <v>6813</v>
      </c>
      <c r="N218" s="172"/>
      <c r="O218" s="172">
        <f>ROUND(VLOOKUP($G218,factors,+O$375,FALSE)*$I218,0)</f>
        <v>1703</v>
      </c>
      <c r="P218" s="172"/>
      <c r="Q218" s="172">
        <f>ROUND(VLOOKUP($G218,factors,+Q$375,FALSE)*$I218,0)</f>
        <v>2010</v>
      </c>
      <c r="R218" s="172"/>
      <c r="S218" s="145">
        <f>ROUND(VLOOKUP($G218,factors,+S$375,FALSE)*$I218,0)</f>
        <v>2589</v>
      </c>
      <c r="T218" s="145"/>
      <c r="U218" s="145">
        <f>ROUND(VLOOKUP($G218,factors,+U$375,FALSE)*$I218,0)</f>
        <v>1179</v>
      </c>
      <c r="V218" s="145"/>
      <c r="W218" s="145">
        <f>ROUND(VLOOKUP($G218,factors,+W$375,FALSE)*$I218,0)</f>
        <v>25230</v>
      </c>
      <c r="X218" s="145"/>
      <c r="Y218" s="145">
        <f>ROUND(VLOOKUP($G218,factors,+Y$375,FALSE)*$I218,0)</f>
        <v>4667</v>
      </c>
      <c r="Z218" s="145"/>
      <c r="AA218" s="145">
        <f>ROUND(VLOOKUP($G218,factors,+AA$375,FALSE)*$I218,0)</f>
        <v>709</v>
      </c>
      <c r="AB218" s="145"/>
      <c r="AC218" s="172">
        <f>ROUND(VLOOKUP($G218,factors,+AC$375,FALSE)*$I218,0)</f>
        <v>395</v>
      </c>
      <c r="AD218" s="145"/>
      <c r="AE218" s="172">
        <f>ROUND(VLOOKUP($G218,factors,+AE$375,FALSE)*$I218,0)</f>
        <v>116</v>
      </c>
      <c r="AF218" s="145"/>
      <c r="AG218" s="172">
        <f>ROUND(VLOOKUP($G218,factors,+AG$375,FALSE)*$I218,0)</f>
        <v>238</v>
      </c>
      <c r="AI218" s="1025">
        <f>SUM(K218:AG218)-I218</f>
        <v>0.3378999999986263</v>
      </c>
    </row>
    <row r="219" spans="2:35" s="87" customFormat="1" ht="15.75">
      <c r="C219" s="1005">
        <v>392.1</v>
      </c>
      <c r="E219" s="219" t="s">
        <v>521</v>
      </c>
      <c r="F219" s="443"/>
      <c r="G219" s="376">
        <v>12</v>
      </c>
      <c r="H219" s="443"/>
      <c r="I219" s="451">
        <f>+'Linkin (2)'!W132*B217</f>
        <v>310.38929999999999</v>
      </c>
      <c r="J219" s="27"/>
      <c r="K219" s="1032">
        <f>ROUND(VLOOKUP($G219,factors,+K$375,FALSE)*$I219,0)</f>
        <v>102</v>
      </c>
      <c r="M219" s="1032">
        <f>ROUND(VLOOKUP($G219,factors,+M$375,FALSE)*$I219,0)</f>
        <v>31</v>
      </c>
      <c r="N219" s="172"/>
      <c r="O219" s="1032">
        <f>ROUND(VLOOKUP($G219,factors,+O$375,FALSE)*$I219,0)</f>
        <v>8</v>
      </c>
      <c r="P219" s="1030"/>
      <c r="Q219" s="1032">
        <f>ROUND(VLOOKUP($G219,factors,+Q$375,FALSE)*$I219,0)</f>
        <v>9</v>
      </c>
      <c r="R219" s="172"/>
      <c r="S219" s="237">
        <f>ROUND(VLOOKUP($G219,factors,+S$375,FALSE)*$I219,0)</f>
        <v>12</v>
      </c>
      <c r="T219" s="1033"/>
      <c r="U219" s="237">
        <f>ROUND(VLOOKUP($G219,factors,+U$375,FALSE)*$I219,0)</f>
        <v>5</v>
      </c>
      <c r="W219" s="1032">
        <f>ROUND(VLOOKUP($G219,factors,+W$375,FALSE)*$I219,0)</f>
        <v>115</v>
      </c>
      <c r="X219" s="172"/>
      <c r="Y219" s="1032">
        <f>ROUND(VLOOKUP($G219,factors,+Y$375,FALSE)*$I219,0)</f>
        <v>21</v>
      </c>
      <c r="Z219" s="145"/>
      <c r="AA219" s="237">
        <f>ROUND(VLOOKUP($G219,factors,+AA$375,FALSE)*$I219,0)</f>
        <v>3</v>
      </c>
      <c r="AB219" s="1033"/>
      <c r="AC219" s="1032">
        <f>ROUND(VLOOKUP($G219,factors,+AC$375,FALSE)*$I219,0)</f>
        <v>2</v>
      </c>
      <c r="AE219" s="1032">
        <f>ROUND(VLOOKUP($G219,factors,+AE$375,FALSE)*$I219,0)</f>
        <v>1</v>
      </c>
      <c r="AG219" s="1032">
        <f>ROUND(VLOOKUP($G219,factors,+AG$375,FALSE)*$I219,0)</f>
        <v>1</v>
      </c>
      <c r="AI219" s="1025">
        <f>SUM(K219:AG219)-I219</f>
        <v>-0.38929999999999154</v>
      </c>
    </row>
    <row r="220" spans="2:35" s="87" customFormat="1" ht="15.75">
      <c r="D220" s="1"/>
      <c r="E220" s="452" t="s">
        <v>519</v>
      </c>
      <c r="F220" s="443"/>
      <c r="G220" s="444"/>
      <c r="H220" s="443"/>
      <c r="I220" s="446">
        <f>SUM(I217:I219)</f>
        <v>836164.89809999999</v>
      </c>
      <c r="J220" s="48"/>
      <c r="K220" s="48">
        <f t="shared" ref="K220:AG220" si="161">SUM(K217:K219)</f>
        <v>275934</v>
      </c>
      <c r="L220" s="48">
        <f t="shared" si="161"/>
        <v>0</v>
      </c>
      <c r="M220" s="48">
        <f t="shared" si="161"/>
        <v>83616</v>
      </c>
      <c r="N220" s="48">
        <f t="shared" si="161"/>
        <v>0</v>
      </c>
      <c r="O220" s="48">
        <f t="shared" si="161"/>
        <v>20904</v>
      </c>
      <c r="P220" s="48">
        <f t="shared" si="161"/>
        <v>0</v>
      </c>
      <c r="Q220" s="48">
        <f t="shared" si="161"/>
        <v>24667</v>
      </c>
      <c r="R220" s="48">
        <f t="shared" si="161"/>
        <v>0</v>
      </c>
      <c r="S220" s="48">
        <f t="shared" si="161"/>
        <v>31774</v>
      </c>
      <c r="T220" s="48">
        <f t="shared" si="161"/>
        <v>0</v>
      </c>
      <c r="U220" s="48">
        <f t="shared" si="161"/>
        <v>14466</v>
      </c>
      <c r="V220" s="48">
        <f t="shared" si="161"/>
        <v>0</v>
      </c>
      <c r="W220" s="48">
        <f t="shared" si="161"/>
        <v>309632</v>
      </c>
      <c r="X220" s="48">
        <f t="shared" si="161"/>
        <v>0</v>
      </c>
      <c r="Y220" s="48">
        <f t="shared" si="161"/>
        <v>57277</v>
      </c>
      <c r="Z220" s="48">
        <f t="shared" si="161"/>
        <v>0</v>
      </c>
      <c r="AA220" s="48">
        <f t="shared" si="161"/>
        <v>8696</v>
      </c>
      <c r="AB220" s="48">
        <f t="shared" si="161"/>
        <v>0</v>
      </c>
      <c r="AC220" s="48">
        <f t="shared" si="161"/>
        <v>4850</v>
      </c>
      <c r="AD220" s="48">
        <f t="shared" si="161"/>
        <v>0</v>
      </c>
      <c r="AE220" s="48">
        <f t="shared" si="161"/>
        <v>1422</v>
      </c>
      <c r="AF220" s="48">
        <f t="shared" si="161"/>
        <v>0</v>
      </c>
      <c r="AG220" s="48">
        <f t="shared" si="161"/>
        <v>2926</v>
      </c>
      <c r="AH220" s="48"/>
      <c r="AI220" s="1025">
        <f>SUM(K220:AG220)-I220</f>
        <v>-0.89809999999124557</v>
      </c>
    </row>
    <row r="221" spans="2:35" s="87" customFormat="1" ht="15.75">
      <c r="E221" s="443"/>
      <c r="F221" s="443"/>
      <c r="G221" s="444"/>
      <c r="H221" s="443"/>
      <c r="I221" s="446"/>
      <c r="J221" s="27"/>
      <c r="K221" s="48"/>
      <c r="L221" s="27"/>
      <c r="M221" s="48"/>
      <c r="N221" s="27"/>
      <c r="O221" s="48"/>
      <c r="P221" s="48"/>
      <c r="Q221" s="48"/>
      <c r="R221" s="27"/>
      <c r="S221" s="48"/>
      <c r="T221" s="48"/>
      <c r="U221" s="48"/>
      <c r="V221" s="27"/>
      <c r="W221" s="48"/>
      <c r="X221" s="27"/>
      <c r="Y221" s="48"/>
      <c r="Z221" s="27"/>
      <c r="AA221" s="48"/>
      <c r="AB221" s="48"/>
      <c r="AC221" s="48"/>
      <c r="AD221" s="27"/>
      <c r="AE221" s="48"/>
      <c r="AF221" s="27"/>
      <c r="AG221" s="48"/>
      <c r="AH221" s="27"/>
      <c r="AI221" s="1025"/>
    </row>
    <row r="222" spans="2:35" s="87" customFormat="1" ht="15.75">
      <c r="B222" s="87">
        <v>0.94120000000000004</v>
      </c>
      <c r="C222" s="27" t="s">
        <v>748</v>
      </c>
      <c r="E222" s="443"/>
      <c r="F222" s="443"/>
      <c r="G222" s="444"/>
      <c r="H222" s="443"/>
      <c r="I222" s="446"/>
      <c r="J222" s="27"/>
      <c r="K222" s="48"/>
      <c r="L222" s="27"/>
      <c r="M222" s="48"/>
      <c r="N222" s="27"/>
      <c r="O222" s="48"/>
      <c r="P222" s="48"/>
      <c r="Q222" s="48"/>
      <c r="R222" s="27"/>
      <c r="S222" s="48"/>
      <c r="T222" s="48"/>
      <c r="U222" s="48"/>
      <c r="V222" s="27"/>
      <c r="W222" s="48"/>
      <c r="X222" s="27"/>
      <c r="Y222" s="48"/>
      <c r="Z222" s="27"/>
      <c r="AA222" s="48"/>
      <c r="AB222" s="48"/>
      <c r="AC222" s="48"/>
      <c r="AD222" s="27"/>
      <c r="AE222" s="48"/>
      <c r="AF222" s="27"/>
      <c r="AG222" s="48"/>
      <c r="AH222" s="27"/>
      <c r="AI222" s="1025"/>
    </row>
    <row r="223" spans="2:35" s="87" customFormat="1" ht="15.75">
      <c r="C223" s="1008">
        <v>391</v>
      </c>
      <c r="E223" s="219" t="s">
        <v>520</v>
      </c>
      <c r="F223" s="443"/>
      <c r="G223" s="376">
        <v>12</v>
      </c>
      <c r="H223" s="443"/>
      <c r="I223" s="1034">
        <f>+'Linkin (2)'!W143*B222-I224</f>
        <v>15636999.970598936</v>
      </c>
      <c r="J223" s="27"/>
      <c r="K223" s="1030">
        <f>ROUND(VLOOKUP($G223,factors,+K$375,FALSE)*$I223,0)</f>
        <v>5160210</v>
      </c>
      <c r="M223" s="172">
        <f>ROUND(VLOOKUP($G223,factors,+M$375,FALSE)*$I223,0)</f>
        <v>1563700</v>
      </c>
      <c r="N223" s="172"/>
      <c r="O223" s="172">
        <f>ROUND(VLOOKUP($G223,factors,+O$375,FALSE)*$I223,0)</f>
        <v>390925</v>
      </c>
      <c r="P223" s="172"/>
      <c r="Q223" s="172">
        <f>ROUND(VLOOKUP($G223,factors,+Q$375,FALSE)*$I223,0)</f>
        <v>461291</v>
      </c>
      <c r="R223" s="172"/>
      <c r="S223" s="145">
        <f>ROUND(VLOOKUP($G223,factors,+S$375,FALSE)*$I223,0)</f>
        <v>594206</v>
      </c>
      <c r="T223" s="145"/>
      <c r="U223" s="145">
        <f>ROUND(VLOOKUP($G223,factors,+U$375,FALSE)*$I223,0)</f>
        <v>270520</v>
      </c>
      <c r="V223" s="145"/>
      <c r="W223" s="145">
        <f>ROUND(VLOOKUP($G223,factors,+W$375,FALSE)*$I223,0)</f>
        <v>5790381</v>
      </c>
      <c r="X223" s="145"/>
      <c r="Y223" s="145">
        <f>ROUND(VLOOKUP($G223,factors,+Y$375,FALSE)*$I223,0)</f>
        <v>1071134</v>
      </c>
      <c r="Z223" s="145"/>
      <c r="AA223" s="145">
        <f>ROUND(VLOOKUP($G223,factors,+AA$375,FALSE)*$I223,0)</f>
        <v>162625</v>
      </c>
      <c r="AB223" s="145"/>
      <c r="AC223" s="172">
        <f>ROUND(VLOOKUP($G223,factors,+AC$375,FALSE)*$I223,0)</f>
        <v>90695</v>
      </c>
      <c r="AD223" s="145"/>
      <c r="AE223" s="172">
        <f>ROUND(VLOOKUP($G223,factors,+AE$375,FALSE)*$I223,0)</f>
        <v>26583</v>
      </c>
      <c r="AF223" s="145"/>
      <c r="AG223" s="172">
        <f>ROUND(VLOOKUP($G223,factors,+AG$375,FALSE)*$I223,0)</f>
        <v>54729</v>
      </c>
      <c r="AI223" s="1025">
        <f>SUM(K223:AG223)-I223</f>
        <v>-0.97059893608093262</v>
      </c>
    </row>
    <row r="224" spans="2:35" s="87" customFormat="1" ht="15.75">
      <c r="C224" s="1008">
        <v>391.1</v>
      </c>
      <c r="E224" s="219" t="s">
        <v>523</v>
      </c>
      <c r="F224" s="443"/>
      <c r="G224" s="376">
        <v>7</v>
      </c>
      <c r="H224" s="443"/>
      <c r="I224" s="451">
        <f>+'Linkin (2)'!M175*B222</f>
        <v>4778982.4162010672</v>
      </c>
      <c r="J224" s="27"/>
      <c r="K224" s="1032">
        <f>ROUND(VLOOKUP($G224,factors,+K$375,FALSE)*$I224,0)</f>
        <v>0</v>
      </c>
      <c r="M224" s="1032">
        <f>ROUND(VLOOKUP($G224,factors,+M$375,FALSE)*$I224,0)</f>
        <v>0</v>
      </c>
      <c r="N224" s="172"/>
      <c r="O224" s="1032">
        <f>ROUND(VLOOKUP($G224,factors,+O$375,FALSE)*$I224,0)</f>
        <v>0</v>
      </c>
      <c r="P224" s="1030"/>
      <c r="Q224" s="1032">
        <f>ROUND(VLOOKUP($G224,factors,+Q$375,FALSE)*$I224,0)</f>
        <v>0</v>
      </c>
      <c r="R224" s="172"/>
      <c r="S224" s="237">
        <f>ROUND(VLOOKUP($G224,factors,+S$375,FALSE)*$I224,0)</f>
        <v>0</v>
      </c>
      <c r="T224" s="1033"/>
      <c r="U224" s="237">
        <f>ROUND(VLOOKUP($G224,factors,+U$375,FALSE)*$I224,0)</f>
        <v>0</v>
      </c>
      <c r="W224" s="1032">
        <f>ROUND(VLOOKUP($G224,factors,+W$375,FALSE)*$I224,0)</f>
        <v>4265720</v>
      </c>
      <c r="X224" s="172"/>
      <c r="Y224" s="1032">
        <f>ROUND(VLOOKUP($G224,factors,+Y$375,FALSE)*$I224,0)</f>
        <v>495103</v>
      </c>
      <c r="Z224" s="145"/>
      <c r="AA224" s="237">
        <f>ROUND(VLOOKUP($G224,factors,+AA$375,FALSE)*$I224,0)</f>
        <v>10992</v>
      </c>
      <c r="AB224" s="1033"/>
      <c r="AC224" s="1032">
        <f>ROUND(VLOOKUP($G224,factors,+AC$375,FALSE)*$I224,0)</f>
        <v>3823</v>
      </c>
      <c r="AE224" s="1032">
        <f>ROUND(VLOOKUP($G224,factors,+AE$375,FALSE)*$I224,0)</f>
        <v>478</v>
      </c>
      <c r="AG224" s="1032">
        <f>ROUND(VLOOKUP($G224,factors,+AG$375,FALSE)*$I224,0)</f>
        <v>2867</v>
      </c>
      <c r="AI224" s="1025">
        <f>SUM(K224:AG224)-I224</f>
        <v>0.58379893284291029</v>
      </c>
    </row>
    <row r="225" spans="1:36" s="87" customFormat="1" ht="15.75">
      <c r="E225" s="443" t="s">
        <v>524</v>
      </c>
      <c r="F225" s="252"/>
      <c r="G225" s="376"/>
      <c r="H225" s="252"/>
      <c r="I225" s="1026">
        <f>SUM(I223:I224)</f>
        <v>20415982.386800002</v>
      </c>
      <c r="J225" s="242"/>
      <c r="K225" s="242">
        <f t="shared" ref="K225:AG225" si="162">SUM(K223:K224)</f>
        <v>5160210</v>
      </c>
      <c r="L225" s="242">
        <f t="shared" si="162"/>
        <v>0</v>
      </c>
      <c r="M225" s="242">
        <f t="shared" si="162"/>
        <v>1563700</v>
      </c>
      <c r="N225" s="242">
        <f t="shared" si="162"/>
        <v>0</v>
      </c>
      <c r="O225" s="242">
        <f t="shared" si="162"/>
        <v>390925</v>
      </c>
      <c r="P225" s="242">
        <f t="shared" si="162"/>
        <v>0</v>
      </c>
      <c r="Q225" s="242">
        <f t="shared" si="162"/>
        <v>461291</v>
      </c>
      <c r="R225" s="242">
        <f t="shared" si="162"/>
        <v>0</v>
      </c>
      <c r="S225" s="242">
        <f t="shared" si="162"/>
        <v>594206</v>
      </c>
      <c r="T225" s="242">
        <f t="shared" si="162"/>
        <v>0</v>
      </c>
      <c r="U225" s="242">
        <f t="shared" si="162"/>
        <v>270520</v>
      </c>
      <c r="V225" s="242">
        <f t="shared" si="162"/>
        <v>0</v>
      </c>
      <c r="W225" s="242">
        <f t="shared" si="162"/>
        <v>10056101</v>
      </c>
      <c r="X225" s="242">
        <f t="shared" si="162"/>
        <v>0</v>
      </c>
      <c r="Y225" s="242">
        <f t="shared" si="162"/>
        <v>1566237</v>
      </c>
      <c r="Z225" s="242">
        <f t="shared" si="162"/>
        <v>0</v>
      </c>
      <c r="AA225" s="242">
        <f t="shared" si="162"/>
        <v>173617</v>
      </c>
      <c r="AB225" s="242">
        <f t="shared" si="162"/>
        <v>0</v>
      </c>
      <c r="AC225" s="242">
        <f t="shared" si="162"/>
        <v>94518</v>
      </c>
      <c r="AD225" s="242">
        <f t="shared" si="162"/>
        <v>0</v>
      </c>
      <c r="AE225" s="242">
        <f t="shared" si="162"/>
        <v>27061</v>
      </c>
      <c r="AF225" s="242">
        <f t="shared" si="162"/>
        <v>0</v>
      </c>
      <c r="AG225" s="242">
        <f t="shared" si="162"/>
        <v>57596</v>
      </c>
      <c r="AI225" s="1025">
        <f>SUM(K225:AG225)-I225</f>
        <v>-0.38680000230669975</v>
      </c>
    </row>
    <row r="226" spans="1:36" s="87" customFormat="1" ht="15.75">
      <c r="A226" s="145">
        <f>+I232-I228</f>
        <v>119677327.33580001</v>
      </c>
      <c r="E226" s="443"/>
      <c r="F226" s="252"/>
      <c r="G226" s="376"/>
      <c r="H226" s="252"/>
      <c r="I226" s="1026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I226" s="1025"/>
    </row>
    <row r="227" spans="1:36" s="87" customFormat="1" ht="15.75">
      <c r="C227" s="27" t="s">
        <v>543</v>
      </c>
      <c r="E227" s="443"/>
      <c r="F227" s="252"/>
      <c r="G227" s="376"/>
      <c r="H227" s="252"/>
      <c r="I227" s="1026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I227" s="1025"/>
    </row>
    <row r="228" spans="1:36" s="87" customFormat="1" ht="15.75">
      <c r="A228" s="145">
        <f>+I214+I220+I225+I230</f>
        <v>34553960.499300003</v>
      </c>
      <c r="C228" s="27"/>
      <c r="E228" s="252" t="s">
        <v>544</v>
      </c>
      <c r="F228" s="252"/>
      <c r="G228" s="376">
        <v>12</v>
      </c>
      <c r="H228" s="252"/>
      <c r="I228" s="254">
        <f>+'Linkin (2)'!S167</f>
        <v>-7166000</v>
      </c>
      <c r="J228" s="254"/>
      <c r="K228" s="1030">
        <f>ROUND(VLOOKUP($G228,factors,+K$375,FALSE)*$I228,0)</f>
        <v>-2364780</v>
      </c>
      <c r="M228" s="172">
        <f>ROUND(VLOOKUP($G228,factors,+M$375,FALSE)*$I228,0)</f>
        <v>-716600</v>
      </c>
      <c r="N228" s="172"/>
      <c r="O228" s="172">
        <f>ROUND(VLOOKUP($G228,factors,+O$375,FALSE)*$I228,0)</f>
        <v>-179150</v>
      </c>
      <c r="P228" s="172"/>
      <c r="Q228" s="172">
        <f>ROUND(VLOOKUP($G228,factors,+Q$375,FALSE)*$I228,0)</f>
        <v>-211397</v>
      </c>
      <c r="R228" s="172"/>
      <c r="S228" s="145">
        <f>ROUND(VLOOKUP($G228,factors,+S$375,FALSE)*$I228,0)</f>
        <v>-272308</v>
      </c>
      <c r="T228" s="145"/>
      <c r="U228" s="145">
        <f>ROUND(VLOOKUP($G228,factors,+U$375,FALSE)*$I228,0)</f>
        <v>-123972</v>
      </c>
      <c r="V228" s="145"/>
      <c r="W228" s="145">
        <f>ROUND(VLOOKUP($G228,factors,+W$375,FALSE)*$I228,0)</f>
        <v>-2653570</v>
      </c>
      <c r="X228" s="145"/>
      <c r="Y228" s="145">
        <f>ROUND(VLOOKUP($G228,factors,+Y$375,FALSE)*$I228,0)</f>
        <v>-490871</v>
      </c>
      <c r="Z228" s="145"/>
      <c r="AA228" s="145">
        <f>ROUND(VLOOKUP($G228,factors,+AA$375,FALSE)*$I228,0)</f>
        <v>-74526</v>
      </c>
      <c r="AB228" s="145"/>
      <c r="AC228" s="172">
        <f>ROUND(VLOOKUP($G228,factors,+AC$375,FALSE)*$I228,0)</f>
        <v>-41563</v>
      </c>
      <c r="AD228" s="145"/>
      <c r="AE228" s="172">
        <f>ROUND(VLOOKUP($G228,factors,+AE$375,FALSE)*$I228,0)</f>
        <v>-12182</v>
      </c>
      <c r="AF228" s="145"/>
      <c r="AG228" s="172">
        <f>ROUND(VLOOKUP($G228,factors,+AG$375,FALSE)*$I228,0)</f>
        <v>-25081</v>
      </c>
      <c r="AI228" s="1025">
        <f>SUM(K228:AG228)-I228</f>
        <v>0</v>
      </c>
    </row>
    <row r="229" spans="1:36" s="87" customFormat="1">
      <c r="A229" s="145"/>
      <c r="C229" s="1031">
        <v>390.1</v>
      </c>
      <c r="E229" s="252" t="s">
        <v>824</v>
      </c>
      <c r="F229" s="252"/>
      <c r="G229" s="376">
        <v>12</v>
      </c>
      <c r="H229" s="252"/>
      <c r="I229" s="450">
        <f>-'Linkin (2)'!W150</f>
        <v>-6659.1634999999997</v>
      </c>
      <c r="J229" s="254"/>
      <c r="K229" s="1030">
        <f>ROUND(VLOOKUP($G229,factors,+K$375,FALSE)*$I229,0)</f>
        <v>-2198</v>
      </c>
      <c r="M229" s="172">
        <f>ROUND(VLOOKUP($G229,factors,+M$375,FALSE)*$I229,0)</f>
        <v>-666</v>
      </c>
      <c r="N229" s="172"/>
      <c r="O229" s="172">
        <f>ROUND(VLOOKUP($G229,factors,+O$375,FALSE)*$I229,0)</f>
        <v>-166</v>
      </c>
      <c r="P229" s="172"/>
      <c r="Q229" s="172">
        <f>ROUND(VLOOKUP($G229,factors,+Q$375,FALSE)*$I229,0)</f>
        <v>-196</v>
      </c>
      <c r="R229" s="172"/>
      <c r="S229" s="145">
        <f>ROUND(VLOOKUP($G229,factors,+S$375,FALSE)*$I229,0)</f>
        <v>-253</v>
      </c>
      <c r="T229" s="145"/>
      <c r="U229" s="145">
        <f>ROUND(VLOOKUP($G229,factors,+U$375,FALSE)*$I229,0)</f>
        <v>-115</v>
      </c>
      <c r="V229" s="145"/>
      <c r="W229" s="145">
        <f>ROUND(VLOOKUP($G229,factors,+W$375,FALSE)*$I229,0)</f>
        <v>-2466</v>
      </c>
      <c r="X229" s="145"/>
      <c r="Y229" s="145">
        <f>ROUND(VLOOKUP($G229,factors,+Y$375,FALSE)*$I229,0)</f>
        <v>-456</v>
      </c>
      <c r="Z229" s="145"/>
      <c r="AA229" s="145">
        <f>ROUND(VLOOKUP($G229,factors,+AA$375,FALSE)*$I229,0)</f>
        <v>-69</v>
      </c>
      <c r="AB229" s="145"/>
      <c r="AC229" s="172">
        <f>ROUND(VLOOKUP($G229,factors,+AC$375,FALSE)*$I229,0)</f>
        <v>-39</v>
      </c>
      <c r="AD229" s="145"/>
      <c r="AE229" s="172">
        <f>ROUND(VLOOKUP($G229,factors,+AE$375,FALSE)*$I229,0)</f>
        <v>-11</v>
      </c>
      <c r="AF229" s="145"/>
      <c r="AG229" s="172">
        <f>ROUND(VLOOKUP($G229,factors,+AG$375,FALSE)*$I229,0)</f>
        <v>-23</v>
      </c>
      <c r="AI229" s="1025">
        <f>SUM(K229:AG229)-I229</f>
        <v>1.163499999999658</v>
      </c>
    </row>
    <row r="230" spans="1:36" s="87" customFormat="1" ht="15.75">
      <c r="C230" s="1031">
        <v>390.1</v>
      </c>
      <c r="E230" s="252" t="s">
        <v>829</v>
      </c>
      <c r="F230" s="252"/>
      <c r="G230" s="376">
        <v>12</v>
      </c>
      <c r="H230" s="252"/>
      <c r="I230" s="451">
        <f>+-'Linkin (2)'!W155</f>
        <v>-58342.785599999996</v>
      </c>
      <c r="K230" s="1032">
        <f>ROUND(VLOOKUP($G230,factors,+K$375,FALSE)*$I230,0)</f>
        <v>-19253</v>
      </c>
      <c r="M230" s="1032">
        <f>ROUND(VLOOKUP($G230,factors,+M$375,FALSE)*$I230,0)</f>
        <v>-5834</v>
      </c>
      <c r="N230" s="172"/>
      <c r="O230" s="1032">
        <f>ROUND(VLOOKUP($G230,factors,+O$375,FALSE)*$I230,0)</f>
        <v>-1459</v>
      </c>
      <c r="P230" s="1030"/>
      <c r="Q230" s="1032">
        <f>ROUND(VLOOKUP($G230,factors,+Q$375,FALSE)*$I230,0)</f>
        <v>-1721</v>
      </c>
      <c r="R230" s="172"/>
      <c r="S230" s="237">
        <f>ROUND(VLOOKUP($G230,factors,+S$375,FALSE)*$I230,0)</f>
        <v>-2217</v>
      </c>
      <c r="T230" s="1033"/>
      <c r="U230" s="237">
        <f>ROUND(VLOOKUP($G230,factors,+U$375,FALSE)*$I230,0)</f>
        <v>-1009</v>
      </c>
      <c r="W230" s="1032">
        <f>ROUND(VLOOKUP($G230,factors,+W$375,FALSE)*$I230,0)</f>
        <v>-21604</v>
      </c>
      <c r="X230" s="172"/>
      <c r="Y230" s="1032">
        <f>ROUND(VLOOKUP($G230,factors,+Y$375,FALSE)*$I230,0)</f>
        <v>-3996</v>
      </c>
      <c r="Z230" s="145"/>
      <c r="AA230" s="237">
        <f>ROUND(VLOOKUP($G230,factors,+AA$375,FALSE)*$I230,0)</f>
        <v>-607</v>
      </c>
      <c r="AB230" s="1033"/>
      <c r="AC230" s="1032">
        <f>ROUND(VLOOKUP($G230,factors,+AC$375,FALSE)*$I230,0)</f>
        <v>-338</v>
      </c>
      <c r="AE230" s="1032">
        <f>ROUND(VLOOKUP($G230,factors,+AE$375,FALSE)*$I230,0)</f>
        <v>-99</v>
      </c>
      <c r="AG230" s="1032">
        <f>ROUND(VLOOKUP($G230,factors,+AG$375,FALSE)*$I230,0)</f>
        <v>-204</v>
      </c>
      <c r="AH230" s="27"/>
      <c r="AI230" s="403">
        <f>SUM(K230:AG230)-I230</f>
        <v>1.7855999999956111</v>
      </c>
      <c r="AJ230" s="27"/>
    </row>
    <row r="231" spans="1:36" s="87" customFormat="1">
      <c r="E231" s="252"/>
      <c r="F231" s="252"/>
      <c r="G231" s="376"/>
      <c r="H231" s="252"/>
      <c r="I231" s="254"/>
      <c r="K231" s="145"/>
      <c r="M231" s="145"/>
      <c r="O231" s="145"/>
      <c r="P231" s="145"/>
      <c r="Q231" s="145"/>
      <c r="S231" s="145"/>
      <c r="T231" s="145"/>
      <c r="U231" s="145"/>
      <c r="W231" s="145"/>
      <c r="Y231" s="145"/>
      <c r="Z231" s="145"/>
      <c r="AA231" s="145"/>
      <c r="AB231" s="145"/>
      <c r="AC231" s="145"/>
      <c r="AE231" s="145"/>
      <c r="AG231" s="145"/>
      <c r="AI231" s="1025"/>
    </row>
    <row r="232" spans="1:36" s="87" customFormat="1" ht="15.75">
      <c r="A232" s="145">
        <f>+'Linkin (2)'!Y111</f>
        <v>112511000</v>
      </c>
      <c r="B232" s="1029">
        <f>+I232-'Linkin (2)'!W159</f>
        <v>-7166000</v>
      </c>
      <c r="E232" s="443" t="s">
        <v>427</v>
      </c>
      <c r="F232" s="443"/>
      <c r="G232" s="444"/>
      <c r="H232" s="443"/>
      <c r="I232" s="445">
        <f>+I168+I171+I181+I201+I214+I220+I225+I228+I230+I229</f>
        <v>112511327.33580001</v>
      </c>
      <c r="J232" s="444"/>
      <c r="K232" s="445">
        <f t="shared" ref="K232:AG232" si="163">+K168+K171+K181+K201+K214+K220+K225+K228+K230+K229</f>
        <v>25673606</v>
      </c>
      <c r="L232" s="444"/>
      <c r="M232" s="445">
        <f t="shared" si="163"/>
        <v>13597674</v>
      </c>
      <c r="N232" s="444"/>
      <c r="O232" s="445">
        <f t="shared" si="163"/>
        <v>3730081</v>
      </c>
      <c r="P232" s="444"/>
      <c r="Q232" s="445">
        <f t="shared" si="163"/>
        <v>4296849</v>
      </c>
      <c r="R232" s="444"/>
      <c r="S232" s="445">
        <f t="shared" si="163"/>
        <v>3181254</v>
      </c>
      <c r="T232" s="444"/>
      <c r="U232" s="445">
        <f t="shared" si="163"/>
        <v>2143823</v>
      </c>
      <c r="V232" s="444"/>
      <c r="W232" s="445">
        <f t="shared" si="163"/>
        <v>47878791</v>
      </c>
      <c r="X232" s="444"/>
      <c r="Y232" s="445">
        <f t="shared" si="163"/>
        <v>9898607</v>
      </c>
      <c r="Z232" s="444"/>
      <c r="AA232" s="445">
        <f t="shared" si="163"/>
        <v>1051890</v>
      </c>
      <c r="AB232" s="444"/>
      <c r="AC232" s="445">
        <f t="shared" si="163"/>
        <v>587170</v>
      </c>
      <c r="AD232" s="444"/>
      <c r="AE232" s="445">
        <f t="shared" si="163"/>
        <v>119910</v>
      </c>
      <c r="AF232" s="444"/>
      <c r="AG232" s="445">
        <f t="shared" si="163"/>
        <v>351680</v>
      </c>
      <c r="AH232" s="27"/>
      <c r="AI232" s="1025">
        <f>SUM(K232:AG232)-I232</f>
        <v>7.6641999930143356</v>
      </c>
    </row>
    <row r="233" spans="1:36" s="87" customFormat="1" ht="15.75">
      <c r="A233" s="145">
        <f>+I232-A232</f>
        <v>327.33580000698566</v>
      </c>
      <c r="E233" s="443"/>
      <c r="F233" s="252"/>
      <c r="G233" s="376"/>
      <c r="H233" s="252"/>
      <c r="I233" s="254"/>
      <c r="J233" s="376"/>
      <c r="K233" s="172"/>
      <c r="L233" s="376"/>
      <c r="M233" s="172"/>
      <c r="N233" s="376"/>
      <c r="O233" s="172"/>
      <c r="P233" s="376"/>
      <c r="Q233" s="172"/>
      <c r="R233" s="376"/>
      <c r="S233" s="145"/>
      <c r="T233" s="376"/>
      <c r="U233" s="145"/>
      <c r="V233" s="376"/>
      <c r="W233" s="172"/>
      <c r="X233" s="376"/>
      <c r="Y233" s="172"/>
      <c r="Z233" s="376"/>
      <c r="AA233" s="145"/>
      <c r="AB233" s="376"/>
      <c r="AC233" s="172"/>
      <c r="AD233" s="376"/>
      <c r="AE233" s="172"/>
      <c r="AF233" s="376"/>
      <c r="AG233" s="172"/>
      <c r="AH233" s="172"/>
      <c r="AI233" s="1025"/>
    </row>
    <row r="234" spans="1:36" s="87" customFormat="1">
      <c r="E234" s="252"/>
      <c r="F234" s="252"/>
      <c r="G234" s="376"/>
      <c r="H234" s="252"/>
      <c r="I234" s="254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D234" s="145"/>
      <c r="AF234" s="145"/>
      <c r="AI234" s="1025">
        <f t="shared" ref="AI234:AI256" si="164">SUM(K234:AG234)-I234</f>
        <v>0</v>
      </c>
    </row>
    <row r="235" spans="1:36" s="87" customFormat="1" ht="15.75">
      <c r="B235" s="296"/>
      <c r="C235" s="27" t="s">
        <v>242</v>
      </c>
      <c r="E235" s="252"/>
      <c r="F235" s="252"/>
      <c r="G235" s="376"/>
      <c r="H235" s="252"/>
      <c r="I235" s="254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D235" s="145"/>
      <c r="AF235" s="145"/>
      <c r="AI235" s="1025">
        <f t="shared" si="164"/>
        <v>0</v>
      </c>
    </row>
    <row r="236" spans="1:36" s="87" customFormat="1">
      <c r="B236" s="296">
        <f>+Linkin!J221</f>
        <v>0</v>
      </c>
      <c r="C236" s="1035">
        <v>408.1</v>
      </c>
      <c r="E236" s="252" t="s">
        <v>294</v>
      </c>
      <c r="F236" s="252"/>
      <c r="G236" s="376">
        <v>15</v>
      </c>
      <c r="H236" s="252"/>
      <c r="I236" s="450">
        <f>+Linkin!H146</f>
        <v>0</v>
      </c>
      <c r="K236" s="172">
        <f t="shared" ref="K236:K241" si="165">ROUND(VLOOKUP($G236,factors,+K$375,FALSE)*$I236,0)</f>
        <v>0</v>
      </c>
      <c r="M236" s="172">
        <f t="shared" ref="M236:M241" si="166">ROUND(VLOOKUP($G236,factors,+M$375,FALSE)*$I236,0)</f>
        <v>0</v>
      </c>
      <c r="N236" s="172"/>
      <c r="O236" s="172">
        <f t="shared" ref="O236:O241" si="167">ROUND(VLOOKUP($G236,factors,+O$375,FALSE)*$I236,0)</f>
        <v>0</v>
      </c>
      <c r="P236" s="172"/>
      <c r="Q236" s="172">
        <f t="shared" ref="Q236:Q241" si="168">ROUND(VLOOKUP($G236,factors,+Q$375,FALSE)*$I236,0)</f>
        <v>0</v>
      </c>
      <c r="R236" s="172"/>
      <c r="S236" s="145">
        <f t="shared" ref="S236:S241" si="169">ROUND(VLOOKUP($G236,factors,+S$375,FALSE)*$I236,0)</f>
        <v>0</v>
      </c>
      <c r="T236" s="145"/>
      <c r="U236" s="145">
        <f t="shared" ref="U236:U241" si="170">ROUND(VLOOKUP($G236,factors,+U$375,FALSE)*$I236,0)</f>
        <v>0</v>
      </c>
      <c r="V236" s="145"/>
      <c r="W236" s="145">
        <f t="shared" ref="W236:W241" si="171">ROUND(VLOOKUP($G236,factors,+W$375,FALSE)*$I236,0)</f>
        <v>0</v>
      </c>
      <c r="X236" s="145"/>
      <c r="Y236" s="145">
        <f t="shared" ref="Y236:Y241" si="172">ROUND(VLOOKUP($G236,factors,+Y$375,FALSE)*$I236,0)</f>
        <v>0</v>
      </c>
      <c r="Z236" s="145"/>
      <c r="AA236" s="145">
        <f t="shared" ref="AA236:AA241" si="173">ROUND(VLOOKUP($G236,factors,+AA$375,FALSE)*$I236,0)</f>
        <v>0</v>
      </c>
      <c r="AB236" s="145"/>
      <c r="AC236" s="172">
        <f t="shared" ref="AC236:AC241" si="174">ROUND(VLOOKUP($G236,factors,+AC$375,FALSE)*$I236,0)</f>
        <v>0</v>
      </c>
      <c r="AD236" s="145"/>
      <c r="AE236" s="172">
        <f t="shared" ref="AE236:AE241" si="175">ROUND(VLOOKUP($G236,factors,+AE$375,FALSE)*$I236,0)</f>
        <v>0</v>
      </c>
      <c r="AF236" s="145"/>
      <c r="AG236" s="172">
        <f t="shared" ref="AG236:AG241" si="176">ROUND(VLOOKUP($G236,factors,+AG$375,FALSE)*$I236,0)</f>
        <v>0</v>
      </c>
      <c r="AI236" s="1025">
        <f t="shared" si="164"/>
        <v>0</v>
      </c>
    </row>
    <row r="237" spans="1:36" s="87" customFormat="1" ht="15.75">
      <c r="B237" s="296">
        <f>+Linkin!J223</f>
        <v>0</v>
      </c>
      <c r="C237" s="1035">
        <v>408.1</v>
      </c>
      <c r="E237" s="252" t="s">
        <v>381</v>
      </c>
      <c r="F237" s="252"/>
      <c r="G237" s="376">
        <v>16</v>
      </c>
      <c r="H237" s="252"/>
      <c r="I237" s="450">
        <f>+Linkin!H147</f>
        <v>957000</v>
      </c>
      <c r="K237" s="172">
        <f t="shared" si="165"/>
        <v>282124</v>
      </c>
      <c r="M237" s="172">
        <f t="shared" si="166"/>
        <v>126898</v>
      </c>
      <c r="N237" s="172"/>
      <c r="O237" s="172">
        <f t="shared" si="167"/>
        <v>32921</v>
      </c>
      <c r="P237" s="172"/>
      <c r="Q237" s="172">
        <f t="shared" si="168"/>
        <v>38089</v>
      </c>
      <c r="R237" s="172"/>
      <c r="S237" s="145">
        <f t="shared" si="169"/>
        <v>33782</v>
      </c>
      <c r="T237" s="145"/>
      <c r="U237" s="145">
        <f t="shared" si="170"/>
        <v>19906</v>
      </c>
      <c r="V237" s="145"/>
      <c r="W237" s="145">
        <f t="shared" si="171"/>
        <v>340692</v>
      </c>
      <c r="X237" s="145"/>
      <c r="Y237" s="145">
        <f t="shared" si="172"/>
        <v>65842</v>
      </c>
      <c r="Z237" s="145"/>
      <c r="AA237" s="145">
        <f t="shared" si="173"/>
        <v>8230</v>
      </c>
      <c r="AB237" s="145"/>
      <c r="AC237" s="172">
        <f t="shared" si="174"/>
        <v>4594</v>
      </c>
      <c r="AD237" s="145"/>
      <c r="AE237" s="172">
        <f t="shared" si="175"/>
        <v>1148</v>
      </c>
      <c r="AF237" s="145"/>
      <c r="AG237" s="172">
        <f t="shared" si="176"/>
        <v>2775</v>
      </c>
      <c r="AI237" s="1025">
        <f t="shared" si="164"/>
        <v>1</v>
      </c>
      <c r="AJ237" s="444"/>
    </row>
    <row r="238" spans="1:36" s="87" customFormat="1">
      <c r="B238" s="296">
        <f>+Linkin!J222</f>
        <v>0</v>
      </c>
      <c r="C238" s="1035">
        <v>408.1</v>
      </c>
      <c r="E238" s="252" t="s">
        <v>295</v>
      </c>
      <c r="F238" s="252"/>
      <c r="G238" s="376">
        <v>13</v>
      </c>
      <c r="H238" s="252"/>
      <c r="I238" s="450">
        <f>+Linkin!H148+Linkin!H149+Linkin!H150</f>
        <v>6327100</v>
      </c>
      <c r="K238" s="172">
        <f t="shared" si="165"/>
        <v>1292627</v>
      </c>
      <c r="M238" s="172">
        <f t="shared" si="166"/>
        <v>616892</v>
      </c>
      <c r="N238" s="172"/>
      <c r="O238" s="172">
        <f t="shared" si="167"/>
        <v>166403</v>
      </c>
      <c r="P238" s="172"/>
      <c r="Q238" s="172">
        <f t="shared" si="168"/>
        <v>188548</v>
      </c>
      <c r="R238" s="172"/>
      <c r="S238" s="145">
        <f t="shared" si="169"/>
        <v>275229</v>
      </c>
      <c r="T238" s="145"/>
      <c r="U238" s="145">
        <f t="shared" si="170"/>
        <v>119582</v>
      </c>
      <c r="V238" s="145"/>
      <c r="W238" s="145">
        <f t="shared" si="171"/>
        <v>2893383</v>
      </c>
      <c r="X238" s="145"/>
      <c r="Y238" s="145">
        <f t="shared" si="172"/>
        <v>609932</v>
      </c>
      <c r="Z238" s="145"/>
      <c r="AA238" s="145">
        <f t="shared" si="173"/>
        <v>81620</v>
      </c>
      <c r="AB238" s="145"/>
      <c r="AC238" s="172">
        <f t="shared" si="174"/>
        <v>46188</v>
      </c>
      <c r="AD238" s="145"/>
      <c r="AE238" s="172">
        <f t="shared" si="175"/>
        <v>9491</v>
      </c>
      <c r="AF238" s="145"/>
      <c r="AG238" s="172">
        <f t="shared" si="176"/>
        <v>27207</v>
      </c>
      <c r="AI238" s="1025">
        <f t="shared" si="164"/>
        <v>2</v>
      </c>
      <c r="AJ238" s="376"/>
    </row>
    <row r="239" spans="1:36" s="87" customFormat="1">
      <c r="B239" s="296"/>
      <c r="C239" s="1035">
        <v>408.1</v>
      </c>
      <c r="E239" s="252" t="s">
        <v>382</v>
      </c>
      <c r="F239" s="252"/>
      <c r="G239" s="376">
        <v>16</v>
      </c>
      <c r="H239" s="252"/>
      <c r="I239" s="450">
        <f>+Linkin!H151</f>
        <v>3540000</v>
      </c>
      <c r="K239" s="172">
        <f t="shared" si="165"/>
        <v>1043592</v>
      </c>
      <c r="M239" s="172">
        <f t="shared" si="166"/>
        <v>469404</v>
      </c>
      <c r="N239" s="172"/>
      <c r="O239" s="172">
        <f t="shared" si="167"/>
        <v>121776</v>
      </c>
      <c r="P239" s="172"/>
      <c r="Q239" s="172">
        <f t="shared" si="168"/>
        <v>140892</v>
      </c>
      <c r="R239" s="172"/>
      <c r="S239" s="145">
        <f t="shared" si="169"/>
        <v>124962</v>
      </c>
      <c r="T239" s="145"/>
      <c r="U239" s="145">
        <f t="shared" si="170"/>
        <v>73632</v>
      </c>
      <c r="V239" s="145"/>
      <c r="W239" s="145">
        <f t="shared" si="171"/>
        <v>1260240</v>
      </c>
      <c r="X239" s="145"/>
      <c r="Y239" s="145">
        <f t="shared" si="172"/>
        <v>243552</v>
      </c>
      <c r="Z239" s="145"/>
      <c r="AA239" s="145">
        <f t="shared" si="173"/>
        <v>30444</v>
      </c>
      <c r="AB239" s="145"/>
      <c r="AC239" s="172">
        <f t="shared" si="174"/>
        <v>16992</v>
      </c>
      <c r="AD239" s="145"/>
      <c r="AE239" s="172">
        <f t="shared" si="175"/>
        <v>4248</v>
      </c>
      <c r="AF239" s="145"/>
      <c r="AG239" s="172">
        <f t="shared" si="176"/>
        <v>10266</v>
      </c>
      <c r="AI239" s="1025">
        <f t="shared" si="164"/>
        <v>0</v>
      </c>
    </row>
    <row r="240" spans="1:36" s="259" customFormat="1">
      <c r="B240" s="1036">
        <f>+Linkin!J220</f>
        <v>0</v>
      </c>
      <c r="C240" s="1037">
        <v>408.1</v>
      </c>
      <c r="E240" s="88" t="s">
        <v>296</v>
      </c>
      <c r="F240" s="88"/>
      <c r="G240" s="400">
        <v>15</v>
      </c>
      <c r="H240" s="88"/>
      <c r="I240" s="450">
        <f>+Linkin!H145</f>
        <v>756000</v>
      </c>
      <c r="K240" s="1033">
        <f t="shared" si="165"/>
        <v>220525</v>
      </c>
      <c r="M240" s="1030">
        <f t="shared" si="166"/>
        <v>127915</v>
      </c>
      <c r="N240" s="1030"/>
      <c r="O240" s="1030">
        <f t="shared" si="167"/>
        <v>34625</v>
      </c>
      <c r="P240" s="1030"/>
      <c r="Q240" s="1030">
        <f t="shared" si="168"/>
        <v>39766</v>
      </c>
      <c r="R240" s="1030"/>
      <c r="S240" s="1030">
        <f t="shared" si="169"/>
        <v>26989</v>
      </c>
      <c r="T240" s="1030"/>
      <c r="U240" s="145">
        <f t="shared" si="170"/>
        <v>19429</v>
      </c>
      <c r="V240" s="1030"/>
      <c r="W240" s="1030">
        <f t="shared" si="171"/>
        <v>232772</v>
      </c>
      <c r="X240" s="1030"/>
      <c r="Y240" s="1030">
        <f t="shared" si="172"/>
        <v>44453</v>
      </c>
      <c r="Z240" s="1030"/>
      <c r="AA240" s="1030">
        <f t="shared" si="173"/>
        <v>4687</v>
      </c>
      <c r="AB240" s="1030"/>
      <c r="AC240" s="1030">
        <f t="shared" si="174"/>
        <v>2646</v>
      </c>
      <c r="AD240" s="1030"/>
      <c r="AE240" s="1030">
        <f t="shared" si="175"/>
        <v>529</v>
      </c>
      <c r="AF240" s="1030"/>
      <c r="AG240" s="1030">
        <f t="shared" si="176"/>
        <v>1663</v>
      </c>
      <c r="AH240" s="1030"/>
      <c r="AI240" s="1025">
        <f t="shared" si="164"/>
        <v>-1</v>
      </c>
    </row>
    <row r="241" spans="1:35" s="87" customFormat="1">
      <c r="B241" s="296"/>
      <c r="C241" s="1038">
        <v>408.1</v>
      </c>
      <c r="D241" s="88"/>
      <c r="E241" s="88" t="s">
        <v>410</v>
      </c>
      <c r="F241" s="252"/>
      <c r="G241" s="376">
        <v>16</v>
      </c>
      <c r="H241" s="252"/>
      <c r="I241" s="451">
        <v>0</v>
      </c>
      <c r="J241" s="252"/>
      <c r="K241" s="451">
        <f t="shared" si="165"/>
        <v>0</v>
      </c>
      <c r="L241" s="88"/>
      <c r="M241" s="1032">
        <f t="shared" si="166"/>
        <v>0</v>
      </c>
      <c r="N241" s="172"/>
      <c r="O241" s="1032">
        <f t="shared" si="167"/>
        <v>0</v>
      </c>
      <c r="P241" s="1030"/>
      <c r="Q241" s="1032">
        <f t="shared" si="168"/>
        <v>0</v>
      </c>
      <c r="R241" s="172"/>
      <c r="S241" s="237">
        <f t="shared" si="169"/>
        <v>0</v>
      </c>
      <c r="T241" s="1033"/>
      <c r="U241" s="237">
        <f t="shared" si="170"/>
        <v>0</v>
      </c>
      <c r="W241" s="1032">
        <f t="shared" si="171"/>
        <v>0</v>
      </c>
      <c r="X241" s="172"/>
      <c r="Y241" s="1032">
        <f t="shared" si="172"/>
        <v>0</v>
      </c>
      <c r="Z241" s="145"/>
      <c r="AA241" s="237">
        <f t="shared" si="173"/>
        <v>0</v>
      </c>
      <c r="AB241" s="1033"/>
      <c r="AC241" s="1032">
        <f t="shared" si="174"/>
        <v>0</v>
      </c>
      <c r="AE241" s="1032">
        <f t="shared" si="175"/>
        <v>0</v>
      </c>
      <c r="AG241" s="1032">
        <f t="shared" si="176"/>
        <v>0</v>
      </c>
      <c r="AH241" s="1030"/>
      <c r="AI241" s="1025">
        <f t="shared" si="164"/>
        <v>0</v>
      </c>
    </row>
    <row r="242" spans="1:35" s="87" customFormat="1" ht="15.75">
      <c r="B242" s="296"/>
      <c r="E242" s="443" t="s">
        <v>239</v>
      </c>
      <c r="F242" s="443"/>
      <c r="G242" s="444"/>
      <c r="H242" s="443"/>
      <c r="I242" s="445">
        <f>SUM(I236:I241)</f>
        <v>11580100</v>
      </c>
      <c r="J242" s="27"/>
      <c r="K242" s="39">
        <f t="shared" ref="K242" si="177">SUM(K236:K241)</f>
        <v>2838868</v>
      </c>
      <c r="L242" s="27"/>
      <c r="M242" s="39">
        <f t="shared" ref="M242" si="178">SUM(M236:M241)</f>
        <v>1341109</v>
      </c>
      <c r="N242" s="27"/>
      <c r="O242" s="39">
        <f t="shared" ref="O242" si="179">SUM(O236:O241)</f>
        <v>355725</v>
      </c>
      <c r="P242" s="27"/>
      <c r="Q242" s="39">
        <f t="shared" ref="Q242" si="180">SUM(Q236:Q241)</f>
        <v>407295</v>
      </c>
      <c r="R242" s="27"/>
      <c r="S242" s="39">
        <f t="shared" ref="S242:U242" si="181">SUM(S236:S241)</f>
        <v>460962</v>
      </c>
      <c r="T242" s="48"/>
      <c r="U242" s="39">
        <f t="shared" si="181"/>
        <v>232549</v>
      </c>
      <c r="V242" s="27"/>
      <c r="W242" s="39">
        <f t="shared" ref="W242" si="182">SUM(W236:W241)</f>
        <v>4727087</v>
      </c>
      <c r="X242" s="27"/>
      <c r="Y242" s="39">
        <f t="shared" ref="Y242" si="183">SUM(Y236:Y241)</f>
        <v>963779</v>
      </c>
      <c r="Z242" s="27"/>
      <c r="AA242" s="39">
        <f t="shared" ref="AA242" si="184">SUM(AA236:AA241)</f>
        <v>124981</v>
      </c>
      <c r="AB242" s="27"/>
      <c r="AC242" s="39">
        <f t="shared" ref="AC242:AG242" si="185">SUM(AC236:AC241)</f>
        <v>70420</v>
      </c>
      <c r="AD242" s="27"/>
      <c r="AE242" s="39">
        <f t="shared" si="185"/>
        <v>15416</v>
      </c>
      <c r="AF242" s="27"/>
      <c r="AG242" s="39">
        <f t="shared" si="185"/>
        <v>41911</v>
      </c>
      <c r="AH242" s="27"/>
      <c r="AI242" s="1025">
        <f t="shared" si="164"/>
        <v>2</v>
      </c>
    </row>
    <row r="243" spans="1:35" s="87" customFormat="1">
      <c r="B243" s="145">
        <f>'Linkin (2)'!W159+Linkin!H153+Linkin!H141</f>
        <v>699210391.33580005</v>
      </c>
      <c r="E243" s="252"/>
      <c r="F243" s="252"/>
      <c r="G243" s="376"/>
      <c r="H243" s="252"/>
      <c r="I243" s="254"/>
      <c r="K243" s="145"/>
      <c r="M243" s="145"/>
      <c r="O243" s="145"/>
      <c r="P243" s="145"/>
      <c r="Q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I243" s="1025">
        <f t="shared" si="164"/>
        <v>0</v>
      </c>
    </row>
    <row r="244" spans="1:35" s="87" customFormat="1" ht="15.75">
      <c r="B244" s="1039">
        <f>B243-I244</f>
        <v>294004442.17089731</v>
      </c>
      <c r="E244" s="443" t="s">
        <v>240</v>
      </c>
      <c r="F244" s="443"/>
      <c r="G244" s="453"/>
      <c r="H244" s="443"/>
      <c r="I244" s="445">
        <f>+I242+I232+I152</f>
        <v>405205949.16490275</v>
      </c>
      <c r="J244" s="27"/>
      <c r="K244" s="39">
        <f>+K242+K232+K152+K233</f>
        <v>120325555.49572052</v>
      </c>
      <c r="L244" s="27"/>
      <c r="M244" s="39">
        <f>+M242+M232+M152+M233</f>
        <v>44319839.664346769</v>
      </c>
      <c r="N244" s="27"/>
      <c r="O244" s="39">
        <f>+O242+O232+O152+O233</f>
        <v>10992033.971979631</v>
      </c>
      <c r="P244" s="27"/>
      <c r="Q244" s="39">
        <f>+Q242+Q232+Q152+Q233</f>
        <v>12827980.679013364</v>
      </c>
      <c r="R244" s="27"/>
      <c r="S244" s="39">
        <f>+S242+S232+S152+S233</f>
        <v>14213819</v>
      </c>
      <c r="T244" s="48"/>
      <c r="U244" s="39">
        <f>+U242+U232+U152+U233</f>
        <v>7179598</v>
      </c>
      <c r="V244" s="27"/>
      <c r="W244" s="39">
        <f>+W242+W232+W152+W233</f>
        <v>156571653.73952484</v>
      </c>
      <c r="X244" s="27"/>
      <c r="Y244" s="39">
        <f>+Y242+Y232+Y152+Y233</f>
        <v>30436144.042459249</v>
      </c>
      <c r="Z244" s="27"/>
      <c r="AA244" s="39">
        <f>+AA242+AA232+AA152+AA233</f>
        <v>4091026</v>
      </c>
      <c r="AB244" s="27"/>
      <c r="AC244" s="39">
        <f>+AC242+AC232+AC152+AC233</f>
        <v>2289305</v>
      </c>
      <c r="AD244" s="27"/>
      <c r="AE244" s="39">
        <f>+AE242+AE232+AE152+AE233</f>
        <v>589973</v>
      </c>
      <c r="AF244" s="27"/>
      <c r="AG244" s="39">
        <f>+AG242+AG232+AG152+AG233</f>
        <v>1369027</v>
      </c>
      <c r="AH244" s="27"/>
      <c r="AI244" s="1025">
        <f t="shared" si="164"/>
        <v>6.4281416535377502</v>
      </c>
    </row>
    <row r="245" spans="1:35" s="87" customFormat="1" ht="15.75">
      <c r="A245" s="1004" t="s">
        <v>545</v>
      </c>
      <c r="B245" s="1004" t="s">
        <v>546</v>
      </c>
      <c r="E245" s="252"/>
      <c r="F245" s="252"/>
      <c r="G245" s="376"/>
      <c r="H245" s="252"/>
      <c r="I245" s="254"/>
      <c r="AI245" s="1025">
        <f t="shared" si="164"/>
        <v>0</v>
      </c>
    </row>
    <row r="246" spans="1:35" s="87" customFormat="1" ht="15.75">
      <c r="A246" s="145">
        <f>-'[2]A-1'!$I$39</f>
        <v>28409.877879917654</v>
      </c>
      <c r="B246" s="145">
        <f>ROUND(-'[2]A-1'!$M$40,0)</f>
        <v>49616</v>
      </c>
      <c r="C246" s="27" t="s">
        <v>243</v>
      </c>
      <c r="E246" s="252"/>
      <c r="F246" s="252"/>
      <c r="G246" s="376">
        <v>15</v>
      </c>
      <c r="H246" s="252"/>
      <c r="I246" s="254">
        <f>IF(ROR!C2=2,+B246*1000,A246*1000)</f>
        <v>49616000</v>
      </c>
      <c r="K246" s="172">
        <f>ROUND(VLOOKUP($G246,factors,+K$375,FALSE)*$I246,0)</f>
        <v>14472987</v>
      </c>
      <c r="M246" s="172">
        <f>ROUND(VLOOKUP($G246,factors,+M$375,FALSE)*$I246,0)</f>
        <v>8395027</v>
      </c>
      <c r="N246" s="172"/>
      <c r="O246" s="172">
        <f>ROUND(VLOOKUP($G246,factors,+O$375,FALSE)*$I246,0)</f>
        <v>2272413</v>
      </c>
      <c r="P246" s="172"/>
      <c r="Q246" s="172">
        <f>ROUND(VLOOKUP($G246,factors,+Q$375,FALSE)*$I246,0)</f>
        <v>2609802</v>
      </c>
      <c r="R246" s="172"/>
      <c r="S246" s="172">
        <f>ROUND(VLOOKUP($G246,factors,+S$375,FALSE)*$I246,0)</f>
        <v>1771291</v>
      </c>
      <c r="T246" s="172"/>
      <c r="U246" s="172">
        <f>ROUND(VLOOKUP($G246,factors,+U$375,FALSE)*$I246,0)</f>
        <v>1275131</v>
      </c>
      <c r="V246" s="172"/>
      <c r="W246" s="172">
        <f>ROUND(VLOOKUP($G246,factors,+W$375,FALSE)*$I246,0)</f>
        <v>15276766</v>
      </c>
      <c r="X246" s="172"/>
      <c r="Y246" s="172">
        <f>ROUND(VLOOKUP($G246,factors,+Y$375,FALSE)*$I246,0)</f>
        <v>2917421</v>
      </c>
      <c r="Z246" s="172"/>
      <c r="AA246" s="172">
        <f>ROUND(VLOOKUP($G246,factors,+AA$375,FALSE)*$I246,0)</f>
        <v>307619</v>
      </c>
      <c r="AB246" s="172"/>
      <c r="AC246" s="172">
        <f>ROUND(VLOOKUP($G246,factors,+AC$375,FALSE)*$I246,0)</f>
        <v>173656</v>
      </c>
      <c r="AD246" s="172"/>
      <c r="AE246" s="172">
        <f>ROUND(VLOOKUP($G246,factors,+AE$375,FALSE)*$I246,0)</f>
        <v>34731</v>
      </c>
      <c r="AF246" s="172"/>
      <c r="AG246" s="172">
        <f>ROUND(VLOOKUP($G246,factors,+AG$375,FALSE)*$I246,0)</f>
        <v>109155</v>
      </c>
      <c r="AI246" s="1025">
        <f t="shared" si="164"/>
        <v>-1</v>
      </c>
    </row>
    <row r="247" spans="1:35" s="87" customFormat="1">
      <c r="A247" s="145"/>
      <c r="B247" s="145"/>
      <c r="E247" s="252"/>
      <c r="F247" s="252"/>
      <c r="G247" s="376"/>
      <c r="H247" s="252"/>
      <c r="I247" s="254"/>
      <c r="AI247" s="1025">
        <f t="shared" si="164"/>
        <v>0</v>
      </c>
    </row>
    <row r="248" spans="1:35" s="87" customFormat="1" ht="15.75">
      <c r="A248" s="145">
        <f>'[2]A-1'!$I$42</f>
        <v>155837.05973687567</v>
      </c>
      <c r="B248" s="145">
        <f>'[2]A-1'!$M$42</f>
        <v>208028.9969670297</v>
      </c>
      <c r="C248" s="27" t="s">
        <v>244</v>
      </c>
      <c r="E248" s="252"/>
      <c r="F248" s="252"/>
      <c r="G248" s="376">
        <v>15</v>
      </c>
      <c r="H248" s="252"/>
      <c r="I248" s="451">
        <f>IF(ROR!C2=2,+B248*1000,A248*1000)</f>
        <v>208028996.96702969</v>
      </c>
      <c r="K248" s="237">
        <f>ROUND(VLOOKUP($G248,factors,+K$375,FALSE)*$I248,0)</f>
        <v>60682058</v>
      </c>
      <c r="M248" s="237">
        <f>ROUND(VLOOKUP($G248,factors,+M$375,FALSE)*$I248,0)</f>
        <v>35198506</v>
      </c>
      <c r="O248" s="237">
        <f>ROUND(VLOOKUP($G248,factors,+O$375,FALSE)*$I248,0)</f>
        <v>9527728</v>
      </c>
      <c r="P248" s="1033"/>
      <c r="Q248" s="237">
        <f>ROUND(VLOOKUP($G248,factors,+Q$375,FALSE)*$I248,0)</f>
        <v>10942325</v>
      </c>
      <c r="S248" s="237">
        <f>ROUND(VLOOKUP($G248,factors,+S$375,FALSE)*$I248,0)</f>
        <v>7426635</v>
      </c>
      <c r="T248" s="1033"/>
      <c r="U248" s="237">
        <f>ROUND(VLOOKUP($G248,factors,+U$375,FALSE)*$I248,0)</f>
        <v>5346345</v>
      </c>
      <c r="W248" s="237">
        <f>ROUND(VLOOKUP($G248,factors,+W$375,FALSE)*$I248,0)</f>
        <v>64052128</v>
      </c>
      <c r="Y248" s="237">
        <f>ROUND(VLOOKUP($G248,factors,+Y$375,FALSE)*$I248,0)</f>
        <v>12232105</v>
      </c>
      <c r="AA248" s="237">
        <f>ROUND(VLOOKUP($G248,factors,+AA$375,FALSE)*$I248,0)</f>
        <v>1289780</v>
      </c>
      <c r="AB248" s="1033"/>
      <c r="AC248" s="237">
        <f>ROUND(VLOOKUP($G248,factors,+AC$375,FALSE)*$I248,0)</f>
        <v>728101</v>
      </c>
      <c r="AE248" s="237">
        <f>ROUND(VLOOKUP($G248,factors,+AE$375,FALSE)*$I248,0)</f>
        <v>145620</v>
      </c>
      <c r="AG248" s="237">
        <f>ROUND(VLOOKUP($G248,factors,+AG$375,FALSE)*$I248,0)</f>
        <v>457664</v>
      </c>
      <c r="AI248" s="1025">
        <f t="shared" si="164"/>
        <v>-1.9670296907424927</v>
      </c>
    </row>
    <row r="249" spans="1:35" s="87" customFormat="1">
      <c r="E249" s="252"/>
      <c r="F249" s="252"/>
      <c r="G249" s="376"/>
      <c r="H249" s="252"/>
      <c r="I249" s="450"/>
      <c r="AI249" s="1025">
        <f t="shared" si="164"/>
        <v>0</v>
      </c>
    </row>
    <row r="250" spans="1:35" s="87" customFormat="1">
      <c r="E250" s="252"/>
      <c r="F250" s="252"/>
      <c r="G250" s="376"/>
      <c r="H250" s="252"/>
      <c r="I250" s="254"/>
      <c r="AI250" s="1025">
        <f t="shared" si="164"/>
        <v>0</v>
      </c>
    </row>
    <row r="251" spans="1:35" s="87" customFormat="1" ht="15.75">
      <c r="B251" s="1029"/>
      <c r="C251" s="27" t="s">
        <v>245</v>
      </c>
      <c r="E251" s="443"/>
      <c r="F251" s="443"/>
      <c r="G251" s="444"/>
      <c r="H251" s="443"/>
      <c r="I251" s="445">
        <f>SUM(I244:I248)</f>
        <v>662850946.1319325</v>
      </c>
      <c r="J251" s="27"/>
      <c r="K251" s="39">
        <f>SUM(K244:K248)</f>
        <v>195480600.49572051</v>
      </c>
      <c r="L251" s="27"/>
      <c r="M251" s="39">
        <f>SUM(M244:M248)</f>
        <v>87913372.664346769</v>
      </c>
      <c r="N251" s="27"/>
      <c r="O251" s="39">
        <f>SUM(O244:O248)</f>
        <v>22792174.971979633</v>
      </c>
      <c r="P251" s="48"/>
      <c r="Q251" s="39">
        <f>SUM(Q244:Q248)</f>
        <v>26380107.679013364</v>
      </c>
      <c r="R251" s="27"/>
      <c r="S251" s="39">
        <f>SUM(S244:S248)</f>
        <v>23411745</v>
      </c>
      <c r="T251" s="48"/>
      <c r="U251" s="39">
        <f>SUM(U244:U248)</f>
        <v>13801074</v>
      </c>
      <c r="V251" s="27"/>
      <c r="W251" s="39">
        <f>SUM(W244:W248)</f>
        <v>235900547.73952484</v>
      </c>
      <c r="X251" s="27"/>
      <c r="Y251" s="39">
        <f>SUM(Y244:Y248)</f>
        <v>45585670.042459249</v>
      </c>
      <c r="Z251" s="27"/>
      <c r="AA251" s="39">
        <f>SUM(AA244:AA248)</f>
        <v>5688425</v>
      </c>
      <c r="AB251" s="48"/>
      <c r="AC251" s="39">
        <f>SUM(AC244:AC248)</f>
        <v>3191062</v>
      </c>
      <c r="AD251" s="27"/>
      <c r="AE251" s="39">
        <f t="shared" ref="AE251" si="186">SUM(AE244:AE248)</f>
        <v>770324</v>
      </c>
      <c r="AF251" s="27"/>
      <c r="AG251" s="39">
        <f t="shared" ref="AG251" si="187">SUM(AG244:AG248)</f>
        <v>1935846</v>
      </c>
      <c r="AH251" s="27"/>
      <c r="AI251" s="1025">
        <f t="shared" si="164"/>
        <v>3.4611117839813232</v>
      </c>
    </row>
    <row r="252" spans="1:35" s="87" customFormat="1">
      <c r="E252" s="252"/>
      <c r="F252" s="252"/>
      <c r="G252" s="376"/>
      <c r="H252" s="252"/>
      <c r="I252" s="254"/>
      <c r="AI252" s="1025">
        <f t="shared" si="164"/>
        <v>0</v>
      </c>
    </row>
    <row r="253" spans="1:35" s="87" customFormat="1" ht="15.75">
      <c r="A253" s="252"/>
      <c r="C253" s="27" t="s">
        <v>267</v>
      </c>
      <c r="E253" s="252"/>
      <c r="F253" s="252"/>
      <c r="G253" s="376"/>
      <c r="H253" s="252"/>
      <c r="I253" s="450"/>
      <c r="K253" s="1030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I253" s="1025">
        <f t="shared" si="164"/>
        <v>0</v>
      </c>
    </row>
    <row r="254" spans="1:35" s="87" customFormat="1">
      <c r="A254" s="252">
        <f>+[2]WPs!$AD$23</f>
        <v>0</v>
      </c>
      <c r="B254" s="87">
        <v>0</v>
      </c>
      <c r="E254" s="252" t="s">
        <v>423</v>
      </c>
      <c r="F254" s="252"/>
      <c r="G254" s="376" t="s">
        <v>395</v>
      </c>
      <c r="H254" s="88"/>
      <c r="I254" s="450">
        <f>B254</f>
        <v>0</v>
      </c>
      <c r="J254" s="259"/>
      <c r="K254" s="172">
        <f>ROUND(VLOOKUP($G254,factors,+K$375,FALSE)*$I254,0)</f>
        <v>0</v>
      </c>
      <c r="M254" s="172">
        <f>ROUND(VLOOKUP($G254,factors,+M$375,FALSE)*$I254,0)</f>
        <v>0</v>
      </c>
      <c r="N254" s="172"/>
      <c r="O254" s="172">
        <f>ROUND(VLOOKUP($G254,factors,+O$375,FALSE)*$I254,0)</f>
        <v>0</v>
      </c>
      <c r="P254" s="172"/>
      <c r="Q254" s="172">
        <f>ROUND(VLOOKUP($G254,factors,+Q$375,FALSE)*$I254,0)</f>
        <v>0</v>
      </c>
      <c r="R254" s="172"/>
      <c r="S254" s="145">
        <f>ROUND(VLOOKUP($G254,factors,+S$375,FALSE)*$I254,0)</f>
        <v>0</v>
      </c>
      <c r="T254" s="145"/>
      <c r="U254" s="145">
        <f>ROUND(VLOOKUP($G254,factors,+U$375,FALSE)*$I254,0)</f>
        <v>0</v>
      </c>
      <c r="V254" s="145"/>
      <c r="W254" s="145">
        <f>ROUND(VLOOKUP($G254,factors,+W$375,FALSE)*$I254,0)</f>
        <v>0</v>
      </c>
      <c r="X254" s="145"/>
      <c r="Y254" s="145">
        <f>ROUND(VLOOKUP($G254,factors,+Y$375,FALSE)*$I254,0)</f>
        <v>0</v>
      </c>
      <c r="Z254" s="145"/>
      <c r="AA254" s="145">
        <f>ROUND(VLOOKUP($G254,factors,+AA$375,FALSE)*$I254,0)</f>
        <v>0</v>
      </c>
      <c r="AB254" s="145"/>
      <c r="AC254" s="172">
        <f>ROUND(VLOOKUP($G254,factors,+AC$375,FALSE)*$I254,0)</f>
        <v>0</v>
      </c>
      <c r="AD254" s="145"/>
      <c r="AE254" s="172">
        <f>ROUND(VLOOKUP($G254,factors,+AE$375,FALSE)*$I254,0)</f>
        <v>0</v>
      </c>
      <c r="AF254" s="145"/>
      <c r="AG254" s="172">
        <f>ROUND(VLOOKUP($G254,factors,+AG$375,FALSE)*$I254,0)</f>
        <v>0</v>
      </c>
      <c r="AI254" s="1025">
        <f t="shared" si="164"/>
        <v>0</v>
      </c>
    </row>
    <row r="255" spans="1:35" s="87" customFormat="1">
      <c r="A255" s="252">
        <f>'[2]D-5'!$O$39</f>
        <v>308</v>
      </c>
      <c r="E255" s="252" t="s">
        <v>531</v>
      </c>
      <c r="F255" s="252"/>
      <c r="G255" s="376">
        <v>12</v>
      </c>
      <c r="H255" s="88"/>
      <c r="I255" s="450">
        <f>+A255*1000</f>
        <v>308000</v>
      </c>
      <c r="J255" s="259"/>
      <c r="K255" s="172">
        <f>ROUND(VLOOKUP($G255,factors,+K$375,FALSE)*$I255,0)</f>
        <v>101640</v>
      </c>
      <c r="M255" s="172">
        <f>ROUND(VLOOKUP($G255,factors,+M$375,FALSE)*$I255,0)</f>
        <v>30800</v>
      </c>
      <c r="N255" s="172"/>
      <c r="O255" s="172">
        <f>ROUND(VLOOKUP($G255,factors,+O$375,FALSE)*$I255,0)</f>
        <v>7700</v>
      </c>
      <c r="P255" s="172"/>
      <c r="Q255" s="172">
        <f>ROUND(VLOOKUP($G255,factors,+Q$375,FALSE)*$I255,0)</f>
        <v>9086</v>
      </c>
      <c r="R255" s="172"/>
      <c r="S255" s="145">
        <f>ROUND(VLOOKUP($G255,factors,+S$375,FALSE)*$I255,0)</f>
        <v>11704</v>
      </c>
      <c r="T255" s="145"/>
      <c r="U255" s="145">
        <f>ROUND(VLOOKUP($G255,factors,+U$375,FALSE)*$I255,0)</f>
        <v>5328</v>
      </c>
      <c r="V255" s="145"/>
      <c r="W255" s="145">
        <f>ROUND(VLOOKUP($G255,factors,+W$375,FALSE)*$I255,0)</f>
        <v>114052</v>
      </c>
      <c r="X255" s="145"/>
      <c r="Y255" s="145">
        <f>ROUND(VLOOKUP($G255,factors,+Y$375,FALSE)*$I255,0)</f>
        <v>21098</v>
      </c>
      <c r="Z255" s="145"/>
      <c r="AA255" s="145">
        <f>ROUND(VLOOKUP($G255,factors,+AA$375,FALSE)*$I255,0)</f>
        <v>3203</v>
      </c>
      <c r="AB255" s="145"/>
      <c r="AC255" s="172">
        <f>ROUND(VLOOKUP($G255,factors,+AC$375,FALSE)*$I255,0)</f>
        <v>1786</v>
      </c>
      <c r="AD255" s="145"/>
      <c r="AE255" s="172">
        <f>ROUND(VLOOKUP($G255,factors,+AE$375,FALSE)*$I255,0)</f>
        <v>524</v>
      </c>
      <c r="AF255" s="145"/>
      <c r="AG255" s="172">
        <f>ROUND(VLOOKUP($G255,factors,+AG$375,FALSE)*$I255,0)</f>
        <v>1078</v>
      </c>
      <c r="AI255" s="1025">
        <f t="shared" si="164"/>
        <v>-1</v>
      </c>
    </row>
    <row r="256" spans="1:35" s="87" customFormat="1">
      <c r="A256" s="252">
        <f>'[2]D-5'!$O$35</f>
        <v>5018</v>
      </c>
      <c r="E256" s="252" t="s">
        <v>530</v>
      </c>
      <c r="F256" s="252"/>
      <c r="G256" s="376">
        <v>20</v>
      </c>
      <c r="H256" s="88"/>
      <c r="I256" s="450">
        <f t="shared" ref="I256:I257" si="188">+A256*1000</f>
        <v>5018000</v>
      </c>
      <c r="J256" s="259"/>
      <c r="K256" s="172">
        <f>ROUND(VLOOKUP($G256,factors,+K$375,FALSE)*$I256,0)</f>
        <v>0</v>
      </c>
      <c r="M256" s="172">
        <f>ROUND(VLOOKUP($G256,factors,+M$375,FALSE)*$I256,0)</f>
        <v>0</v>
      </c>
      <c r="N256" s="172"/>
      <c r="O256" s="172">
        <f>ROUND(VLOOKUP($G256,factors,+O$375,FALSE)*$I256,0)</f>
        <v>0</v>
      </c>
      <c r="P256" s="172"/>
      <c r="Q256" s="172">
        <f>ROUND(VLOOKUP($G256,factors,+Q$375,FALSE)*$I256,0)</f>
        <v>0</v>
      </c>
      <c r="R256" s="172"/>
      <c r="S256" s="145">
        <f>ROUND(VLOOKUP($G256,factors,+S$375,FALSE)*$I256,0)</f>
        <v>0</v>
      </c>
      <c r="T256" s="145"/>
      <c r="U256" s="145">
        <f>ROUND(VLOOKUP($G256,factors,+U$375,FALSE)*$I256,0)</f>
        <v>0</v>
      </c>
      <c r="V256" s="145"/>
      <c r="W256" s="145">
        <f>ROUND(VLOOKUP($G256,factors,+W$375,FALSE)*$I256,0)</f>
        <v>3208755</v>
      </c>
      <c r="X256" s="145"/>
      <c r="Y256" s="145">
        <f>ROUND(VLOOKUP($G256,factors,+Y$375,FALSE)*$I256,0)</f>
        <v>1265966</v>
      </c>
      <c r="Z256" s="145"/>
      <c r="AA256" s="145">
        <f>ROUND(VLOOKUP($G256,factors,+AA$375,FALSE)*$I256,0)</f>
        <v>192430</v>
      </c>
      <c r="AB256" s="145"/>
      <c r="AC256" s="172">
        <f>ROUND(VLOOKUP($G256,factors,+AC$375,FALSE)*$I256,0)</f>
        <v>153852</v>
      </c>
      <c r="AD256" s="145"/>
      <c r="AE256" s="172">
        <f>ROUND(VLOOKUP($G256,factors,+AE$375,FALSE)*$I256,0)</f>
        <v>68024</v>
      </c>
      <c r="AF256" s="145"/>
      <c r="AG256" s="172">
        <f>ROUND(VLOOKUP($G256,factors,+AG$375,FALSE)*$I256,0)</f>
        <v>128973</v>
      </c>
      <c r="AI256" s="1025">
        <f t="shared" si="164"/>
        <v>0</v>
      </c>
    </row>
    <row r="257" spans="1:35" s="87" customFormat="1">
      <c r="A257" s="252">
        <f>'[2]D-5'!$O$37+'[2]D-5'!$O$41</f>
        <v>971</v>
      </c>
      <c r="E257" s="252" t="s">
        <v>424</v>
      </c>
      <c r="F257" s="252"/>
      <c r="G257" s="376">
        <v>16</v>
      </c>
      <c r="H257" s="88"/>
      <c r="I257" s="451">
        <f t="shared" si="188"/>
        <v>971000</v>
      </c>
      <c r="J257" s="259"/>
      <c r="K257" s="237">
        <f>ROUND(VLOOKUP($G257,factors,+K$375,FALSE)*$I257,0)</f>
        <v>286251</v>
      </c>
      <c r="L257" s="259"/>
      <c r="M257" s="237">
        <f>ROUND(VLOOKUP($G257,factors,+M$375,FALSE)*$I257,0)</f>
        <v>128755</v>
      </c>
      <c r="N257" s="259"/>
      <c r="O257" s="237">
        <f>ROUND(VLOOKUP($G257,factors,+O$375,FALSE)*$I257,0)</f>
        <v>33402</v>
      </c>
      <c r="P257" s="259"/>
      <c r="Q257" s="237">
        <f>ROUND(VLOOKUP($G257,factors,+Q$375,FALSE)*$I257,0)</f>
        <v>38646</v>
      </c>
      <c r="R257" s="259"/>
      <c r="S257" s="237">
        <f>ROUND(VLOOKUP($G257,factors,+S$375,FALSE)*$I257,0)</f>
        <v>34276</v>
      </c>
      <c r="T257" s="1033"/>
      <c r="U257" s="237">
        <f>ROUND(VLOOKUP($G257,factors,+U$375,FALSE)*$I257,0)</f>
        <v>20197</v>
      </c>
      <c r="V257" s="259"/>
      <c r="W257" s="237">
        <f>ROUND(VLOOKUP($G257,factors,+W$375,FALSE)*$I257,0)</f>
        <v>345676</v>
      </c>
      <c r="X257" s="259"/>
      <c r="Y257" s="237">
        <f>ROUND(VLOOKUP($G257,factors,+Y$375,FALSE)*$I257,0)</f>
        <v>66805</v>
      </c>
      <c r="Z257" s="259"/>
      <c r="AA257" s="237">
        <f>ROUND(VLOOKUP($G257,factors,+AA$375,FALSE)*$I257,0)</f>
        <v>8351</v>
      </c>
      <c r="AB257" s="259"/>
      <c r="AC257" s="237">
        <f>ROUND(VLOOKUP($G257,factors,+AC$375,FALSE)*$I257,0)</f>
        <v>4661</v>
      </c>
      <c r="AD257" s="259"/>
      <c r="AE257" s="237">
        <f>ROUND(VLOOKUP($G257,factors,+AE$375,FALSE)*$I257,0)</f>
        <v>1165</v>
      </c>
      <c r="AF257" s="259"/>
      <c r="AG257" s="237">
        <f>ROUND(VLOOKUP($G257,factors,+AG$375,FALSE)*$I257,0)</f>
        <v>2816</v>
      </c>
      <c r="AI257" s="1025">
        <f t="shared" ref="AI257:AI333" si="189">SUM(K257:AG257)-I257</f>
        <v>1</v>
      </c>
    </row>
    <row r="258" spans="1:35" s="87" customFormat="1">
      <c r="A258" s="252"/>
      <c r="E258" s="252" t="s">
        <v>14</v>
      </c>
      <c r="F258" s="252"/>
      <c r="G258" s="376"/>
      <c r="H258" s="252"/>
      <c r="I258" s="450">
        <f>SUM(I253:I257)</f>
        <v>6297000</v>
      </c>
      <c r="K258" s="1033">
        <f>SUM(K253:K257)</f>
        <v>387891</v>
      </c>
      <c r="M258" s="1033">
        <f>SUM(M253:M257)</f>
        <v>159555</v>
      </c>
      <c r="O258" s="1033">
        <f>SUM(O253:O257)</f>
        <v>41102</v>
      </c>
      <c r="Q258" s="1033">
        <f>SUM(Q253:Q257)</f>
        <v>47732</v>
      </c>
      <c r="S258" s="1033">
        <f>SUM(S253:S257)</f>
        <v>45980</v>
      </c>
      <c r="T258" s="1033"/>
      <c r="U258" s="1033">
        <f>SUM(U253:U257)</f>
        <v>25525</v>
      </c>
      <c r="W258" s="1033">
        <f>SUM(W253:W257)</f>
        <v>3668483</v>
      </c>
      <c r="Y258" s="1033">
        <f>SUM(Y253:Y257)</f>
        <v>1353869</v>
      </c>
      <c r="AA258" s="1033">
        <f>SUM(AA253:AA257)</f>
        <v>203984</v>
      </c>
      <c r="AC258" s="1033">
        <f>SUM(AC253:AC257)</f>
        <v>160299</v>
      </c>
      <c r="AE258" s="1033">
        <f>SUM(AE253:AE257)</f>
        <v>69713</v>
      </c>
      <c r="AG258" s="1033">
        <f>SUM(AG253:AG257)</f>
        <v>132867</v>
      </c>
      <c r="AI258" s="1025">
        <f t="shared" si="189"/>
        <v>0</v>
      </c>
    </row>
    <row r="259" spans="1:35" s="87" customFormat="1">
      <c r="A259" s="252"/>
      <c r="E259" s="252"/>
      <c r="F259" s="252"/>
      <c r="G259" s="376"/>
      <c r="H259" s="252"/>
      <c r="I259" s="254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I259" s="1025">
        <f t="shared" si="189"/>
        <v>0</v>
      </c>
    </row>
    <row r="260" spans="1:35" s="87" customFormat="1" ht="15.75">
      <c r="C260" s="27" t="s">
        <v>149</v>
      </c>
      <c r="E260" s="252"/>
      <c r="F260" s="252"/>
      <c r="G260" s="376"/>
      <c r="H260" s="252"/>
      <c r="I260" s="450"/>
      <c r="J260" s="1033"/>
      <c r="K260" s="1033"/>
      <c r="L260" s="1033"/>
      <c r="M260" s="1033"/>
      <c r="N260" s="1033"/>
      <c r="O260" s="1033"/>
      <c r="P260" s="1033"/>
      <c r="Q260" s="1033"/>
      <c r="R260" s="1033"/>
      <c r="S260" s="1033"/>
      <c r="T260" s="1033"/>
      <c r="U260" s="1033"/>
      <c r="V260" s="1033"/>
      <c r="W260" s="1033"/>
      <c r="X260" s="1033"/>
      <c r="Y260" s="1033"/>
      <c r="Z260" s="1033"/>
      <c r="AA260" s="1033"/>
      <c r="AB260" s="1033"/>
      <c r="AC260" s="1033"/>
      <c r="AD260" s="1033"/>
      <c r="AE260" s="1033"/>
      <c r="AF260" s="1033"/>
      <c r="AG260" s="1033"/>
      <c r="AI260" s="1025">
        <f t="shared" si="189"/>
        <v>0</v>
      </c>
    </row>
    <row r="261" spans="1:35" s="87" customFormat="1" ht="15.75">
      <c r="B261" s="145"/>
      <c r="C261" s="27" t="s">
        <v>150</v>
      </c>
      <c r="E261" s="443"/>
      <c r="F261" s="443"/>
      <c r="G261" s="444"/>
      <c r="H261" s="443"/>
      <c r="I261" s="1040">
        <f>+I251-I258</f>
        <v>656553946.1319325</v>
      </c>
      <c r="J261" s="43"/>
      <c r="K261" s="43">
        <f>+K251-K258</f>
        <v>195092709.49572051</v>
      </c>
      <c r="L261" s="43"/>
      <c r="M261" s="43">
        <f>+M251-M258</f>
        <v>87753817.664346769</v>
      </c>
      <c r="N261" s="43"/>
      <c r="O261" s="43">
        <f>+O251-O258</f>
        <v>22751072.971979633</v>
      </c>
      <c r="P261" s="43"/>
      <c r="Q261" s="43">
        <f>+Q251-Q258</f>
        <v>26332375.679013364</v>
      </c>
      <c r="R261" s="43"/>
      <c r="S261" s="43">
        <f>+S251-S258</f>
        <v>23365765</v>
      </c>
      <c r="T261" s="43"/>
      <c r="U261" s="43">
        <f>+U251-U258</f>
        <v>13775549</v>
      </c>
      <c r="V261" s="43"/>
      <c r="W261" s="43">
        <f>+W251-W258</f>
        <v>232232064.73952484</v>
      </c>
      <c r="X261" s="43"/>
      <c r="Y261" s="43">
        <f>+Y251-Y258</f>
        <v>44231801.042459249</v>
      </c>
      <c r="Z261" s="43"/>
      <c r="AA261" s="43">
        <f>+AA251-AA258</f>
        <v>5484441</v>
      </c>
      <c r="AB261" s="43"/>
      <c r="AC261" s="43">
        <f>+AC251-AC258</f>
        <v>3030763</v>
      </c>
      <c r="AD261" s="43"/>
      <c r="AE261" s="43">
        <f>+AE251-AE258</f>
        <v>700611</v>
      </c>
      <c r="AF261" s="43"/>
      <c r="AG261" s="43">
        <f>+AG251-AG258</f>
        <v>1802979</v>
      </c>
      <c r="AH261" s="27"/>
      <c r="AI261" s="1025">
        <f t="shared" si="189"/>
        <v>3.4611117839813232</v>
      </c>
    </row>
    <row r="262" spans="1:35">
      <c r="B262" s="151"/>
      <c r="E262" s="216"/>
      <c r="F262" s="216"/>
      <c r="G262" s="253"/>
      <c r="H262" s="216"/>
      <c r="I262" s="685"/>
      <c r="AI262" s="153">
        <f t="shared" si="189"/>
        <v>0</v>
      </c>
    </row>
    <row r="263" spans="1:35">
      <c r="E263" s="216"/>
      <c r="F263" s="216"/>
      <c r="G263" s="253"/>
      <c r="H263" s="216"/>
      <c r="I263" s="454"/>
      <c r="U263" s="294"/>
      <c r="AI263" s="153">
        <f t="shared" si="189"/>
        <v>0</v>
      </c>
    </row>
    <row r="264" spans="1:35" s="87" customFormat="1">
      <c r="E264" s="252"/>
      <c r="F264" s="252"/>
      <c r="G264" s="376"/>
      <c r="H264" s="252"/>
      <c r="I264" s="254"/>
      <c r="U264" s="296"/>
      <c r="AI264" s="1025">
        <f t="shared" si="189"/>
        <v>0</v>
      </c>
    </row>
    <row r="265" spans="1:35" s="87" customFormat="1" ht="15.75">
      <c r="C265" s="27" t="s">
        <v>299</v>
      </c>
      <c r="E265" s="252"/>
      <c r="F265" s="252"/>
      <c r="G265" s="376"/>
      <c r="H265" s="252"/>
      <c r="I265" s="254"/>
      <c r="U265" s="296"/>
      <c r="AI265" s="1025">
        <f t="shared" si="189"/>
        <v>0</v>
      </c>
    </row>
    <row r="266" spans="1:35" s="87" customFormat="1" ht="6.75" customHeight="1">
      <c r="C266" s="87" t="s">
        <v>213</v>
      </c>
      <c r="E266" s="252" t="s">
        <v>214</v>
      </c>
      <c r="F266" s="252"/>
      <c r="G266" s="376"/>
      <c r="H266" s="252"/>
      <c r="I266" s="254"/>
      <c r="U266" s="296"/>
      <c r="AI266" s="1025">
        <f t="shared" si="189"/>
        <v>0</v>
      </c>
    </row>
    <row r="267" spans="1:35" s="87" customFormat="1" ht="15" customHeight="1">
      <c r="C267" s="27" t="s">
        <v>636</v>
      </c>
      <c r="E267" s="252"/>
      <c r="F267" s="252"/>
      <c r="G267" s="376"/>
      <c r="H267" s="252"/>
      <c r="I267" s="254"/>
      <c r="U267" s="296"/>
      <c r="AI267" s="1025"/>
    </row>
    <row r="268" spans="1:35" s="87" customFormat="1" ht="15" customHeight="1">
      <c r="C268" s="1008">
        <v>305</v>
      </c>
      <c r="E268" s="87" t="s">
        <v>729</v>
      </c>
      <c r="F268" s="252"/>
      <c r="G268" s="376">
        <v>2</v>
      </c>
      <c r="H268" s="252"/>
      <c r="I268" s="254">
        <f>+'Linkin (2)'!O14</f>
        <v>14821</v>
      </c>
      <c r="K268" s="172">
        <f t="shared" ref="K268:K280" si="190">ROUND(VLOOKUP($G268,factors,+K$375,FALSE)*$I268,0)</f>
        <v>2232</v>
      </c>
      <c r="M268" s="172">
        <f t="shared" ref="M268:M280" si="191">ROUND(VLOOKUP($G268,factors,+M$375,FALSE)*$I268,0)</f>
        <v>1375</v>
      </c>
      <c r="N268" s="172"/>
      <c r="O268" s="172">
        <f t="shared" ref="O268:O280" si="192">ROUND(VLOOKUP($G268,factors,+O$375,FALSE)*$I268,0)</f>
        <v>459</v>
      </c>
      <c r="P268" s="172"/>
      <c r="Q268" s="172">
        <f t="shared" ref="Q268:Q280" si="193">ROUND(VLOOKUP($G268,factors,+Q$375,FALSE)*$I268,0)</f>
        <v>981</v>
      </c>
      <c r="R268" s="172"/>
      <c r="S268" s="172">
        <f t="shared" ref="S268:S280" si="194">ROUND(VLOOKUP($G268,factors,+S$375,FALSE)*$I268,0)</f>
        <v>7314</v>
      </c>
      <c r="T268" s="172"/>
      <c r="U268" s="296">
        <f t="shared" ref="U268:U280" si="195">ROUND(VLOOKUP($G268,factors,+U$375,FALSE)*$I268,0)</f>
        <v>2459</v>
      </c>
      <c r="V268" s="172"/>
      <c r="W268" s="172">
        <f t="shared" ref="W268:W280" si="196">ROUND(VLOOKUP($G268,factors,+W$375,FALSE)*$I268,0)</f>
        <v>0</v>
      </c>
      <c r="X268" s="172"/>
      <c r="Y268" s="172">
        <f t="shared" ref="Y268:Y280" si="197">ROUND(VLOOKUP($G268,factors,+Y$375,FALSE)*$I268,0)</f>
        <v>0</v>
      </c>
      <c r="Z268" s="172"/>
      <c r="AA268" s="172">
        <f t="shared" ref="AA268:AA280" si="198">ROUND(VLOOKUP($G268,factors,+AA$375,FALSE)*$I268,0)</f>
        <v>0</v>
      </c>
      <c r="AB268" s="172"/>
      <c r="AC268" s="172">
        <f t="shared" ref="AC268:AC280" si="199">ROUND(VLOOKUP($G268,factors,+AC$375,FALSE)*$I268,0)</f>
        <v>0</v>
      </c>
      <c r="AD268" s="172"/>
      <c r="AE268" s="172">
        <f t="shared" ref="AE268:AE280" si="200">ROUND(VLOOKUP($G268,factors,+AE$375,FALSE)*$I268,0)</f>
        <v>0</v>
      </c>
      <c r="AF268" s="172"/>
      <c r="AG268" s="172">
        <f t="shared" ref="AG268:AG280" si="201">ROUND(VLOOKUP($G268,factors,+AG$375,FALSE)*$I268,0)</f>
        <v>0</v>
      </c>
      <c r="AI268" s="1025">
        <f t="shared" si="189"/>
        <v>-1</v>
      </c>
    </row>
    <row r="269" spans="1:35" s="87" customFormat="1" ht="15" customHeight="1">
      <c r="C269" s="1008">
        <v>325.10000000000002</v>
      </c>
      <c r="E269" s="87" t="s">
        <v>752</v>
      </c>
      <c r="F269" s="252"/>
      <c r="G269" s="376">
        <v>2</v>
      </c>
      <c r="H269" s="252"/>
      <c r="I269" s="254">
        <f>+'Linkin (2)'!K113</f>
        <v>13029</v>
      </c>
      <c r="K269" s="172">
        <f t="shared" si="190"/>
        <v>1962</v>
      </c>
      <c r="M269" s="172">
        <f t="shared" si="191"/>
        <v>1209</v>
      </c>
      <c r="N269" s="172"/>
      <c r="O269" s="172">
        <f t="shared" si="192"/>
        <v>404</v>
      </c>
      <c r="P269" s="172"/>
      <c r="Q269" s="172">
        <f t="shared" si="193"/>
        <v>863</v>
      </c>
      <c r="R269" s="172"/>
      <c r="S269" s="172">
        <f t="shared" si="194"/>
        <v>6430</v>
      </c>
      <c r="T269" s="172"/>
      <c r="U269" s="296">
        <f t="shared" si="195"/>
        <v>2162</v>
      </c>
      <c r="V269" s="172"/>
      <c r="W269" s="172">
        <f t="shared" si="196"/>
        <v>0</v>
      </c>
      <c r="X269" s="172"/>
      <c r="Y269" s="172">
        <f t="shared" si="197"/>
        <v>0</v>
      </c>
      <c r="Z269" s="172"/>
      <c r="AA269" s="172">
        <f t="shared" si="198"/>
        <v>0</v>
      </c>
      <c r="AB269" s="172"/>
      <c r="AC269" s="172">
        <f t="shared" si="199"/>
        <v>0</v>
      </c>
      <c r="AD269" s="172"/>
      <c r="AE269" s="172">
        <f t="shared" si="200"/>
        <v>0</v>
      </c>
      <c r="AF269" s="172"/>
      <c r="AG269" s="172">
        <f t="shared" si="201"/>
        <v>0</v>
      </c>
      <c r="AI269" s="1025">
        <f t="shared" si="189"/>
        <v>1</v>
      </c>
    </row>
    <row r="270" spans="1:35" s="87" customFormat="1" ht="15" customHeight="1">
      <c r="C270" s="1008">
        <v>325.2</v>
      </c>
      <c r="E270" s="87" t="s">
        <v>738</v>
      </c>
      <c r="F270" s="252"/>
      <c r="G270" s="376">
        <v>2</v>
      </c>
      <c r="H270" s="252"/>
      <c r="I270" s="254">
        <f>+'Linkin (2)'!O15</f>
        <v>1030</v>
      </c>
      <c r="K270" s="172">
        <f t="shared" si="190"/>
        <v>155</v>
      </c>
      <c r="M270" s="172">
        <f t="shared" si="191"/>
        <v>96</v>
      </c>
      <c r="N270" s="172"/>
      <c r="O270" s="172">
        <f t="shared" si="192"/>
        <v>32</v>
      </c>
      <c r="P270" s="172"/>
      <c r="Q270" s="172">
        <f t="shared" si="193"/>
        <v>68</v>
      </c>
      <c r="R270" s="172"/>
      <c r="S270" s="172">
        <f t="shared" si="194"/>
        <v>508</v>
      </c>
      <c r="T270" s="172"/>
      <c r="U270" s="296">
        <f t="shared" si="195"/>
        <v>171</v>
      </c>
      <c r="V270" s="172"/>
      <c r="W270" s="172">
        <f t="shared" si="196"/>
        <v>0</v>
      </c>
      <c r="X270" s="172"/>
      <c r="Y270" s="172">
        <f t="shared" si="197"/>
        <v>0</v>
      </c>
      <c r="Z270" s="172"/>
      <c r="AA270" s="172">
        <f t="shared" si="198"/>
        <v>0</v>
      </c>
      <c r="AB270" s="172"/>
      <c r="AC270" s="172">
        <f t="shared" si="199"/>
        <v>0</v>
      </c>
      <c r="AD270" s="172"/>
      <c r="AE270" s="172">
        <f t="shared" si="200"/>
        <v>0</v>
      </c>
      <c r="AF270" s="172"/>
      <c r="AG270" s="172">
        <f t="shared" si="201"/>
        <v>0</v>
      </c>
      <c r="AI270" s="1025">
        <f t="shared" si="189"/>
        <v>0</v>
      </c>
    </row>
    <row r="271" spans="1:35" s="87" customFormat="1" ht="15" customHeight="1">
      <c r="C271" s="1008">
        <v>325.39999999999998</v>
      </c>
      <c r="E271" s="87" t="s">
        <v>730</v>
      </c>
      <c r="F271" s="252"/>
      <c r="G271" s="376">
        <v>2</v>
      </c>
      <c r="H271" s="252"/>
      <c r="I271" s="254">
        <f>+'Linkin (2)'!O16</f>
        <v>596</v>
      </c>
      <c r="K271" s="172">
        <f t="shared" si="190"/>
        <v>90</v>
      </c>
      <c r="M271" s="172">
        <f t="shared" si="191"/>
        <v>55</v>
      </c>
      <c r="N271" s="172"/>
      <c r="O271" s="172">
        <f t="shared" si="192"/>
        <v>18</v>
      </c>
      <c r="P271" s="172"/>
      <c r="Q271" s="172">
        <f t="shared" si="193"/>
        <v>39</v>
      </c>
      <c r="R271" s="172"/>
      <c r="S271" s="172">
        <f t="shared" si="194"/>
        <v>294</v>
      </c>
      <c r="T271" s="172"/>
      <c r="U271" s="296">
        <f t="shared" si="195"/>
        <v>99</v>
      </c>
      <c r="V271" s="172"/>
      <c r="W271" s="172">
        <f t="shared" si="196"/>
        <v>0</v>
      </c>
      <c r="X271" s="172"/>
      <c r="Y271" s="172">
        <f t="shared" si="197"/>
        <v>0</v>
      </c>
      <c r="Z271" s="172"/>
      <c r="AA271" s="172">
        <f t="shared" si="198"/>
        <v>0</v>
      </c>
      <c r="AB271" s="172"/>
      <c r="AC271" s="172">
        <f t="shared" si="199"/>
        <v>0</v>
      </c>
      <c r="AD271" s="172"/>
      <c r="AE271" s="172">
        <f t="shared" si="200"/>
        <v>0</v>
      </c>
      <c r="AF271" s="172"/>
      <c r="AG271" s="172">
        <f t="shared" si="201"/>
        <v>0</v>
      </c>
      <c r="AI271" s="1025">
        <f t="shared" si="189"/>
        <v>-1</v>
      </c>
    </row>
    <row r="272" spans="1:35" s="87" customFormat="1" ht="15" customHeight="1">
      <c r="C272" s="1008">
        <v>325.5</v>
      </c>
      <c r="E272" s="87" t="s">
        <v>753</v>
      </c>
      <c r="F272" s="252"/>
      <c r="G272" s="376">
        <v>2</v>
      </c>
      <c r="H272" s="252"/>
      <c r="I272" s="254">
        <f>+'Linkin (2)'!K114</f>
        <v>1134</v>
      </c>
      <c r="K272" s="172">
        <f t="shared" si="190"/>
        <v>171</v>
      </c>
      <c r="M272" s="172">
        <f t="shared" si="191"/>
        <v>105</v>
      </c>
      <c r="N272" s="172"/>
      <c r="O272" s="172">
        <f t="shared" si="192"/>
        <v>35</v>
      </c>
      <c r="P272" s="172"/>
      <c r="Q272" s="172">
        <f t="shared" si="193"/>
        <v>75</v>
      </c>
      <c r="R272" s="172"/>
      <c r="S272" s="172">
        <f t="shared" si="194"/>
        <v>560</v>
      </c>
      <c r="T272" s="172"/>
      <c r="U272" s="296">
        <f t="shared" si="195"/>
        <v>188</v>
      </c>
      <c r="V272" s="172"/>
      <c r="W272" s="172">
        <f t="shared" si="196"/>
        <v>0</v>
      </c>
      <c r="X272" s="172"/>
      <c r="Y272" s="172">
        <f t="shared" si="197"/>
        <v>0</v>
      </c>
      <c r="Z272" s="172"/>
      <c r="AA272" s="172">
        <f t="shared" si="198"/>
        <v>0</v>
      </c>
      <c r="AB272" s="172"/>
      <c r="AC272" s="172">
        <f t="shared" si="199"/>
        <v>0</v>
      </c>
      <c r="AD272" s="172"/>
      <c r="AE272" s="172">
        <f t="shared" si="200"/>
        <v>0</v>
      </c>
      <c r="AF272" s="172"/>
      <c r="AG272" s="172">
        <f t="shared" si="201"/>
        <v>0</v>
      </c>
      <c r="AI272" s="1025">
        <f t="shared" si="189"/>
        <v>0</v>
      </c>
    </row>
    <row r="273" spans="2:35" s="87" customFormat="1" ht="15" customHeight="1">
      <c r="C273" s="1008">
        <v>328</v>
      </c>
      <c r="E273" s="87" t="s">
        <v>731</v>
      </c>
      <c r="F273" s="252"/>
      <c r="G273" s="376">
        <v>2</v>
      </c>
      <c r="H273" s="252"/>
      <c r="I273" s="254">
        <f>+'Linkin (2)'!O17</f>
        <v>0</v>
      </c>
      <c r="K273" s="172">
        <f t="shared" si="190"/>
        <v>0</v>
      </c>
      <c r="M273" s="172">
        <f t="shared" si="191"/>
        <v>0</v>
      </c>
      <c r="N273" s="172"/>
      <c r="O273" s="172">
        <f t="shared" si="192"/>
        <v>0</v>
      </c>
      <c r="P273" s="172"/>
      <c r="Q273" s="172">
        <f t="shared" si="193"/>
        <v>0</v>
      </c>
      <c r="R273" s="172"/>
      <c r="S273" s="172">
        <f t="shared" si="194"/>
        <v>0</v>
      </c>
      <c r="T273" s="172"/>
      <c r="U273" s="296">
        <f t="shared" si="195"/>
        <v>0</v>
      </c>
      <c r="V273" s="172"/>
      <c r="W273" s="172">
        <f t="shared" si="196"/>
        <v>0</v>
      </c>
      <c r="X273" s="172"/>
      <c r="Y273" s="172">
        <f t="shared" si="197"/>
        <v>0</v>
      </c>
      <c r="Z273" s="172"/>
      <c r="AA273" s="172">
        <f t="shared" si="198"/>
        <v>0</v>
      </c>
      <c r="AB273" s="172"/>
      <c r="AC273" s="172">
        <f t="shared" si="199"/>
        <v>0</v>
      </c>
      <c r="AD273" s="172"/>
      <c r="AE273" s="172">
        <f t="shared" si="200"/>
        <v>0</v>
      </c>
      <c r="AF273" s="172"/>
      <c r="AG273" s="172">
        <f t="shared" si="201"/>
        <v>0</v>
      </c>
      <c r="AI273" s="1025">
        <f t="shared" si="189"/>
        <v>0</v>
      </c>
    </row>
    <row r="274" spans="2:35" s="87" customFormat="1" ht="15" customHeight="1">
      <c r="C274" s="1008">
        <v>329</v>
      </c>
      <c r="E274" s="87" t="s">
        <v>732</v>
      </c>
      <c r="F274" s="252"/>
      <c r="G274" s="376">
        <v>2</v>
      </c>
      <c r="H274" s="252"/>
      <c r="I274" s="254">
        <f>+'Linkin (2)'!O18</f>
        <v>2</v>
      </c>
      <c r="K274" s="172">
        <f t="shared" si="190"/>
        <v>0</v>
      </c>
      <c r="M274" s="172">
        <f t="shared" si="191"/>
        <v>0</v>
      </c>
      <c r="N274" s="172"/>
      <c r="O274" s="172">
        <f t="shared" si="192"/>
        <v>0</v>
      </c>
      <c r="P274" s="172"/>
      <c r="Q274" s="172">
        <f t="shared" si="193"/>
        <v>0</v>
      </c>
      <c r="R274" s="172"/>
      <c r="S274" s="172">
        <f t="shared" si="194"/>
        <v>1</v>
      </c>
      <c r="T274" s="172"/>
      <c r="U274" s="296">
        <f t="shared" si="195"/>
        <v>0</v>
      </c>
      <c r="V274" s="172"/>
      <c r="W274" s="172">
        <f t="shared" si="196"/>
        <v>0</v>
      </c>
      <c r="X274" s="172"/>
      <c r="Y274" s="172">
        <f t="shared" si="197"/>
        <v>0</v>
      </c>
      <c r="Z274" s="172"/>
      <c r="AA274" s="172">
        <f t="shared" si="198"/>
        <v>0</v>
      </c>
      <c r="AB274" s="172"/>
      <c r="AC274" s="172">
        <f t="shared" si="199"/>
        <v>0</v>
      </c>
      <c r="AD274" s="172"/>
      <c r="AE274" s="172">
        <f t="shared" si="200"/>
        <v>0</v>
      </c>
      <c r="AF274" s="172"/>
      <c r="AG274" s="172">
        <f t="shared" si="201"/>
        <v>0</v>
      </c>
      <c r="AI274" s="1025">
        <f t="shared" si="189"/>
        <v>-1</v>
      </c>
    </row>
    <row r="275" spans="2:35" s="87" customFormat="1" ht="15" customHeight="1">
      <c r="C275" s="1008">
        <v>330</v>
      </c>
      <c r="E275" s="87" t="s">
        <v>733</v>
      </c>
      <c r="F275" s="252"/>
      <c r="G275" s="376">
        <v>2</v>
      </c>
      <c r="H275" s="252"/>
      <c r="I275" s="254">
        <f>+'Linkin (2)'!O19</f>
        <v>-1</v>
      </c>
      <c r="K275" s="172">
        <f t="shared" si="190"/>
        <v>0</v>
      </c>
      <c r="M275" s="172">
        <f t="shared" si="191"/>
        <v>0</v>
      </c>
      <c r="N275" s="172"/>
      <c r="O275" s="172">
        <f t="shared" si="192"/>
        <v>0</v>
      </c>
      <c r="P275" s="172"/>
      <c r="Q275" s="172">
        <f t="shared" si="193"/>
        <v>0</v>
      </c>
      <c r="R275" s="172"/>
      <c r="S275" s="172">
        <f t="shared" si="194"/>
        <v>0</v>
      </c>
      <c r="T275" s="172"/>
      <c r="U275" s="296">
        <f t="shared" si="195"/>
        <v>0</v>
      </c>
      <c r="V275" s="172"/>
      <c r="W275" s="172">
        <f t="shared" si="196"/>
        <v>0</v>
      </c>
      <c r="X275" s="172"/>
      <c r="Y275" s="172">
        <f t="shared" si="197"/>
        <v>0</v>
      </c>
      <c r="Z275" s="172"/>
      <c r="AA275" s="172">
        <f t="shared" si="198"/>
        <v>0</v>
      </c>
      <c r="AB275" s="172"/>
      <c r="AC275" s="172">
        <f t="shared" si="199"/>
        <v>0</v>
      </c>
      <c r="AD275" s="172"/>
      <c r="AE275" s="172">
        <f t="shared" si="200"/>
        <v>0</v>
      </c>
      <c r="AF275" s="172"/>
      <c r="AG275" s="172">
        <f t="shared" si="201"/>
        <v>0</v>
      </c>
      <c r="AI275" s="1025">
        <f t="shared" si="189"/>
        <v>1</v>
      </c>
    </row>
    <row r="276" spans="2:35" s="87" customFormat="1" ht="15" customHeight="1">
      <c r="C276" s="1008">
        <v>331</v>
      </c>
      <c r="E276" s="87" t="s">
        <v>734</v>
      </c>
      <c r="F276" s="252"/>
      <c r="G276" s="376">
        <v>2</v>
      </c>
      <c r="H276" s="252"/>
      <c r="I276" s="254">
        <f>+'Linkin (2)'!O20</f>
        <v>0</v>
      </c>
      <c r="K276" s="172">
        <f t="shared" si="190"/>
        <v>0</v>
      </c>
      <c r="M276" s="172">
        <f t="shared" si="191"/>
        <v>0</v>
      </c>
      <c r="N276" s="172"/>
      <c r="O276" s="172">
        <f t="shared" si="192"/>
        <v>0</v>
      </c>
      <c r="P276" s="172"/>
      <c r="Q276" s="172">
        <f t="shared" si="193"/>
        <v>0</v>
      </c>
      <c r="R276" s="172"/>
      <c r="S276" s="172">
        <f t="shared" si="194"/>
        <v>0</v>
      </c>
      <c r="T276" s="172"/>
      <c r="U276" s="296">
        <f t="shared" si="195"/>
        <v>0</v>
      </c>
      <c r="V276" s="172"/>
      <c r="W276" s="172">
        <f t="shared" si="196"/>
        <v>0</v>
      </c>
      <c r="X276" s="172"/>
      <c r="Y276" s="172">
        <f t="shared" si="197"/>
        <v>0</v>
      </c>
      <c r="Z276" s="172"/>
      <c r="AA276" s="172">
        <f t="shared" si="198"/>
        <v>0</v>
      </c>
      <c r="AB276" s="172"/>
      <c r="AC276" s="172">
        <f t="shared" si="199"/>
        <v>0</v>
      </c>
      <c r="AD276" s="172"/>
      <c r="AE276" s="172">
        <f t="shared" si="200"/>
        <v>0</v>
      </c>
      <c r="AF276" s="172"/>
      <c r="AG276" s="172">
        <f t="shared" si="201"/>
        <v>0</v>
      </c>
      <c r="AI276" s="1025">
        <f t="shared" si="189"/>
        <v>0</v>
      </c>
    </row>
    <row r="277" spans="2:35" s="87" customFormat="1" ht="15" customHeight="1">
      <c r="C277" s="1008">
        <v>332</v>
      </c>
      <c r="E277" s="87" t="s">
        <v>735</v>
      </c>
      <c r="F277" s="252"/>
      <c r="G277" s="376">
        <v>2</v>
      </c>
      <c r="H277" s="252"/>
      <c r="I277" s="254">
        <f>+'Linkin (2)'!O21</f>
        <v>25886</v>
      </c>
      <c r="K277" s="172">
        <f t="shared" si="190"/>
        <v>3898</v>
      </c>
      <c r="M277" s="172">
        <f t="shared" si="191"/>
        <v>2402</v>
      </c>
      <c r="N277" s="172"/>
      <c r="O277" s="172">
        <f t="shared" si="192"/>
        <v>802</v>
      </c>
      <c r="P277" s="172"/>
      <c r="Q277" s="172">
        <f t="shared" si="193"/>
        <v>1714</v>
      </c>
      <c r="R277" s="172"/>
      <c r="S277" s="172">
        <f t="shared" si="194"/>
        <v>12775</v>
      </c>
      <c r="T277" s="172"/>
      <c r="U277" s="296">
        <f t="shared" si="195"/>
        <v>4294</v>
      </c>
      <c r="V277" s="172"/>
      <c r="W277" s="172">
        <f t="shared" si="196"/>
        <v>0</v>
      </c>
      <c r="X277" s="172"/>
      <c r="Y277" s="172">
        <f t="shared" si="197"/>
        <v>0</v>
      </c>
      <c r="Z277" s="172"/>
      <c r="AA277" s="172">
        <f t="shared" si="198"/>
        <v>0</v>
      </c>
      <c r="AB277" s="172"/>
      <c r="AC277" s="172">
        <f t="shared" si="199"/>
        <v>0</v>
      </c>
      <c r="AD277" s="172"/>
      <c r="AE277" s="172">
        <f t="shared" si="200"/>
        <v>0</v>
      </c>
      <c r="AF277" s="172"/>
      <c r="AG277" s="172">
        <f t="shared" si="201"/>
        <v>0</v>
      </c>
      <c r="AI277" s="1025">
        <f t="shared" si="189"/>
        <v>-1</v>
      </c>
    </row>
    <row r="278" spans="2:35" s="87" customFormat="1" ht="15" customHeight="1">
      <c r="C278" s="1008">
        <v>334</v>
      </c>
      <c r="E278" s="87" t="s">
        <v>731</v>
      </c>
      <c r="F278" s="252"/>
      <c r="G278" s="376">
        <v>2</v>
      </c>
      <c r="H278" s="252"/>
      <c r="I278" s="254">
        <f>+'Linkin (2)'!O22</f>
        <v>9890</v>
      </c>
      <c r="K278" s="172">
        <f t="shared" si="190"/>
        <v>1489</v>
      </c>
      <c r="M278" s="172">
        <f t="shared" si="191"/>
        <v>918</v>
      </c>
      <c r="N278" s="172"/>
      <c r="O278" s="172">
        <f t="shared" si="192"/>
        <v>307</v>
      </c>
      <c r="P278" s="172"/>
      <c r="Q278" s="172">
        <f t="shared" si="193"/>
        <v>655</v>
      </c>
      <c r="R278" s="172"/>
      <c r="S278" s="172">
        <f t="shared" si="194"/>
        <v>4881</v>
      </c>
      <c r="T278" s="172"/>
      <c r="U278" s="296">
        <f t="shared" si="195"/>
        <v>1641</v>
      </c>
      <c r="V278" s="172"/>
      <c r="W278" s="172">
        <f t="shared" si="196"/>
        <v>0</v>
      </c>
      <c r="X278" s="172"/>
      <c r="Y278" s="172">
        <f t="shared" si="197"/>
        <v>0</v>
      </c>
      <c r="Z278" s="172"/>
      <c r="AA278" s="172">
        <f t="shared" si="198"/>
        <v>0</v>
      </c>
      <c r="AB278" s="172"/>
      <c r="AC278" s="172">
        <f t="shared" si="199"/>
        <v>0</v>
      </c>
      <c r="AD278" s="172"/>
      <c r="AE278" s="172">
        <f t="shared" si="200"/>
        <v>0</v>
      </c>
      <c r="AF278" s="172"/>
      <c r="AG278" s="172">
        <f t="shared" si="201"/>
        <v>0</v>
      </c>
      <c r="AI278" s="1025">
        <f t="shared" si="189"/>
        <v>1</v>
      </c>
    </row>
    <row r="279" spans="2:35" s="87" customFormat="1" ht="15" customHeight="1">
      <c r="C279" s="1008">
        <v>335</v>
      </c>
      <c r="E279" s="87" t="s">
        <v>736</v>
      </c>
      <c r="F279" s="252"/>
      <c r="G279" s="376">
        <v>2</v>
      </c>
      <c r="H279" s="252"/>
      <c r="I279" s="254">
        <f>+'Linkin (2)'!O23</f>
        <v>143</v>
      </c>
      <c r="K279" s="172">
        <f t="shared" si="190"/>
        <v>22</v>
      </c>
      <c r="M279" s="172">
        <f t="shared" si="191"/>
        <v>13</v>
      </c>
      <c r="N279" s="172"/>
      <c r="O279" s="172">
        <f t="shared" si="192"/>
        <v>4</v>
      </c>
      <c r="P279" s="172"/>
      <c r="Q279" s="172">
        <f t="shared" si="193"/>
        <v>9</v>
      </c>
      <c r="R279" s="172"/>
      <c r="S279" s="172">
        <f t="shared" si="194"/>
        <v>71</v>
      </c>
      <c r="T279" s="172"/>
      <c r="U279" s="296">
        <f t="shared" si="195"/>
        <v>24</v>
      </c>
      <c r="V279" s="172"/>
      <c r="W279" s="172">
        <f t="shared" si="196"/>
        <v>0</v>
      </c>
      <c r="X279" s="172"/>
      <c r="Y279" s="172">
        <f t="shared" si="197"/>
        <v>0</v>
      </c>
      <c r="Z279" s="172"/>
      <c r="AA279" s="172">
        <f t="shared" si="198"/>
        <v>0</v>
      </c>
      <c r="AB279" s="172"/>
      <c r="AC279" s="172">
        <f t="shared" si="199"/>
        <v>0</v>
      </c>
      <c r="AD279" s="172"/>
      <c r="AE279" s="172">
        <f t="shared" si="200"/>
        <v>0</v>
      </c>
      <c r="AF279" s="172"/>
      <c r="AG279" s="172">
        <f t="shared" si="201"/>
        <v>0</v>
      </c>
      <c r="AI279" s="1025">
        <f t="shared" si="189"/>
        <v>0</v>
      </c>
    </row>
    <row r="280" spans="2:35" s="87" customFormat="1" ht="15" customHeight="1">
      <c r="C280" s="1008">
        <v>337</v>
      </c>
      <c r="E280" s="87" t="s">
        <v>166</v>
      </c>
      <c r="F280" s="252"/>
      <c r="G280" s="376">
        <v>2</v>
      </c>
      <c r="H280" s="252"/>
      <c r="I280" s="254">
        <f>+'Linkin (2)'!O24</f>
        <v>0</v>
      </c>
      <c r="K280" s="172">
        <f t="shared" si="190"/>
        <v>0</v>
      </c>
      <c r="M280" s="172">
        <f t="shared" si="191"/>
        <v>0</v>
      </c>
      <c r="N280" s="172"/>
      <c r="O280" s="172">
        <f t="shared" si="192"/>
        <v>0</v>
      </c>
      <c r="P280" s="172"/>
      <c r="Q280" s="172">
        <f t="shared" si="193"/>
        <v>0</v>
      </c>
      <c r="R280" s="172"/>
      <c r="S280" s="172">
        <f t="shared" si="194"/>
        <v>0</v>
      </c>
      <c r="T280" s="172"/>
      <c r="U280" s="296">
        <f t="shared" si="195"/>
        <v>0</v>
      </c>
      <c r="V280" s="172"/>
      <c r="W280" s="172">
        <f t="shared" si="196"/>
        <v>0</v>
      </c>
      <c r="X280" s="172"/>
      <c r="Y280" s="172">
        <f t="shared" si="197"/>
        <v>0</v>
      </c>
      <c r="Z280" s="172"/>
      <c r="AA280" s="172">
        <f t="shared" si="198"/>
        <v>0</v>
      </c>
      <c r="AB280" s="172"/>
      <c r="AC280" s="172">
        <f t="shared" si="199"/>
        <v>0</v>
      </c>
      <c r="AD280" s="172"/>
      <c r="AE280" s="172">
        <f t="shared" si="200"/>
        <v>0</v>
      </c>
      <c r="AF280" s="172"/>
      <c r="AG280" s="172">
        <f t="shared" si="201"/>
        <v>0</v>
      </c>
      <c r="AI280" s="1025">
        <f t="shared" si="189"/>
        <v>0</v>
      </c>
    </row>
    <row r="281" spans="2:35" s="87" customFormat="1" ht="15" customHeight="1">
      <c r="B281" s="145">
        <f>+I281-I269-I272</f>
        <v>52367</v>
      </c>
      <c r="C281" s="1008"/>
      <c r="E281" s="87" t="s">
        <v>742</v>
      </c>
      <c r="F281" s="252"/>
      <c r="G281" s="376"/>
      <c r="H281" s="252"/>
      <c r="I281" s="760">
        <f>SUM(I268:I280)</f>
        <v>66530</v>
      </c>
      <c r="J281" s="252"/>
      <c r="K281" s="760">
        <f t="shared" ref="K281" si="202">SUM(K268:K280)</f>
        <v>10019</v>
      </c>
      <c r="L281" s="252"/>
      <c r="M281" s="760">
        <f t="shared" ref="M281" si="203">SUM(M268:M280)</f>
        <v>6173</v>
      </c>
      <c r="N281" s="252"/>
      <c r="O281" s="760">
        <f t="shared" ref="O281" si="204">SUM(O268:O280)</f>
        <v>2061</v>
      </c>
      <c r="P281" s="252"/>
      <c r="Q281" s="760">
        <f t="shared" ref="Q281" si="205">SUM(Q268:Q280)</f>
        <v>4404</v>
      </c>
      <c r="R281" s="252"/>
      <c r="S281" s="760">
        <f t="shared" ref="S281" si="206">SUM(S268:S280)</f>
        <v>32834</v>
      </c>
      <c r="T281" s="252"/>
      <c r="U281" s="760">
        <f t="shared" ref="U281" si="207">SUM(U268:U280)</f>
        <v>11038</v>
      </c>
      <c r="V281" s="252"/>
      <c r="W281" s="760">
        <f t="shared" ref="W281" si="208">SUM(W268:W280)</f>
        <v>0</v>
      </c>
      <c r="X281" s="252"/>
      <c r="Y281" s="760">
        <f t="shared" ref="Y281" si="209">SUM(Y268:Y280)</f>
        <v>0</v>
      </c>
      <c r="Z281" s="252"/>
      <c r="AA281" s="760">
        <f t="shared" ref="AA281" si="210">SUM(AA268:AA280)</f>
        <v>0</v>
      </c>
      <c r="AB281" s="252"/>
      <c r="AC281" s="760">
        <f t="shared" ref="AC281" si="211">SUM(AC268:AC280)</f>
        <v>0</v>
      </c>
      <c r="AD281" s="252"/>
      <c r="AE281" s="760">
        <f t="shared" ref="AE281" si="212">SUM(AE268:AE280)</f>
        <v>0</v>
      </c>
      <c r="AF281" s="252"/>
      <c r="AG281" s="760">
        <f t="shared" ref="AG281" si="213">SUM(AG268:AG280)</f>
        <v>0</v>
      </c>
      <c r="AI281" s="1025">
        <f t="shared" si="189"/>
        <v>-1</v>
      </c>
    </row>
    <row r="282" spans="2:35" s="87" customFormat="1" ht="9.75" customHeight="1">
      <c r="E282" s="252"/>
      <c r="F282" s="252"/>
      <c r="G282" s="376"/>
      <c r="H282" s="252"/>
      <c r="I282" s="254"/>
      <c r="U282" s="296"/>
      <c r="AI282" s="1025">
        <f t="shared" si="189"/>
        <v>0</v>
      </c>
    </row>
    <row r="283" spans="2:35" s="87" customFormat="1" ht="15" customHeight="1">
      <c r="C283" s="27" t="s">
        <v>657</v>
      </c>
      <c r="E283" s="252"/>
      <c r="F283" s="252"/>
      <c r="G283" s="376"/>
      <c r="H283" s="252"/>
      <c r="I283" s="254"/>
      <c r="U283" s="296"/>
      <c r="AI283" s="1025">
        <f t="shared" si="189"/>
        <v>0</v>
      </c>
    </row>
    <row r="284" spans="2:35" s="87" customFormat="1" ht="15" customHeight="1">
      <c r="C284" s="1008">
        <v>352.01</v>
      </c>
      <c r="E284" s="87" t="s">
        <v>737</v>
      </c>
      <c r="F284" s="252"/>
      <c r="G284" s="376">
        <v>2</v>
      </c>
      <c r="H284" s="252"/>
      <c r="I284" s="254">
        <f>+'Linkin (2)'!O28</f>
        <v>19964</v>
      </c>
      <c r="K284" s="172">
        <f>ROUND(VLOOKUP($G284,factors,+K$375,FALSE)*$I284,0)</f>
        <v>3007</v>
      </c>
      <c r="M284" s="172">
        <f>ROUND(VLOOKUP($G284,factors,+M$375,FALSE)*$I284,0)</f>
        <v>1853</v>
      </c>
      <c r="N284" s="172"/>
      <c r="O284" s="172">
        <f>ROUND(VLOOKUP($G284,factors,+O$375,FALSE)*$I284,0)</f>
        <v>619</v>
      </c>
      <c r="P284" s="172"/>
      <c r="Q284" s="172">
        <f>ROUND(VLOOKUP($G284,factors,+Q$375,FALSE)*$I284,0)</f>
        <v>1322</v>
      </c>
      <c r="R284" s="172"/>
      <c r="S284" s="172">
        <f>ROUND(VLOOKUP($G284,factors,+S$375,FALSE)*$I284,0)</f>
        <v>9852</v>
      </c>
      <c r="T284" s="172"/>
      <c r="U284" s="296">
        <f>ROUND(VLOOKUP($G284,factors,+U$375,FALSE)*$I284,0)</f>
        <v>3312</v>
      </c>
      <c r="V284" s="172"/>
      <c r="W284" s="172">
        <f>ROUND(VLOOKUP($G284,factors,+W$375,FALSE)*$I284,0)</f>
        <v>0</v>
      </c>
      <c r="X284" s="172"/>
      <c r="Y284" s="172">
        <f>ROUND(VLOOKUP($G284,factors,+Y$375,FALSE)*$I284,0)</f>
        <v>0</v>
      </c>
      <c r="Z284" s="172"/>
      <c r="AA284" s="172">
        <f>ROUND(VLOOKUP($G284,factors,+AA$375,FALSE)*$I284,0)</f>
        <v>0</v>
      </c>
      <c r="AB284" s="172"/>
      <c r="AC284" s="172">
        <f>ROUND(VLOOKUP($G284,factors,+AC$375,FALSE)*$I284,0)</f>
        <v>0</v>
      </c>
      <c r="AD284" s="172"/>
      <c r="AE284" s="172">
        <f>ROUND(VLOOKUP($G284,factors,+AE$375,FALSE)*$I284,0)</f>
        <v>0</v>
      </c>
      <c r="AF284" s="172"/>
      <c r="AG284" s="172">
        <f>ROUND(VLOOKUP($G284,factors,+AG$375,FALSE)*$I284,0)</f>
        <v>0</v>
      </c>
      <c r="AI284" s="1025">
        <f t="shared" si="189"/>
        <v>1</v>
      </c>
    </row>
    <row r="285" spans="2:35" s="87" customFormat="1" ht="9.75" customHeight="1">
      <c r="C285" s="1008"/>
      <c r="E285" s="252"/>
      <c r="F285" s="252"/>
      <c r="G285" s="376"/>
      <c r="H285" s="252"/>
      <c r="I285" s="254"/>
      <c r="U285" s="296"/>
      <c r="AI285" s="1025">
        <f t="shared" si="189"/>
        <v>0</v>
      </c>
    </row>
    <row r="286" spans="2:35" s="87" customFormat="1" ht="15" customHeight="1">
      <c r="C286" s="634" t="s">
        <v>660</v>
      </c>
      <c r="E286" s="252"/>
      <c r="F286" s="252"/>
      <c r="G286" s="376"/>
      <c r="H286" s="252"/>
      <c r="I286" s="254"/>
      <c r="U286" s="296"/>
      <c r="AI286" s="1025">
        <f t="shared" si="189"/>
        <v>0</v>
      </c>
    </row>
    <row r="287" spans="2:35" s="87" customFormat="1" ht="15" customHeight="1">
      <c r="C287" s="1008">
        <v>365</v>
      </c>
      <c r="E287" s="252" t="s">
        <v>750</v>
      </c>
      <c r="F287" s="252"/>
      <c r="G287" s="376">
        <v>4</v>
      </c>
      <c r="H287" s="252"/>
      <c r="I287" s="254">
        <f>+'Linkin (2)'!K115</f>
        <v>47323</v>
      </c>
      <c r="K287" s="172">
        <f t="shared" ref="K287:K294" si="214">ROUND(VLOOKUP($G287,factors,+K$375,FALSE)*$I287,0)</f>
        <v>22635</v>
      </c>
      <c r="M287" s="172">
        <f t="shared" ref="M287:M294" si="215">ROUND(VLOOKUP($G287,factors,+M$375,FALSE)*$I287,0)</f>
        <v>14088</v>
      </c>
      <c r="N287" s="172"/>
      <c r="O287" s="172">
        <f t="shared" ref="O287:O294" si="216">ROUND(VLOOKUP($G287,factors,+O$375,FALSE)*$I287,0)</f>
        <v>3933</v>
      </c>
      <c r="P287" s="172"/>
      <c r="Q287" s="172">
        <f t="shared" ref="Q287:Q294" si="217">ROUND(VLOOKUP($G287,factors,+Q$375,FALSE)*$I287,0)</f>
        <v>4510</v>
      </c>
      <c r="R287" s="172"/>
      <c r="S287" s="172">
        <f t="shared" ref="S287:S294" si="218">ROUND(VLOOKUP($G287,factors,+S$375,FALSE)*$I287,0)</f>
        <v>0</v>
      </c>
      <c r="T287" s="172"/>
      <c r="U287" s="296">
        <f t="shared" ref="U287:U294" si="219">ROUND(VLOOKUP($G287,factors,+U$375,FALSE)*$I287,0)</f>
        <v>2158</v>
      </c>
      <c r="V287" s="172"/>
      <c r="W287" s="172">
        <f t="shared" ref="W287:W294" si="220">ROUND(VLOOKUP($G287,factors,+W$375,FALSE)*$I287,0)</f>
        <v>0</v>
      </c>
      <c r="X287" s="172"/>
      <c r="Y287" s="172">
        <f t="shared" ref="Y287:Y294" si="221">ROUND(VLOOKUP($G287,factors,+Y$375,FALSE)*$I287,0)</f>
        <v>0</v>
      </c>
      <c r="Z287" s="172"/>
      <c r="AA287" s="172">
        <f t="shared" ref="AA287:AA294" si="222">ROUND(VLOOKUP($G287,factors,+AA$375,FALSE)*$I287,0)</f>
        <v>0</v>
      </c>
      <c r="AB287" s="172"/>
      <c r="AC287" s="172">
        <f t="shared" ref="AC287:AC294" si="223">ROUND(VLOOKUP($G287,factors,+AC$375,FALSE)*$I287,0)</f>
        <v>0</v>
      </c>
      <c r="AD287" s="172"/>
      <c r="AE287" s="172">
        <f t="shared" ref="AE287:AE294" si="224">ROUND(VLOOKUP($G287,factors,+AE$375,FALSE)*$I287,0)</f>
        <v>0</v>
      </c>
      <c r="AF287" s="172"/>
      <c r="AG287" s="172">
        <f t="shared" ref="AG287:AG294" si="225">ROUND(VLOOKUP($G287,factors,+AG$375,FALSE)*$I287,0)</f>
        <v>0</v>
      </c>
      <c r="AI287" s="1025">
        <f t="shared" si="189"/>
        <v>1</v>
      </c>
    </row>
    <row r="288" spans="2:35" s="87" customFormat="1" ht="15" customHeight="1">
      <c r="C288" s="1008">
        <v>365.2</v>
      </c>
      <c r="E288" s="87" t="s">
        <v>730</v>
      </c>
      <c r="F288" s="252"/>
      <c r="G288" s="376">
        <v>4</v>
      </c>
      <c r="H288" s="252"/>
      <c r="I288" s="254">
        <f>+'Linkin (2)'!$O32</f>
        <v>343571</v>
      </c>
      <c r="K288" s="172">
        <f t="shared" si="214"/>
        <v>164330</v>
      </c>
      <c r="M288" s="172">
        <f t="shared" si="215"/>
        <v>102281</v>
      </c>
      <c r="N288" s="172"/>
      <c r="O288" s="172">
        <f t="shared" si="216"/>
        <v>28551</v>
      </c>
      <c r="P288" s="172"/>
      <c r="Q288" s="172">
        <f t="shared" si="217"/>
        <v>32742</v>
      </c>
      <c r="R288" s="172"/>
      <c r="S288" s="172">
        <f t="shared" si="218"/>
        <v>0</v>
      </c>
      <c r="T288" s="172"/>
      <c r="U288" s="296">
        <f t="shared" si="219"/>
        <v>15667</v>
      </c>
      <c r="V288" s="172"/>
      <c r="W288" s="172">
        <f t="shared" si="220"/>
        <v>0</v>
      </c>
      <c r="X288" s="172"/>
      <c r="Y288" s="172">
        <f t="shared" si="221"/>
        <v>0</v>
      </c>
      <c r="Z288" s="172"/>
      <c r="AA288" s="172">
        <f t="shared" si="222"/>
        <v>0</v>
      </c>
      <c r="AB288" s="172"/>
      <c r="AC288" s="172">
        <f t="shared" si="223"/>
        <v>0</v>
      </c>
      <c r="AD288" s="172"/>
      <c r="AE288" s="172">
        <f t="shared" si="224"/>
        <v>0</v>
      </c>
      <c r="AF288" s="172"/>
      <c r="AG288" s="172">
        <f t="shared" si="225"/>
        <v>0</v>
      </c>
      <c r="AI288" s="1025">
        <f t="shared" si="189"/>
        <v>0</v>
      </c>
    </row>
    <row r="289" spans="1:35" s="87" customFormat="1" ht="15" customHeight="1">
      <c r="C289" s="1008">
        <v>366</v>
      </c>
      <c r="E289" s="252" t="s">
        <v>522</v>
      </c>
      <c r="F289" s="252"/>
      <c r="G289" s="376">
        <v>4</v>
      </c>
      <c r="H289" s="252"/>
      <c r="I289" s="254">
        <f>+'Linkin (2)'!$O33</f>
        <v>95639</v>
      </c>
      <c r="K289" s="172">
        <f t="shared" si="214"/>
        <v>45744</v>
      </c>
      <c r="M289" s="172">
        <f t="shared" si="215"/>
        <v>28472</v>
      </c>
      <c r="N289" s="172"/>
      <c r="O289" s="172">
        <f t="shared" si="216"/>
        <v>7948</v>
      </c>
      <c r="P289" s="172"/>
      <c r="Q289" s="172">
        <f t="shared" si="217"/>
        <v>9114</v>
      </c>
      <c r="R289" s="172"/>
      <c r="S289" s="172">
        <f t="shared" si="218"/>
        <v>0</v>
      </c>
      <c r="T289" s="172"/>
      <c r="U289" s="296">
        <f t="shared" si="219"/>
        <v>4361</v>
      </c>
      <c r="V289" s="172"/>
      <c r="W289" s="172">
        <f t="shared" si="220"/>
        <v>0</v>
      </c>
      <c r="X289" s="172"/>
      <c r="Y289" s="172">
        <f t="shared" si="221"/>
        <v>0</v>
      </c>
      <c r="Z289" s="172"/>
      <c r="AA289" s="172">
        <f t="shared" si="222"/>
        <v>0</v>
      </c>
      <c r="AB289" s="172"/>
      <c r="AC289" s="172">
        <f t="shared" si="223"/>
        <v>0</v>
      </c>
      <c r="AD289" s="172"/>
      <c r="AE289" s="172">
        <f t="shared" si="224"/>
        <v>0</v>
      </c>
      <c r="AF289" s="172"/>
      <c r="AG289" s="172">
        <f t="shared" si="225"/>
        <v>0</v>
      </c>
      <c r="AI289" s="1025">
        <f t="shared" si="189"/>
        <v>0</v>
      </c>
    </row>
    <row r="290" spans="1:35" s="87" customFormat="1" ht="15" customHeight="1">
      <c r="C290" s="1008">
        <v>367</v>
      </c>
      <c r="E290" s="252" t="s">
        <v>155</v>
      </c>
      <c r="F290" s="252"/>
      <c r="G290" s="376">
        <v>4</v>
      </c>
      <c r="H290" s="252"/>
      <c r="I290" s="254">
        <f>+'Linkin (2)'!$O34</f>
        <v>17101182</v>
      </c>
      <c r="K290" s="172">
        <f t="shared" si="214"/>
        <v>8179495</v>
      </c>
      <c r="M290" s="172">
        <f t="shared" si="215"/>
        <v>5091022</v>
      </c>
      <c r="N290" s="172"/>
      <c r="O290" s="172">
        <f t="shared" si="216"/>
        <v>1421108</v>
      </c>
      <c r="P290" s="172"/>
      <c r="Q290" s="172">
        <f t="shared" si="217"/>
        <v>1629743</v>
      </c>
      <c r="R290" s="172"/>
      <c r="S290" s="172">
        <f t="shared" si="218"/>
        <v>0</v>
      </c>
      <c r="T290" s="172"/>
      <c r="U290" s="296">
        <f t="shared" si="219"/>
        <v>779814</v>
      </c>
      <c r="V290" s="172"/>
      <c r="W290" s="172">
        <f t="shared" si="220"/>
        <v>0</v>
      </c>
      <c r="X290" s="172"/>
      <c r="Y290" s="172">
        <f t="shared" si="221"/>
        <v>0</v>
      </c>
      <c r="Z290" s="172"/>
      <c r="AA290" s="172">
        <f t="shared" si="222"/>
        <v>0</v>
      </c>
      <c r="AB290" s="172"/>
      <c r="AC290" s="172">
        <f t="shared" si="223"/>
        <v>0</v>
      </c>
      <c r="AD290" s="172"/>
      <c r="AE290" s="172">
        <f t="shared" si="224"/>
        <v>0</v>
      </c>
      <c r="AF290" s="172"/>
      <c r="AG290" s="172">
        <f t="shared" si="225"/>
        <v>0</v>
      </c>
      <c r="AI290" s="1025">
        <f t="shared" si="189"/>
        <v>0</v>
      </c>
    </row>
    <row r="291" spans="1:35" s="87" customFormat="1" ht="15" customHeight="1">
      <c r="C291" s="1008">
        <v>369</v>
      </c>
      <c r="E291" s="252" t="s">
        <v>739</v>
      </c>
      <c r="F291" s="252"/>
      <c r="G291" s="376">
        <v>4</v>
      </c>
      <c r="H291" s="252"/>
      <c r="I291" s="254">
        <f>+'Linkin (2)'!$O35</f>
        <v>2301113</v>
      </c>
      <c r="K291" s="172">
        <f t="shared" si="214"/>
        <v>1100622</v>
      </c>
      <c r="M291" s="172">
        <f t="shared" si="215"/>
        <v>685041</v>
      </c>
      <c r="N291" s="172"/>
      <c r="O291" s="172">
        <f t="shared" si="216"/>
        <v>191222</v>
      </c>
      <c r="P291" s="172"/>
      <c r="Q291" s="172">
        <f t="shared" si="217"/>
        <v>219296</v>
      </c>
      <c r="R291" s="172"/>
      <c r="S291" s="172">
        <f t="shared" si="218"/>
        <v>0</v>
      </c>
      <c r="T291" s="172"/>
      <c r="U291" s="296">
        <f t="shared" si="219"/>
        <v>104931</v>
      </c>
      <c r="V291" s="172"/>
      <c r="W291" s="172">
        <f t="shared" si="220"/>
        <v>0</v>
      </c>
      <c r="X291" s="172"/>
      <c r="Y291" s="172">
        <f t="shared" si="221"/>
        <v>0</v>
      </c>
      <c r="Z291" s="172"/>
      <c r="AA291" s="172">
        <f t="shared" si="222"/>
        <v>0</v>
      </c>
      <c r="AB291" s="172"/>
      <c r="AC291" s="172">
        <f t="shared" si="223"/>
        <v>0</v>
      </c>
      <c r="AD291" s="172"/>
      <c r="AE291" s="172">
        <f t="shared" si="224"/>
        <v>0</v>
      </c>
      <c r="AF291" s="172"/>
      <c r="AG291" s="172">
        <f t="shared" si="225"/>
        <v>0</v>
      </c>
      <c r="AI291" s="1025">
        <f t="shared" si="189"/>
        <v>-1</v>
      </c>
    </row>
    <row r="292" spans="1:35" s="87" customFormat="1" ht="15" customHeight="1">
      <c r="C292" s="1008">
        <v>370</v>
      </c>
      <c r="E292" s="252" t="s">
        <v>740</v>
      </c>
      <c r="F292" s="252"/>
      <c r="G292" s="376">
        <v>4</v>
      </c>
      <c r="H292" s="252"/>
      <c r="I292" s="254">
        <f>+'Linkin (2)'!$O36</f>
        <v>1468840</v>
      </c>
      <c r="K292" s="172">
        <f t="shared" si="214"/>
        <v>702546</v>
      </c>
      <c r="M292" s="172">
        <f t="shared" si="215"/>
        <v>437274</v>
      </c>
      <c r="N292" s="172"/>
      <c r="O292" s="172">
        <f t="shared" si="216"/>
        <v>122061</v>
      </c>
      <c r="P292" s="172"/>
      <c r="Q292" s="172">
        <f t="shared" si="217"/>
        <v>139980</v>
      </c>
      <c r="R292" s="172"/>
      <c r="S292" s="172">
        <f t="shared" si="218"/>
        <v>0</v>
      </c>
      <c r="T292" s="172"/>
      <c r="U292" s="296">
        <f t="shared" si="219"/>
        <v>66979</v>
      </c>
      <c r="V292" s="172"/>
      <c r="W292" s="172">
        <f t="shared" si="220"/>
        <v>0</v>
      </c>
      <c r="X292" s="172"/>
      <c r="Y292" s="172">
        <f t="shared" si="221"/>
        <v>0</v>
      </c>
      <c r="Z292" s="172"/>
      <c r="AA292" s="172">
        <f t="shared" si="222"/>
        <v>0</v>
      </c>
      <c r="AB292" s="172"/>
      <c r="AC292" s="172">
        <f t="shared" si="223"/>
        <v>0</v>
      </c>
      <c r="AD292" s="172"/>
      <c r="AE292" s="172">
        <f t="shared" si="224"/>
        <v>0</v>
      </c>
      <c r="AF292" s="172"/>
      <c r="AG292" s="172">
        <f t="shared" si="225"/>
        <v>0</v>
      </c>
      <c r="AI292" s="1025">
        <f t="shared" si="189"/>
        <v>0</v>
      </c>
    </row>
    <row r="293" spans="1:35" s="87" customFormat="1" ht="15" customHeight="1">
      <c r="C293" s="1008">
        <v>371</v>
      </c>
      <c r="E293" s="252" t="s">
        <v>166</v>
      </c>
      <c r="F293" s="252"/>
      <c r="G293" s="376">
        <v>4</v>
      </c>
      <c r="H293" s="252"/>
      <c r="I293" s="254">
        <f>+'Linkin (2)'!$O37</f>
        <v>12421</v>
      </c>
      <c r="K293" s="172">
        <f t="shared" si="214"/>
        <v>5941</v>
      </c>
      <c r="M293" s="172">
        <f t="shared" si="215"/>
        <v>3698</v>
      </c>
      <c r="N293" s="172"/>
      <c r="O293" s="172">
        <f t="shared" si="216"/>
        <v>1032</v>
      </c>
      <c r="P293" s="172"/>
      <c r="Q293" s="172">
        <f t="shared" si="217"/>
        <v>1184</v>
      </c>
      <c r="R293" s="172"/>
      <c r="S293" s="172">
        <f t="shared" si="218"/>
        <v>0</v>
      </c>
      <c r="T293" s="172"/>
      <c r="U293" s="296">
        <f t="shared" si="219"/>
        <v>566</v>
      </c>
      <c r="V293" s="172"/>
      <c r="W293" s="172">
        <f t="shared" si="220"/>
        <v>0</v>
      </c>
      <c r="X293" s="172"/>
      <c r="Y293" s="172">
        <f t="shared" si="221"/>
        <v>0</v>
      </c>
      <c r="Z293" s="172"/>
      <c r="AA293" s="172">
        <f t="shared" si="222"/>
        <v>0</v>
      </c>
      <c r="AB293" s="172"/>
      <c r="AC293" s="172">
        <f t="shared" si="223"/>
        <v>0</v>
      </c>
      <c r="AD293" s="172"/>
      <c r="AE293" s="172">
        <f t="shared" si="224"/>
        <v>0</v>
      </c>
      <c r="AF293" s="172"/>
      <c r="AG293" s="172">
        <f t="shared" si="225"/>
        <v>0</v>
      </c>
      <c r="AI293" s="1025">
        <f t="shared" si="189"/>
        <v>0</v>
      </c>
    </row>
    <row r="294" spans="1:35" s="87" customFormat="1" ht="15" customHeight="1">
      <c r="C294" s="1008">
        <v>371.1</v>
      </c>
      <c r="E294" s="252" t="s">
        <v>741</v>
      </c>
      <c r="F294" s="252"/>
      <c r="G294" s="376">
        <v>4</v>
      </c>
      <c r="H294" s="252"/>
      <c r="I294" s="254">
        <f>+'Linkin (2)'!$O38</f>
        <v>62994</v>
      </c>
      <c r="K294" s="172">
        <f t="shared" si="214"/>
        <v>30130</v>
      </c>
      <c r="M294" s="172">
        <f t="shared" si="215"/>
        <v>18753</v>
      </c>
      <c r="N294" s="172"/>
      <c r="O294" s="172">
        <f t="shared" si="216"/>
        <v>5235</v>
      </c>
      <c r="P294" s="172"/>
      <c r="Q294" s="172">
        <f t="shared" si="217"/>
        <v>6003</v>
      </c>
      <c r="R294" s="172"/>
      <c r="S294" s="172">
        <f t="shared" si="218"/>
        <v>0</v>
      </c>
      <c r="T294" s="172"/>
      <c r="U294" s="296">
        <f t="shared" si="219"/>
        <v>2873</v>
      </c>
      <c r="V294" s="172"/>
      <c r="W294" s="172">
        <f t="shared" si="220"/>
        <v>0</v>
      </c>
      <c r="X294" s="172"/>
      <c r="Y294" s="172">
        <f t="shared" si="221"/>
        <v>0</v>
      </c>
      <c r="Z294" s="172"/>
      <c r="AA294" s="172">
        <f t="shared" si="222"/>
        <v>0</v>
      </c>
      <c r="AB294" s="172"/>
      <c r="AC294" s="172">
        <f t="shared" si="223"/>
        <v>0</v>
      </c>
      <c r="AD294" s="172"/>
      <c r="AE294" s="172">
        <f t="shared" si="224"/>
        <v>0</v>
      </c>
      <c r="AF294" s="172"/>
      <c r="AG294" s="172">
        <f t="shared" si="225"/>
        <v>0</v>
      </c>
      <c r="AI294" s="1025">
        <f t="shared" si="189"/>
        <v>0</v>
      </c>
    </row>
    <row r="295" spans="1:35" s="87" customFormat="1" ht="15" customHeight="1">
      <c r="B295" s="1029">
        <f>+'Linkin (2)'!O39+'Linkin (2)'!K115</f>
        <v>21433083</v>
      </c>
      <c r="C295" s="1008"/>
      <c r="E295" s="252" t="s">
        <v>743</v>
      </c>
      <c r="F295" s="252"/>
      <c r="G295" s="376"/>
      <c r="H295" s="252"/>
      <c r="I295" s="760">
        <f>SUM(I287:I294)</f>
        <v>21433083</v>
      </c>
      <c r="J295" s="252"/>
      <c r="K295" s="760">
        <f t="shared" ref="K295" si="226">SUM(K287:K294)</f>
        <v>10251443</v>
      </c>
      <c r="L295" s="252"/>
      <c r="M295" s="760">
        <f t="shared" ref="M295" si="227">SUM(M287:M294)</f>
        <v>6380629</v>
      </c>
      <c r="N295" s="252"/>
      <c r="O295" s="760">
        <f t="shared" ref="O295" si="228">SUM(O287:O294)</f>
        <v>1781090</v>
      </c>
      <c r="P295" s="252"/>
      <c r="Q295" s="760">
        <f t="shared" ref="Q295" si="229">SUM(Q287:Q294)</f>
        <v>2042572</v>
      </c>
      <c r="R295" s="252"/>
      <c r="S295" s="760">
        <f t="shared" ref="S295" si="230">SUM(S287:S294)</f>
        <v>0</v>
      </c>
      <c r="T295" s="252"/>
      <c r="U295" s="760">
        <f t="shared" ref="U295" si="231">SUM(U287:U294)</f>
        <v>977349</v>
      </c>
      <c r="V295" s="252"/>
      <c r="W295" s="760">
        <f t="shared" ref="W295" si="232">SUM(W287:W294)</f>
        <v>0</v>
      </c>
      <c r="X295" s="252"/>
      <c r="Y295" s="760">
        <f t="shared" ref="Y295" si="233">SUM(Y287:Y294)</f>
        <v>0</v>
      </c>
      <c r="Z295" s="252"/>
      <c r="AA295" s="760">
        <f t="shared" ref="AA295" si="234">SUM(AA287:AA294)</f>
        <v>0</v>
      </c>
      <c r="AB295" s="252"/>
      <c r="AC295" s="760">
        <f t="shared" ref="AC295" si="235">SUM(AC287:AC294)</f>
        <v>0</v>
      </c>
      <c r="AD295" s="252"/>
      <c r="AE295" s="760">
        <f t="shared" ref="AE295" si="236">SUM(AE287:AE294)</f>
        <v>0</v>
      </c>
      <c r="AF295" s="252"/>
      <c r="AG295" s="760">
        <f t="shared" ref="AG295" si="237">SUM(AG287:AG294)</f>
        <v>0</v>
      </c>
      <c r="AI295" s="1025">
        <f t="shared" si="189"/>
        <v>0</v>
      </c>
    </row>
    <row r="296" spans="1:35" s="87" customFormat="1" ht="9.75" customHeight="1">
      <c r="C296" s="1008"/>
      <c r="E296" s="252"/>
      <c r="F296" s="252"/>
      <c r="G296" s="376"/>
      <c r="H296" s="252"/>
      <c r="I296" s="254"/>
      <c r="U296" s="296"/>
      <c r="AI296" s="1025">
        <f t="shared" si="189"/>
        <v>0</v>
      </c>
    </row>
    <row r="297" spans="1:35" s="87" customFormat="1" ht="15" customHeight="1">
      <c r="C297" s="27" t="s">
        <v>235</v>
      </c>
      <c r="E297" s="252"/>
      <c r="F297" s="252"/>
      <c r="G297" s="376"/>
      <c r="H297" s="252"/>
      <c r="I297" s="254"/>
      <c r="U297" s="296"/>
      <c r="AI297" s="1025">
        <f t="shared" si="189"/>
        <v>0</v>
      </c>
    </row>
    <row r="298" spans="1:35" s="87" customFormat="1" ht="15" customHeight="1">
      <c r="C298" s="1008">
        <v>374</v>
      </c>
      <c r="E298" s="252" t="s">
        <v>527</v>
      </c>
      <c r="F298" s="252"/>
      <c r="G298" s="376">
        <v>18</v>
      </c>
      <c r="H298" s="252"/>
      <c r="I298" s="254">
        <f>+'Linkin (2)'!K116</f>
        <v>849347</v>
      </c>
      <c r="K298" s="172">
        <f t="shared" ref="K298:K303" si="238">ROUND(VLOOKUP($G298,factors,+K$375,FALSE)*$I298,0)</f>
        <v>382546</v>
      </c>
      <c r="M298" s="172">
        <f t="shared" ref="M298:M303" si="239">ROUND(VLOOKUP($G298,factors,+M$375,FALSE)*$I298,0)</f>
        <v>238157</v>
      </c>
      <c r="N298" s="172"/>
      <c r="O298" s="172">
        <f t="shared" ref="O298:O303" si="240">ROUND(VLOOKUP($G298,factors,+O$375,FALSE)*$I298,0)</f>
        <v>66504</v>
      </c>
      <c r="P298" s="172"/>
      <c r="Q298" s="172">
        <f t="shared" ref="Q298:Q303" si="241">ROUND(VLOOKUP($G298,factors,+Q$375,FALSE)*$I298,0)</f>
        <v>76186</v>
      </c>
      <c r="R298" s="172"/>
      <c r="S298" s="172">
        <f t="shared" ref="S298:S303" si="242">ROUND(VLOOKUP($G298,factors,+S$375,FALSE)*$I298,0)</f>
        <v>49262</v>
      </c>
      <c r="T298" s="172"/>
      <c r="U298" s="296">
        <f t="shared" ref="U298:U303" si="243">ROUND(VLOOKUP($G298,factors,+U$375,FALSE)*$I298,0)</f>
        <v>36692</v>
      </c>
      <c r="V298" s="172"/>
      <c r="W298" s="172">
        <f t="shared" ref="W298:W303" si="244">ROUND(VLOOKUP($G298,factors,+W$375,FALSE)*$I298,0)</f>
        <v>0</v>
      </c>
      <c r="X298" s="172"/>
      <c r="Y298" s="172">
        <f t="shared" ref="Y298:Y303" si="245">ROUND(VLOOKUP($G298,factors,+Y$375,FALSE)*$I298,0)</f>
        <v>0</v>
      </c>
      <c r="Z298" s="172"/>
      <c r="AA298" s="172">
        <f t="shared" ref="AA298:AA303" si="246">ROUND(VLOOKUP($G298,factors,+AA$375,FALSE)*$I298,0)</f>
        <v>0</v>
      </c>
      <c r="AB298" s="172"/>
      <c r="AC298" s="172">
        <f t="shared" ref="AC298:AC303" si="247">ROUND(VLOOKUP($G298,factors,+AC$375,FALSE)*$I298,0)</f>
        <v>0</v>
      </c>
      <c r="AD298" s="172"/>
      <c r="AE298" s="172">
        <f t="shared" ref="AE298:AE303" si="248">ROUND(VLOOKUP($G298,factors,+AE$375,FALSE)*$I298,0)</f>
        <v>0</v>
      </c>
      <c r="AF298" s="172"/>
      <c r="AG298" s="172">
        <f t="shared" ref="AG298:AG303" si="249">ROUND(VLOOKUP($G298,factors,+AG$375,FALSE)*$I298,0)</f>
        <v>0</v>
      </c>
      <c r="AI298" s="1025">
        <f t="shared" si="189"/>
        <v>0</v>
      </c>
    </row>
    <row r="299" spans="1:35" s="87" customFormat="1" ht="15" customHeight="1">
      <c r="C299" s="1008">
        <v>374</v>
      </c>
      <c r="E299" s="252" t="s">
        <v>380</v>
      </c>
      <c r="F299" s="252"/>
      <c r="G299" s="376">
        <v>18</v>
      </c>
      <c r="H299" s="252"/>
      <c r="I299" s="254">
        <f>+'Linkin (2)'!K117</f>
        <v>7094605</v>
      </c>
      <c r="K299" s="172">
        <f t="shared" si="238"/>
        <v>3195410</v>
      </c>
      <c r="M299" s="172">
        <f t="shared" si="239"/>
        <v>1989327</v>
      </c>
      <c r="N299" s="172"/>
      <c r="O299" s="172">
        <f t="shared" si="240"/>
        <v>555508</v>
      </c>
      <c r="P299" s="172"/>
      <c r="Q299" s="172">
        <f t="shared" si="241"/>
        <v>636386</v>
      </c>
      <c r="R299" s="172"/>
      <c r="S299" s="172">
        <f t="shared" si="242"/>
        <v>411487</v>
      </c>
      <c r="T299" s="172"/>
      <c r="U299" s="296">
        <f t="shared" si="243"/>
        <v>306487</v>
      </c>
      <c r="V299" s="172"/>
      <c r="W299" s="172">
        <f t="shared" si="244"/>
        <v>0</v>
      </c>
      <c r="X299" s="172"/>
      <c r="Y299" s="172">
        <f t="shared" si="245"/>
        <v>0</v>
      </c>
      <c r="Z299" s="172"/>
      <c r="AA299" s="172">
        <f t="shared" si="246"/>
        <v>0</v>
      </c>
      <c r="AB299" s="172"/>
      <c r="AC299" s="172">
        <f t="shared" si="247"/>
        <v>0</v>
      </c>
      <c r="AD299" s="172"/>
      <c r="AE299" s="172">
        <f t="shared" si="248"/>
        <v>0</v>
      </c>
      <c r="AF299" s="172"/>
      <c r="AG299" s="172">
        <f t="shared" si="249"/>
        <v>0</v>
      </c>
      <c r="AI299" s="1025">
        <f t="shared" si="189"/>
        <v>0</v>
      </c>
    </row>
    <row r="300" spans="1:35" s="87" customFormat="1" ht="15" customHeight="1">
      <c r="A300" s="252"/>
      <c r="B300" s="252"/>
      <c r="C300" s="1008">
        <v>374</v>
      </c>
      <c r="E300" s="252" t="s">
        <v>749</v>
      </c>
      <c r="F300" s="252"/>
      <c r="G300" s="376">
        <v>4</v>
      </c>
      <c r="H300" s="252"/>
      <c r="I300" s="254">
        <f>+'Linkin (2)'!O42</f>
        <v>2013279</v>
      </c>
      <c r="K300" s="172">
        <f t="shared" si="238"/>
        <v>962951</v>
      </c>
      <c r="M300" s="172">
        <f t="shared" si="239"/>
        <v>599353</v>
      </c>
      <c r="N300" s="172"/>
      <c r="O300" s="172">
        <f t="shared" si="240"/>
        <v>167303</v>
      </c>
      <c r="P300" s="172"/>
      <c r="Q300" s="172">
        <f t="shared" si="241"/>
        <v>191865</v>
      </c>
      <c r="R300" s="172"/>
      <c r="S300" s="172">
        <f t="shared" si="242"/>
        <v>0</v>
      </c>
      <c r="T300" s="172"/>
      <c r="U300" s="296">
        <f t="shared" si="243"/>
        <v>91806</v>
      </c>
      <c r="V300" s="172"/>
      <c r="W300" s="172">
        <f t="shared" si="244"/>
        <v>0</v>
      </c>
      <c r="X300" s="172"/>
      <c r="Y300" s="172">
        <f t="shared" si="245"/>
        <v>0</v>
      </c>
      <c r="Z300" s="172"/>
      <c r="AA300" s="172">
        <f t="shared" si="246"/>
        <v>0</v>
      </c>
      <c r="AB300" s="172"/>
      <c r="AC300" s="172">
        <f t="shared" si="247"/>
        <v>0</v>
      </c>
      <c r="AD300" s="172"/>
      <c r="AE300" s="172">
        <f t="shared" si="248"/>
        <v>0</v>
      </c>
      <c r="AF300" s="172"/>
      <c r="AG300" s="172">
        <f t="shared" si="249"/>
        <v>0</v>
      </c>
      <c r="AI300" s="1025">
        <f t="shared" si="189"/>
        <v>-1</v>
      </c>
    </row>
    <row r="301" spans="1:35" s="87" customFormat="1" ht="15" customHeight="1">
      <c r="A301" s="252"/>
      <c r="B301" s="252"/>
      <c r="C301" s="1008">
        <v>375</v>
      </c>
      <c r="E301" s="252" t="s">
        <v>284</v>
      </c>
      <c r="F301" s="252"/>
      <c r="G301" s="376">
        <v>18</v>
      </c>
      <c r="H301" s="252"/>
      <c r="I301" s="254">
        <f>+'Linkin (2)'!O43</f>
        <v>2150548</v>
      </c>
      <c r="K301" s="172">
        <f t="shared" si="238"/>
        <v>968607</v>
      </c>
      <c r="M301" s="172">
        <f t="shared" si="239"/>
        <v>603014</v>
      </c>
      <c r="N301" s="172"/>
      <c r="O301" s="172">
        <f t="shared" si="240"/>
        <v>168388</v>
      </c>
      <c r="P301" s="172"/>
      <c r="Q301" s="172">
        <f t="shared" si="241"/>
        <v>192904</v>
      </c>
      <c r="R301" s="172"/>
      <c r="S301" s="172">
        <f t="shared" si="242"/>
        <v>124732</v>
      </c>
      <c r="T301" s="172"/>
      <c r="U301" s="296">
        <f t="shared" si="243"/>
        <v>92904</v>
      </c>
      <c r="V301" s="172"/>
      <c r="W301" s="172">
        <f t="shared" si="244"/>
        <v>0</v>
      </c>
      <c r="X301" s="172"/>
      <c r="Y301" s="172">
        <f t="shared" si="245"/>
        <v>0</v>
      </c>
      <c r="Z301" s="172"/>
      <c r="AA301" s="172">
        <f t="shared" si="246"/>
        <v>0</v>
      </c>
      <c r="AB301" s="172"/>
      <c r="AC301" s="172">
        <f t="shared" si="247"/>
        <v>0</v>
      </c>
      <c r="AD301" s="172"/>
      <c r="AE301" s="172">
        <f t="shared" si="248"/>
        <v>0</v>
      </c>
      <c r="AF301" s="172"/>
      <c r="AG301" s="172">
        <f t="shared" si="249"/>
        <v>0</v>
      </c>
      <c r="AI301" s="1025">
        <f t="shared" si="189"/>
        <v>1</v>
      </c>
    </row>
    <row r="302" spans="1:35" s="252" customFormat="1" ht="15" customHeight="1">
      <c r="A302" s="408">
        <f>+('Linkin (2)'!A$48-Alloc!A$304)*Alloc!B67</f>
        <v>690248084.88974845</v>
      </c>
      <c r="B302" s="254"/>
      <c r="C302" s="376">
        <v>376</v>
      </c>
      <c r="E302" s="252" t="s">
        <v>388</v>
      </c>
      <c r="G302" s="376">
        <v>5</v>
      </c>
      <c r="I302" s="254">
        <f>ROUND(A302*'Linkin (2)'!$A$49,0)</f>
        <v>538519097</v>
      </c>
      <c r="K302" s="379">
        <f t="shared" si="238"/>
        <v>257573684</v>
      </c>
      <c r="M302" s="379">
        <f t="shared" si="239"/>
        <v>160317135</v>
      </c>
      <c r="N302" s="379"/>
      <c r="O302" s="379">
        <f t="shared" si="240"/>
        <v>44750937</v>
      </c>
      <c r="P302" s="379"/>
      <c r="Q302" s="379">
        <f t="shared" si="241"/>
        <v>51320870</v>
      </c>
      <c r="R302" s="379"/>
      <c r="S302" s="379">
        <f t="shared" si="242"/>
        <v>0</v>
      </c>
      <c r="T302" s="379"/>
      <c r="U302" s="408">
        <f t="shared" si="243"/>
        <v>24556471</v>
      </c>
      <c r="V302" s="379"/>
      <c r="W302" s="379">
        <f t="shared" si="244"/>
        <v>0</v>
      </c>
      <c r="X302" s="379"/>
      <c r="Y302" s="379">
        <f t="shared" si="245"/>
        <v>0</v>
      </c>
      <c r="Z302" s="379"/>
      <c r="AA302" s="379">
        <f t="shared" si="246"/>
        <v>0</v>
      </c>
      <c r="AB302" s="379"/>
      <c r="AC302" s="379">
        <f t="shared" si="247"/>
        <v>0</v>
      </c>
      <c r="AD302" s="379"/>
      <c r="AE302" s="379">
        <f t="shared" si="248"/>
        <v>0</v>
      </c>
      <c r="AF302" s="379"/>
      <c r="AG302" s="379">
        <f t="shared" si="249"/>
        <v>0</v>
      </c>
      <c r="AI302" s="1057">
        <f t="shared" si="189"/>
        <v>0</v>
      </c>
    </row>
    <row r="303" spans="1:35" s="252" customFormat="1" ht="15" customHeight="1">
      <c r="A303" s="408">
        <f>+('Linkin (2)'!A$48-Alloc!A$304)*Alloc!B68</f>
        <v>1253017919.8674262</v>
      </c>
      <c r="C303" s="376"/>
      <c r="E303" s="252" t="s">
        <v>389</v>
      </c>
      <c r="G303" s="376">
        <v>4</v>
      </c>
      <c r="I303" s="254">
        <f>ROUND(A303*'Linkin (2)'!$A$49,0)</f>
        <v>977581964</v>
      </c>
      <c r="K303" s="379">
        <f t="shared" si="238"/>
        <v>467577453</v>
      </c>
      <c r="M303" s="379">
        <f t="shared" si="239"/>
        <v>291026151</v>
      </c>
      <c r="N303" s="379"/>
      <c r="O303" s="379">
        <f t="shared" si="240"/>
        <v>81237061</v>
      </c>
      <c r="P303" s="379"/>
      <c r="Q303" s="379">
        <f t="shared" si="241"/>
        <v>93163561</v>
      </c>
      <c r="R303" s="379"/>
      <c r="S303" s="379">
        <f t="shared" si="242"/>
        <v>0</v>
      </c>
      <c r="T303" s="379"/>
      <c r="U303" s="408">
        <f t="shared" si="243"/>
        <v>44577738</v>
      </c>
      <c r="V303" s="379"/>
      <c r="W303" s="379">
        <f t="shared" si="244"/>
        <v>0</v>
      </c>
      <c r="X303" s="379"/>
      <c r="Y303" s="379">
        <f t="shared" si="245"/>
        <v>0</v>
      </c>
      <c r="Z303" s="379"/>
      <c r="AA303" s="379">
        <f t="shared" si="246"/>
        <v>0</v>
      </c>
      <c r="AB303" s="379"/>
      <c r="AC303" s="379">
        <f t="shared" si="247"/>
        <v>0</v>
      </c>
      <c r="AD303" s="379"/>
      <c r="AE303" s="379">
        <f t="shared" si="248"/>
        <v>0</v>
      </c>
      <c r="AF303" s="379"/>
      <c r="AG303" s="379">
        <f t="shared" si="249"/>
        <v>0</v>
      </c>
      <c r="AI303" s="1057">
        <f t="shared" si="189"/>
        <v>0</v>
      </c>
    </row>
    <row r="304" spans="1:35" s="252" customFormat="1" ht="15" customHeight="1">
      <c r="A304" s="1041">
        <f>113873955*0+[8]RateXD!$F$62</f>
        <v>120193984.24282543</v>
      </c>
      <c r="B304" s="1042"/>
      <c r="C304" s="376"/>
      <c r="E304" s="252" t="s">
        <v>456</v>
      </c>
      <c r="G304" s="376" t="s">
        <v>383</v>
      </c>
      <c r="I304" s="254">
        <f>ROUND(A304*'Linkin (2)'!$A$49,0)</f>
        <v>93773177</v>
      </c>
      <c r="K304" s="379"/>
      <c r="M304" s="379"/>
      <c r="N304" s="379"/>
      <c r="O304" s="379"/>
      <c r="P304" s="379"/>
      <c r="Q304" s="379"/>
      <c r="R304" s="379"/>
      <c r="S304" s="379">
        <f>+I304-U304</f>
        <v>93342444</v>
      </c>
      <c r="T304" s="379"/>
      <c r="U304" s="379">
        <f>ROUND(+[8]RateXD!$F$64*'Linkin (2)'!A49,0)</f>
        <v>430733</v>
      </c>
      <c r="V304" s="379"/>
      <c r="W304" s="379"/>
      <c r="X304" s="379"/>
      <c r="Y304" s="379"/>
      <c r="Z304" s="379"/>
      <c r="AA304" s="379"/>
      <c r="AB304" s="379"/>
      <c r="AC304" s="379"/>
      <c r="AD304" s="379"/>
      <c r="AE304" s="379"/>
      <c r="AF304" s="379"/>
      <c r="AG304" s="379"/>
      <c r="AI304" s="1057">
        <f t="shared" si="189"/>
        <v>0</v>
      </c>
    </row>
    <row r="305" spans="1:35" s="252" customFormat="1" ht="15" customHeight="1">
      <c r="A305" s="254">
        <f>SUM(A302:A304)</f>
        <v>2063459989</v>
      </c>
      <c r="B305" s="1043">
        <f>SUM(I302:I304)</f>
        <v>1609874238</v>
      </c>
      <c r="C305" s="376">
        <v>378</v>
      </c>
      <c r="E305" s="252" t="s">
        <v>156</v>
      </c>
      <c r="G305" s="376">
        <v>18</v>
      </c>
      <c r="I305" s="254">
        <f>+'Linkin (2)'!O48</f>
        <v>112325293</v>
      </c>
      <c r="K305" s="379">
        <f t="shared" ref="K305:K316" si="250">ROUND(VLOOKUP($G305,factors,+K$375,FALSE)*$I305,0)</f>
        <v>50591312</v>
      </c>
      <c r="M305" s="379">
        <f t="shared" ref="M305:M316" si="251">ROUND(VLOOKUP($G305,factors,+M$375,FALSE)*$I305,0)</f>
        <v>31496012</v>
      </c>
      <c r="N305" s="379"/>
      <c r="O305" s="379">
        <f t="shared" ref="O305:O316" si="252">ROUND(VLOOKUP($G305,factors,+O$375,FALSE)*$I305,0)</f>
        <v>8795070</v>
      </c>
      <c r="P305" s="379"/>
      <c r="Q305" s="379">
        <f t="shared" ref="Q305:Q316" si="253">ROUND(VLOOKUP($G305,factors,+Q$375,FALSE)*$I305,0)</f>
        <v>10075579</v>
      </c>
      <c r="R305" s="379"/>
      <c r="S305" s="379">
        <f t="shared" ref="S305:S316" si="254">ROUND(VLOOKUP($G305,factors,+S$375,FALSE)*$I305,0)</f>
        <v>6514867</v>
      </c>
      <c r="T305" s="379"/>
      <c r="U305" s="408">
        <f t="shared" ref="U305:U316" si="255">ROUND(VLOOKUP($G305,factors,+U$375,FALSE)*$I305,0)</f>
        <v>4852453</v>
      </c>
      <c r="V305" s="379"/>
      <c r="W305" s="379">
        <f t="shared" ref="W305:W316" si="256">ROUND(VLOOKUP($G305,factors,+W$375,FALSE)*$I305,0)</f>
        <v>0</v>
      </c>
      <c r="X305" s="379"/>
      <c r="Y305" s="379">
        <f t="shared" ref="Y305:Y316" si="257">ROUND(VLOOKUP($G305,factors,+Y$375,FALSE)*$I305,0)</f>
        <v>0</v>
      </c>
      <c r="Z305" s="379"/>
      <c r="AA305" s="379">
        <f t="shared" ref="AA305:AA316" si="258">ROUND(VLOOKUP($G305,factors,+AA$375,FALSE)*$I305,0)</f>
        <v>0</v>
      </c>
      <c r="AB305" s="379"/>
      <c r="AC305" s="379">
        <f t="shared" ref="AC305:AC316" si="259">ROUND(VLOOKUP($G305,factors,+AC$375,FALSE)*$I305,0)</f>
        <v>0</v>
      </c>
      <c r="AD305" s="379"/>
      <c r="AE305" s="379">
        <f t="shared" ref="AE305:AE316" si="260">ROUND(VLOOKUP($G305,factors,+AE$375,FALSE)*$I305,0)</f>
        <v>0</v>
      </c>
      <c r="AF305" s="379"/>
      <c r="AG305" s="379">
        <f t="shared" ref="AG305:AG316" si="261">ROUND(VLOOKUP($G305,factors,+AG$375,FALSE)*$I305,0)</f>
        <v>0</v>
      </c>
      <c r="AI305" s="1057">
        <f t="shared" si="189"/>
        <v>0</v>
      </c>
    </row>
    <row r="306" spans="1:35" s="252" customFormat="1" ht="15" customHeight="1">
      <c r="A306" s="379"/>
      <c r="B306" s="379">
        <f>+'Linkin (2)'!A47</f>
        <v>1609874238</v>
      </c>
      <c r="C306" s="376">
        <v>379</v>
      </c>
      <c r="E306" s="252" t="s">
        <v>413</v>
      </c>
      <c r="G306" s="376">
        <v>18</v>
      </c>
      <c r="I306" s="254"/>
      <c r="K306" s="379">
        <f t="shared" si="250"/>
        <v>0</v>
      </c>
      <c r="M306" s="379">
        <f t="shared" si="251"/>
        <v>0</v>
      </c>
      <c r="N306" s="379"/>
      <c r="O306" s="379">
        <f t="shared" si="252"/>
        <v>0</v>
      </c>
      <c r="P306" s="379"/>
      <c r="Q306" s="379">
        <f t="shared" si="253"/>
        <v>0</v>
      </c>
      <c r="R306" s="379"/>
      <c r="S306" s="379">
        <f t="shared" si="254"/>
        <v>0</v>
      </c>
      <c r="T306" s="379"/>
      <c r="U306" s="408">
        <f t="shared" si="255"/>
        <v>0</v>
      </c>
      <c r="V306" s="379"/>
      <c r="W306" s="379">
        <f t="shared" si="256"/>
        <v>0</v>
      </c>
      <c r="X306" s="379"/>
      <c r="Y306" s="379">
        <f t="shared" si="257"/>
        <v>0</v>
      </c>
      <c r="Z306" s="379"/>
      <c r="AA306" s="379">
        <f t="shared" si="258"/>
        <v>0</v>
      </c>
      <c r="AB306" s="379"/>
      <c r="AC306" s="379">
        <f t="shared" si="259"/>
        <v>0</v>
      </c>
      <c r="AD306" s="379"/>
      <c r="AE306" s="379">
        <f t="shared" si="260"/>
        <v>0</v>
      </c>
      <c r="AF306" s="379"/>
      <c r="AG306" s="379">
        <f t="shared" si="261"/>
        <v>0</v>
      </c>
      <c r="AI306" s="1057">
        <f t="shared" si="189"/>
        <v>0</v>
      </c>
    </row>
    <row r="307" spans="1:35" s="252" customFormat="1" ht="15" customHeight="1">
      <c r="A307" s="1044"/>
      <c r="C307" s="376">
        <v>379</v>
      </c>
      <c r="E307" s="252" t="s">
        <v>157</v>
      </c>
      <c r="G307" s="376">
        <v>18</v>
      </c>
      <c r="I307" s="254">
        <f>+'Linkin (2)'!O49</f>
        <v>12902053</v>
      </c>
      <c r="K307" s="379">
        <f t="shared" si="250"/>
        <v>5811085</v>
      </c>
      <c r="M307" s="379">
        <f t="shared" si="251"/>
        <v>3617736</v>
      </c>
      <c r="N307" s="379"/>
      <c r="O307" s="379">
        <f t="shared" si="252"/>
        <v>1010231</v>
      </c>
      <c r="P307" s="379"/>
      <c r="Q307" s="379">
        <f t="shared" si="253"/>
        <v>1157314</v>
      </c>
      <c r="R307" s="379"/>
      <c r="S307" s="379">
        <f t="shared" si="254"/>
        <v>748319</v>
      </c>
      <c r="T307" s="379"/>
      <c r="U307" s="408">
        <f t="shared" si="255"/>
        <v>557369</v>
      </c>
      <c r="V307" s="379"/>
      <c r="W307" s="379">
        <f t="shared" si="256"/>
        <v>0</v>
      </c>
      <c r="X307" s="379"/>
      <c r="Y307" s="379">
        <f t="shared" si="257"/>
        <v>0</v>
      </c>
      <c r="Z307" s="379"/>
      <c r="AA307" s="379">
        <f t="shared" si="258"/>
        <v>0</v>
      </c>
      <c r="AB307" s="379"/>
      <c r="AC307" s="379">
        <f t="shared" si="259"/>
        <v>0</v>
      </c>
      <c r="AD307" s="379"/>
      <c r="AE307" s="379">
        <f t="shared" si="260"/>
        <v>0</v>
      </c>
      <c r="AF307" s="379"/>
      <c r="AG307" s="379">
        <f t="shared" si="261"/>
        <v>0</v>
      </c>
      <c r="AI307" s="1057">
        <f t="shared" si="189"/>
        <v>1</v>
      </c>
    </row>
    <row r="308" spans="1:35" s="252" customFormat="1" ht="15" customHeight="1">
      <c r="C308" s="376">
        <v>380</v>
      </c>
      <c r="E308" s="252" t="s">
        <v>285</v>
      </c>
      <c r="G308" s="376" t="s">
        <v>395</v>
      </c>
      <c r="I308" s="254">
        <f>+'Linkin (2)'!O50</f>
        <v>835111732</v>
      </c>
      <c r="K308" s="379">
        <f t="shared" si="250"/>
        <v>0</v>
      </c>
      <c r="M308" s="379">
        <f t="shared" si="251"/>
        <v>0</v>
      </c>
      <c r="N308" s="379"/>
      <c r="O308" s="379">
        <f t="shared" si="252"/>
        <v>0</v>
      </c>
      <c r="P308" s="379"/>
      <c r="Q308" s="379">
        <f t="shared" si="253"/>
        <v>0</v>
      </c>
      <c r="R308" s="379"/>
      <c r="S308" s="379">
        <f t="shared" si="254"/>
        <v>0</v>
      </c>
      <c r="T308" s="379"/>
      <c r="U308" s="408">
        <f t="shared" si="255"/>
        <v>0</v>
      </c>
      <c r="V308" s="379"/>
      <c r="W308" s="379">
        <f t="shared" si="256"/>
        <v>728885520</v>
      </c>
      <c r="X308" s="379"/>
      <c r="Y308" s="379">
        <f t="shared" si="257"/>
        <v>98877229</v>
      </c>
      <c r="Z308" s="379"/>
      <c r="AA308" s="379">
        <f t="shared" si="258"/>
        <v>3925025</v>
      </c>
      <c r="AB308" s="379"/>
      <c r="AC308" s="379">
        <f t="shared" si="259"/>
        <v>1920757</v>
      </c>
      <c r="AD308" s="379"/>
      <c r="AE308" s="379">
        <f t="shared" si="260"/>
        <v>250534</v>
      </c>
      <c r="AF308" s="379"/>
      <c r="AG308" s="379">
        <f t="shared" si="261"/>
        <v>1252668</v>
      </c>
      <c r="AI308" s="1057">
        <f t="shared" si="189"/>
        <v>1</v>
      </c>
    </row>
    <row r="309" spans="1:35" s="252" customFormat="1" ht="15" customHeight="1">
      <c r="C309" s="376">
        <v>381</v>
      </c>
      <c r="E309" s="252" t="s">
        <v>286</v>
      </c>
      <c r="G309" s="376">
        <v>6</v>
      </c>
      <c r="I309" s="254">
        <f>+'Linkin (2)'!O51+'Linkin (2)'!O52</f>
        <v>88003676</v>
      </c>
      <c r="K309" s="379">
        <f t="shared" si="250"/>
        <v>0</v>
      </c>
      <c r="M309" s="379">
        <f t="shared" si="251"/>
        <v>0</v>
      </c>
      <c r="N309" s="379"/>
      <c r="O309" s="379">
        <f t="shared" si="252"/>
        <v>0</v>
      </c>
      <c r="P309" s="379"/>
      <c r="Q309" s="379">
        <f t="shared" si="253"/>
        <v>0</v>
      </c>
      <c r="R309" s="379"/>
      <c r="S309" s="379">
        <f t="shared" si="254"/>
        <v>0</v>
      </c>
      <c r="T309" s="379"/>
      <c r="U309" s="408">
        <f t="shared" si="255"/>
        <v>0</v>
      </c>
      <c r="V309" s="379"/>
      <c r="W309" s="379">
        <f t="shared" si="256"/>
        <v>37603971</v>
      </c>
      <c r="X309" s="379"/>
      <c r="Y309" s="379">
        <f t="shared" si="257"/>
        <v>36908742</v>
      </c>
      <c r="Z309" s="379"/>
      <c r="AA309" s="379">
        <f t="shared" si="258"/>
        <v>6653078</v>
      </c>
      <c r="AB309" s="379"/>
      <c r="AC309" s="379">
        <f t="shared" si="259"/>
        <v>3854561</v>
      </c>
      <c r="AD309" s="379"/>
      <c r="AE309" s="379">
        <f t="shared" si="260"/>
        <v>730431</v>
      </c>
      <c r="AF309" s="379"/>
      <c r="AG309" s="379">
        <f t="shared" si="261"/>
        <v>2252894</v>
      </c>
      <c r="AI309" s="1057">
        <f t="shared" si="189"/>
        <v>1</v>
      </c>
    </row>
    <row r="310" spans="1:35" s="252" customFormat="1" ht="15" customHeight="1">
      <c r="C310" s="376">
        <v>382</v>
      </c>
      <c r="E310" s="252" t="s">
        <v>287</v>
      </c>
      <c r="G310" s="376">
        <v>6</v>
      </c>
      <c r="I310" s="254">
        <f>+'Linkin (2)'!O53</f>
        <v>69190371</v>
      </c>
      <c r="K310" s="379">
        <f t="shared" si="250"/>
        <v>0</v>
      </c>
      <c r="M310" s="379">
        <f t="shared" si="251"/>
        <v>0</v>
      </c>
      <c r="N310" s="379"/>
      <c r="O310" s="379">
        <f t="shared" si="252"/>
        <v>0</v>
      </c>
      <c r="P310" s="379"/>
      <c r="Q310" s="379">
        <f t="shared" si="253"/>
        <v>0</v>
      </c>
      <c r="R310" s="379"/>
      <c r="S310" s="379">
        <f t="shared" si="254"/>
        <v>0</v>
      </c>
      <c r="T310" s="379"/>
      <c r="U310" s="408">
        <f t="shared" si="255"/>
        <v>0</v>
      </c>
      <c r="V310" s="379"/>
      <c r="W310" s="379">
        <f t="shared" si="256"/>
        <v>29565046</v>
      </c>
      <c r="X310" s="379"/>
      <c r="Y310" s="379">
        <f t="shared" si="257"/>
        <v>29018442</v>
      </c>
      <c r="Z310" s="379"/>
      <c r="AA310" s="379">
        <f t="shared" si="258"/>
        <v>5230792</v>
      </c>
      <c r="AB310" s="379"/>
      <c r="AC310" s="379">
        <f t="shared" si="259"/>
        <v>3030538</v>
      </c>
      <c r="AD310" s="379"/>
      <c r="AE310" s="379">
        <f t="shared" si="260"/>
        <v>574280</v>
      </c>
      <c r="AF310" s="379"/>
      <c r="AG310" s="379">
        <f t="shared" si="261"/>
        <v>1771273</v>
      </c>
      <c r="AI310" s="1057">
        <f t="shared" si="189"/>
        <v>0</v>
      </c>
    </row>
    <row r="311" spans="1:35" s="252" customFormat="1" ht="15" customHeight="1">
      <c r="C311" s="376">
        <v>383</v>
      </c>
      <c r="E311" s="252" t="s">
        <v>159</v>
      </c>
      <c r="G311" s="376" t="s">
        <v>297</v>
      </c>
      <c r="I311" s="254">
        <f>+'Linkin (2)'!O54</f>
        <v>4647886</v>
      </c>
      <c r="K311" s="379">
        <f t="shared" si="250"/>
        <v>0</v>
      </c>
      <c r="M311" s="379">
        <f t="shared" si="251"/>
        <v>0</v>
      </c>
      <c r="N311" s="379"/>
      <c r="O311" s="379">
        <f t="shared" si="252"/>
        <v>0</v>
      </c>
      <c r="P311" s="379"/>
      <c r="Q311" s="379">
        <f t="shared" si="253"/>
        <v>0</v>
      </c>
      <c r="R311" s="379"/>
      <c r="S311" s="379">
        <f t="shared" si="254"/>
        <v>0</v>
      </c>
      <c r="T311" s="379"/>
      <c r="U311" s="408">
        <f t="shared" si="255"/>
        <v>0</v>
      </c>
      <c r="V311" s="379"/>
      <c r="W311" s="379">
        <f t="shared" si="256"/>
        <v>4091999</v>
      </c>
      <c r="X311" s="379"/>
      <c r="Y311" s="379">
        <f t="shared" si="257"/>
        <v>555887</v>
      </c>
      <c r="Z311" s="379"/>
      <c r="AA311" s="379">
        <f t="shared" si="258"/>
        <v>0</v>
      </c>
      <c r="AB311" s="379"/>
      <c r="AC311" s="379">
        <f t="shared" si="259"/>
        <v>0</v>
      </c>
      <c r="AD311" s="379"/>
      <c r="AE311" s="379">
        <f t="shared" si="260"/>
        <v>0</v>
      </c>
      <c r="AF311" s="379"/>
      <c r="AG311" s="379">
        <f t="shared" si="261"/>
        <v>0</v>
      </c>
      <c r="AI311" s="1057">
        <f t="shared" si="189"/>
        <v>0</v>
      </c>
    </row>
    <row r="312" spans="1:35" s="252" customFormat="1" ht="15" customHeight="1">
      <c r="A312" s="254"/>
      <c r="C312" s="376">
        <v>384</v>
      </c>
      <c r="E312" s="252" t="s">
        <v>160</v>
      </c>
      <c r="G312" s="376" t="s">
        <v>297</v>
      </c>
      <c r="I312" s="254">
        <f>+'Linkin (2)'!O55</f>
        <v>11591107</v>
      </c>
      <c r="K312" s="379">
        <f t="shared" si="250"/>
        <v>0</v>
      </c>
      <c r="M312" s="379">
        <f t="shared" si="251"/>
        <v>0</v>
      </c>
      <c r="N312" s="379"/>
      <c r="O312" s="379">
        <f t="shared" si="252"/>
        <v>0</v>
      </c>
      <c r="P312" s="379"/>
      <c r="Q312" s="379">
        <f t="shared" si="253"/>
        <v>0</v>
      </c>
      <c r="R312" s="379"/>
      <c r="S312" s="379">
        <f t="shared" si="254"/>
        <v>0</v>
      </c>
      <c r="T312" s="379"/>
      <c r="U312" s="408">
        <f t="shared" si="255"/>
        <v>0</v>
      </c>
      <c r="V312" s="379"/>
      <c r="W312" s="379">
        <f t="shared" si="256"/>
        <v>10204811</v>
      </c>
      <c r="X312" s="379"/>
      <c r="Y312" s="379">
        <f t="shared" si="257"/>
        <v>1386296</v>
      </c>
      <c r="Z312" s="379"/>
      <c r="AA312" s="379">
        <f t="shared" si="258"/>
        <v>0</v>
      </c>
      <c r="AB312" s="379"/>
      <c r="AC312" s="379">
        <f t="shared" si="259"/>
        <v>0</v>
      </c>
      <c r="AD312" s="379"/>
      <c r="AE312" s="379">
        <f t="shared" si="260"/>
        <v>0</v>
      </c>
      <c r="AF312" s="379"/>
      <c r="AG312" s="379">
        <f t="shared" si="261"/>
        <v>0</v>
      </c>
      <c r="AI312" s="1057">
        <f t="shared" si="189"/>
        <v>0</v>
      </c>
    </row>
    <row r="313" spans="1:35" s="252" customFormat="1" ht="15" customHeight="1">
      <c r="C313" s="376">
        <v>385</v>
      </c>
      <c r="E313" s="252" t="s">
        <v>161</v>
      </c>
      <c r="G313" s="376">
        <v>6</v>
      </c>
      <c r="I313" s="254">
        <f>+'Linkin (2)'!O56</f>
        <v>18862507</v>
      </c>
      <c r="K313" s="379">
        <f t="shared" si="250"/>
        <v>0</v>
      </c>
      <c r="M313" s="379">
        <f t="shared" si="251"/>
        <v>0</v>
      </c>
      <c r="N313" s="379"/>
      <c r="O313" s="379">
        <f t="shared" si="252"/>
        <v>0</v>
      </c>
      <c r="P313" s="379"/>
      <c r="Q313" s="379">
        <f t="shared" si="253"/>
        <v>0</v>
      </c>
      <c r="R313" s="379"/>
      <c r="S313" s="379">
        <f t="shared" si="254"/>
        <v>0</v>
      </c>
      <c r="T313" s="379"/>
      <c r="U313" s="408">
        <f t="shared" si="255"/>
        <v>0</v>
      </c>
      <c r="V313" s="379"/>
      <c r="W313" s="379">
        <f t="shared" si="256"/>
        <v>8059949</v>
      </c>
      <c r="X313" s="379"/>
      <c r="Y313" s="379">
        <f t="shared" si="257"/>
        <v>7910935</v>
      </c>
      <c r="Z313" s="379"/>
      <c r="AA313" s="379">
        <f t="shared" si="258"/>
        <v>1426006</v>
      </c>
      <c r="AB313" s="379"/>
      <c r="AC313" s="379">
        <f t="shared" si="259"/>
        <v>826178</v>
      </c>
      <c r="AD313" s="379"/>
      <c r="AE313" s="379">
        <f t="shared" si="260"/>
        <v>156559</v>
      </c>
      <c r="AF313" s="379"/>
      <c r="AG313" s="379">
        <f t="shared" si="261"/>
        <v>482880</v>
      </c>
      <c r="AI313" s="1057">
        <f t="shared" si="189"/>
        <v>0</v>
      </c>
    </row>
    <row r="314" spans="1:35" s="87" customFormat="1" ht="15" customHeight="1">
      <c r="C314" s="376">
        <v>386</v>
      </c>
      <c r="D314" s="252"/>
      <c r="E314" s="252" t="s">
        <v>37</v>
      </c>
      <c r="F314" s="252"/>
      <c r="G314" s="376" t="s">
        <v>395</v>
      </c>
      <c r="H314" s="252"/>
      <c r="I314" s="254">
        <f>SUM('Linkin (2)'!O57:O60)</f>
        <v>477996</v>
      </c>
      <c r="K314" s="172">
        <f t="shared" si="250"/>
        <v>0</v>
      </c>
      <c r="M314" s="172">
        <f t="shared" si="251"/>
        <v>0</v>
      </c>
      <c r="N314" s="172"/>
      <c r="O314" s="172">
        <f t="shared" si="252"/>
        <v>0</v>
      </c>
      <c r="P314" s="172"/>
      <c r="Q314" s="172">
        <f t="shared" si="253"/>
        <v>0</v>
      </c>
      <c r="R314" s="172"/>
      <c r="S314" s="172">
        <f t="shared" si="254"/>
        <v>0</v>
      </c>
      <c r="T314" s="172"/>
      <c r="U314" s="296">
        <f t="shared" si="255"/>
        <v>0</v>
      </c>
      <c r="V314" s="172"/>
      <c r="W314" s="172">
        <f t="shared" si="256"/>
        <v>417195</v>
      </c>
      <c r="X314" s="172"/>
      <c r="Y314" s="172">
        <f t="shared" si="257"/>
        <v>56595</v>
      </c>
      <c r="Z314" s="172"/>
      <c r="AA314" s="172">
        <f t="shared" si="258"/>
        <v>2247</v>
      </c>
      <c r="AB314" s="172"/>
      <c r="AC314" s="172">
        <f t="shared" si="259"/>
        <v>1099</v>
      </c>
      <c r="AD314" s="172"/>
      <c r="AE314" s="172">
        <f t="shared" si="260"/>
        <v>143</v>
      </c>
      <c r="AF314" s="172"/>
      <c r="AG314" s="172">
        <f t="shared" si="261"/>
        <v>717</v>
      </c>
      <c r="AI314" s="1025">
        <f t="shared" si="189"/>
        <v>0</v>
      </c>
    </row>
    <row r="315" spans="1:35" s="259" customFormat="1" ht="15" customHeight="1">
      <c r="C315" s="1045">
        <v>387</v>
      </c>
      <c r="E315" s="88" t="s">
        <v>288</v>
      </c>
      <c r="F315" s="88"/>
      <c r="G315" s="400">
        <v>10</v>
      </c>
      <c r="H315" s="88"/>
      <c r="I315" s="254">
        <f>+'Linkin (2)'!O61</f>
        <v>1872405</v>
      </c>
      <c r="K315" s="1033">
        <f t="shared" si="250"/>
        <v>375230</v>
      </c>
      <c r="M315" s="1033">
        <f t="shared" si="251"/>
        <v>233489</v>
      </c>
      <c r="O315" s="1033">
        <f t="shared" si="252"/>
        <v>64785</v>
      </c>
      <c r="P315" s="1033"/>
      <c r="Q315" s="1033">
        <f t="shared" si="253"/>
        <v>72088</v>
      </c>
      <c r="S315" s="1033">
        <f t="shared" si="254"/>
        <v>121519</v>
      </c>
      <c r="T315" s="1033"/>
      <c r="U315" s="1036">
        <f t="shared" si="255"/>
        <v>49057</v>
      </c>
      <c r="W315" s="1033">
        <f t="shared" si="256"/>
        <v>670883</v>
      </c>
      <c r="Y315" s="1033">
        <f t="shared" si="257"/>
        <v>214390</v>
      </c>
      <c r="AA315" s="1033">
        <f t="shared" si="258"/>
        <v>35201</v>
      </c>
      <c r="AB315" s="1033"/>
      <c r="AC315" s="1033">
        <f t="shared" si="259"/>
        <v>20222</v>
      </c>
      <c r="AE315" s="1033">
        <f t="shared" si="260"/>
        <v>3745</v>
      </c>
      <c r="AG315" s="1033">
        <f t="shared" si="261"/>
        <v>11796</v>
      </c>
      <c r="AI315" s="1025">
        <f t="shared" si="189"/>
        <v>0</v>
      </c>
    </row>
    <row r="316" spans="1:35" s="87" customFormat="1" ht="15" customHeight="1">
      <c r="A316" s="145">
        <f>+I317-I298-I299</f>
        <v>2769049329</v>
      </c>
      <c r="C316" s="1045">
        <v>387</v>
      </c>
      <c r="D316" s="259"/>
      <c r="E316" s="88" t="s">
        <v>771</v>
      </c>
      <c r="F316" s="252"/>
      <c r="G316" s="376">
        <v>10</v>
      </c>
      <c r="H316" s="252"/>
      <c r="I316" s="254">
        <f>+'Linkin (2)'!O62</f>
        <v>26238</v>
      </c>
      <c r="K316" s="1033">
        <f t="shared" si="250"/>
        <v>5258</v>
      </c>
      <c r="L316" s="259"/>
      <c r="M316" s="1033">
        <f t="shared" si="251"/>
        <v>3272</v>
      </c>
      <c r="N316" s="259"/>
      <c r="O316" s="1033">
        <f t="shared" si="252"/>
        <v>908</v>
      </c>
      <c r="P316" s="1033"/>
      <c r="Q316" s="1033">
        <f t="shared" si="253"/>
        <v>1010</v>
      </c>
      <c r="R316" s="259"/>
      <c r="S316" s="1033">
        <f t="shared" si="254"/>
        <v>1703</v>
      </c>
      <c r="T316" s="1033"/>
      <c r="U316" s="1036">
        <f t="shared" si="255"/>
        <v>687</v>
      </c>
      <c r="V316" s="259"/>
      <c r="W316" s="1033">
        <f t="shared" si="256"/>
        <v>9401</v>
      </c>
      <c r="X316" s="259"/>
      <c r="Y316" s="1033">
        <f t="shared" si="257"/>
        <v>3004</v>
      </c>
      <c r="Z316" s="259"/>
      <c r="AA316" s="1033">
        <f t="shared" si="258"/>
        <v>493</v>
      </c>
      <c r="AB316" s="1033"/>
      <c r="AC316" s="1033">
        <f t="shared" si="259"/>
        <v>283</v>
      </c>
      <c r="AD316" s="259"/>
      <c r="AE316" s="1033">
        <f t="shared" si="260"/>
        <v>52</v>
      </c>
      <c r="AF316" s="259"/>
      <c r="AG316" s="1033">
        <f t="shared" si="261"/>
        <v>165</v>
      </c>
      <c r="AI316" s="1025">
        <f t="shared" si="189"/>
        <v>-2</v>
      </c>
    </row>
    <row r="317" spans="1:35" s="87" customFormat="1" ht="15" customHeight="1">
      <c r="B317" s="145">
        <f>+'Linkin (2)'!O63+'Linkin (2)'!K116+'Linkin (2)'!K117</f>
        <v>2776993281</v>
      </c>
      <c r="E317" s="252" t="s">
        <v>236</v>
      </c>
      <c r="F317" s="252"/>
      <c r="G317" s="376"/>
      <c r="H317" s="252"/>
      <c r="I317" s="760">
        <f>SUM(I298:I316)</f>
        <v>2776993281</v>
      </c>
      <c r="K317" s="1046">
        <f>SUM(K298:K316)</f>
        <v>787443536</v>
      </c>
      <c r="M317" s="1046">
        <f>SUM(M298:M316)</f>
        <v>490123646</v>
      </c>
      <c r="O317" s="1046">
        <f>SUM(O298:O316)</f>
        <v>136816695</v>
      </c>
      <c r="Q317" s="1046">
        <f>SUM(Q298:Q316)</f>
        <v>156887763</v>
      </c>
      <c r="S317" s="1046">
        <f>SUM(S298:S316)</f>
        <v>101314333</v>
      </c>
      <c r="T317" s="1033"/>
      <c r="U317" s="1047">
        <f>SUM(U298:U316)</f>
        <v>75552397</v>
      </c>
      <c r="W317" s="1046">
        <f>SUM(W298:W316)</f>
        <v>819508775</v>
      </c>
      <c r="Y317" s="1046">
        <f>SUM(Y298:Y316)</f>
        <v>174931520</v>
      </c>
      <c r="AA317" s="1046">
        <f>SUM(AA298:AA316)</f>
        <v>17272842</v>
      </c>
      <c r="AC317" s="1046">
        <f>SUM(AC298:AC316)</f>
        <v>9653638</v>
      </c>
      <c r="AE317" s="1046">
        <f>SUM(AE298:AE316)</f>
        <v>1715744</v>
      </c>
      <c r="AG317" s="1046">
        <f>SUM(AG298:AG316)</f>
        <v>5772393</v>
      </c>
      <c r="AI317" s="1025">
        <f t="shared" si="189"/>
        <v>1</v>
      </c>
    </row>
    <row r="318" spans="1:35" s="87" customFormat="1" ht="9" customHeight="1">
      <c r="E318" s="252"/>
      <c r="F318" s="252"/>
      <c r="G318" s="376"/>
      <c r="H318" s="252"/>
      <c r="I318" s="254"/>
      <c r="U318" s="296"/>
      <c r="AI318" s="1025">
        <f t="shared" si="189"/>
        <v>0</v>
      </c>
    </row>
    <row r="319" spans="1:35" s="87" customFormat="1" ht="15" customHeight="1">
      <c r="A319" s="1048"/>
      <c r="B319" s="1048"/>
      <c r="C319" s="27" t="s">
        <v>237</v>
      </c>
      <c r="E319" s="252"/>
      <c r="F319" s="252"/>
      <c r="G319" s="376"/>
      <c r="H319" s="252"/>
      <c r="I319" s="254"/>
      <c r="U319" s="296"/>
      <c r="AI319" s="1025">
        <f t="shared" si="189"/>
        <v>0</v>
      </c>
    </row>
    <row r="320" spans="1:35" s="87" customFormat="1" ht="4.9000000000000004" customHeight="1">
      <c r="A320" s="1015"/>
      <c r="B320" s="1015"/>
      <c r="C320" s="87" t="s">
        <v>213</v>
      </c>
      <c r="E320" s="252" t="s">
        <v>214</v>
      </c>
      <c r="F320" s="252"/>
      <c r="G320" s="376"/>
      <c r="H320" s="252"/>
      <c r="I320" s="254"/>
      <c r="U320" s="296"/>
      <c r="AI320" s="1025">
        <f t="shared" si="189"/>
        <v>0</v>
      </c>
    </row>
    <row r="321" spans="1:47" s="87" customFormat="1" ht="15" customHeight="1">
      <c r="A321" s="1015"/>
      <c r="B321" s="1015"/>
      <c r="C321" s="1008">
        <v>389</v>
      </c>
      <c r="E321" s="252" t="s">
        <v>526</v>
      </c>
      <c r="F321" s="252"/>
      <c r="G321" s="376">
        <v>12</v>
      </c>
      <c r="H321" s="252"/>
      <c r="I321" s="254">
        <f>+'Linkin (2)'!K118+'Linkin (2)'!K119</f>
        <v>3275141</v>
      </c>
      <c r="K321" s="172">
        <f t="shared" ref="K321:K330" si="262">ROUND(VLOOKUP($G321,factors,+K$375,FALSE)*$I321,0)</f>
        <v>1080797</v>
      </c>
      <c r="M321" s="172">
        <f t="shared" ref="M321:M330" si="263">ROUND(VLOOKUP($G321,factors,+M$375,FALSE)*$I321,0)</f>
        <v>327514</v>
      </c>
      <c r="N321" s="172"/>
      <c r="O321" s="172">
        <f t="shared" ref="O321:O330" si="264">ROUND(VLOOKUP($G321,factors,+O$375,FALSE)*$I321,0)</f>
        <v>81879</v>
      </c>
      <c r="P321" s="172"/>
      <c r="Q321" s="172">
        <f t="shared" ref="Q321:Q330" si="265">ROUND(VLOOKUP($G321,factors,+Q$375,FALSE)*$I321,0)</f>
        <v>96617</v>
      </c>
      <c r="R321" s="172"/>
      <c r="S321" s="172">
        <f t="shared" ref="S321:S330" si="266">ROUND(VLOOKUP($G321,factors,+S$375,FALSE)*$I321,0)</f>
        <v>124455</v>
      </c>
      <c r="T321" s="172"/>
      <c r="U321" s="296">
        <f t="shared" ref="U321:U330" si="267">ROUND(VLOOKUP($G321,factors,+U$375,FALSE)*$I321,0)</f>
        <v>56660</v>
      </c>
      <c r="V321" s="172"/>
      <c r="W321" s="172">
        <f t="shared" ref="W321:W330" si="268">ROUND(VLOOKUP($G321,factors,+W$375,FALSE)*$I321,0)</f>
        <v>1212785</v>
      </c>
      <c r="X321" s="172"/>
      <c r="Y321" s="172">
        <f t="shared" ref="Y321:Y330" si="269">ROUND(VLOOKUP($G321,factors,+Y$375,FALSE)*$I321,0)</f>
        <v>224347</v>
      </c>
      <c r="Z321" s="172"/>
      <c r="AA321" s="172">
        <f t="shared" ref="AA321:AA330" si="270">ROUND(VLOOKUP($G321,factors,+AA$375,FALSE)*$I321,0)</f>
        <v>34061</v>
      </c>
      <c r="AB321" s="172"/>
      <c r="AC321" s="172">
        <f t="shared" ref="AC321:AC330" si="271">ROUND(VLOOKUP($G321,factors,+AC$375,FALSE)*$I321,0)</f>
        <v>18996</v>
      </c>
      <c r="AD321" s="172"/>
      <c r="AE321" s="172">
        <f t="shared" ref="AE321:AE330" si="272">ROUND(VLOOKUP($G321,factors,+AE$375,FALSE)*$I321,0)</f>
        <v>5568</v>
      </c>
      <c r="AF321" s="172"/>
      <c r="AG321" s="172">
        <f t="shared" ref="AG321:AG330" si="273">ROUND(VLOOKUP($G321,factors,+AG$375,FALSE)*$I321,0)</f>
        <v>11463</v>
      </c>
      <c r="AI321" s="1025">
        <f t="shared" si="189"/>
        <v>1</v>
      </c>
    </row>
    <row r="322" spans="1:47" s="87" customFormat="1" ht="15" customHeight="1">
      <c r="A322" s="1015"/>
      <c r="B322" s="1015"/>
      <c r="C322" s="1008">
        <v>390</v>
      </c>
      <c r="E322" s="252" t="s">
        <v>284</v>
      </c>
      <c r="F322" s="252"/>
      <c r="G322" s="376">
        <v>12</v>
      </c>
      <c r="H322" s="252"/>
      <c r="I322" s="254">
        <f>+'Linkin (2)'!O81+'Linkin (2)'!O86-'Linkin (2)'!O150-'Linkin (2)'!O155</f>
        <v>78691589.407599986</v>
      </c>
      <c r="K322" s="172">
        <f t="shared" si="262"/>
        <v>25968225</v>
      </c>
      <c r="M322" s="172">
        <f t="shared" si="263"/>
        <v>7869159</v>
      </c>
      <c r="N322" s="172"/>
      <c r="O322" s="172">
        <f t="shared" si="264"/>
        <v>1967290</v>
      </c>
      <c r="P322" s="172"/>
      <c r="Q322" s="172">
        <f t="shared" si="265"/>
        <v>2321402</v>
      </c>
      <c r="R322" s="172"/>
      <c r="S322" s="172">
        <f t="shared" si="266"/>
        <v>2990280</v>
      </c>
      <c r="T322" s="172"/>
      <c r="U322" s="296">
        <f t="shared" si="267"/>
        <v>1361364</v>
      </c>
      <c r="V322" s="172"/>
      <c r="W322" s="172">
        <f t="shared" si="268"/>
        <v>29139496</v>
      </c>
      <c r="X322" s="172"/>
      <c r="Y322" s="172">
        <f t="shared" si="269"/>
        <v>5390374</v>
      </c>
      <c r="Z322" s="172"/>
      <c r="AA322" s="172">
        <f t="shared" si="270"/>
        <v>818393</v>
      </c>
      <c r="AB322" s="172"/>
      <c r="AC322" s="172">
        <f t="shared" si="271"/>
        <v>456411</v>
      </c>
      <c r="AD322" s="172"/>
      <c r="AE322" s="172">
        <f t="shared" si="272"/>
        <v>133776</v>
      </c>
      <c r="AF322" s="172"/>
      <c r="AG322" s="172">
        <f t="shared" si="273"/>
        <v>275421</v>
      </c>
      <c r="AI322" s="1025">
        <f t="shared" si="189"/>
        <v>1.5924000144004822</v>
      </c>
    </row>
    <row r="323" spans="1:47" s="87" customFormat="1" ht="15" customHeight="1">
      <c r="A323" s="1016"/>
      <c r="B323" s="1016"/>
      <c r="C323" s="1008">
        <v>391</v>
      </c>
      <c r="E323" s="252" t="s">
        <v>289</v>
      </c>
      <c r="F323" s="252"/>
      <c r="G323" s="376">
        <v>12</v>
      </c>
      <c r="H323" s="252"/>
      <c r="I323" s="254">
        <f>+SUM('Linkin (2)'!O88:O90)</f>
        <v>7950644</v>
      </c>
      <c r="K323" s="172">
        <f t="shared" si="262"/>
        <v>2623713</v>
      </c>
      <c r="M323" s="172">
        <f t="shared" si="263"/>
        <v>795064</v>
      </c>
      <c r="N323" s="172"/>
      <c r="O323" s="172">
        <f t="shared" si="264"/>
        <v>198766</v>
      </c>
      <c r="P323" s="172"/>
      <c r="Q323" s="172">
        <f t="shared" si="265"/>
        <v>234544</v>
      </c>
      <c r="R323" s="172"/>
      <c r="S323" s="172">
        <f t="shared" si="266"/>
        <v>302124</v>
      </c>
      <c r="T323" s="172"/>
      <c r="U323" s="296">
        <f t="shared" si="267"/>
        <v>137546</v>
      </c>
      <c r="V323" s="172"/>
      <c r="W323" s="172">
        <f t="shared" si="268"/>
        <v>2944123</v>
      </c>
      <c r="X323" s="172"/>
      <c r="Y323" s="172">
        <f t="shared" si="269"/>
        <v>544619</v>
      </c>
      <c r="Z323" s="172"/>
      <c r="AA323" s="172">
        <f t="shared" si="270"/>
        <v>82687</v>
      </c>
      <c r="AB323" s="172"/>
      <c r="AC323" s="172">
        <f t="shared" si="271"/>
        <v>46114</v>
      </c>
      <c r="AD323" s="172"/>
      <c r="AE323" s="172">
        <f t="shared" si="272"/>
        <v>13516</v>
      </c>
      <c r="AF323" s="172"/>
      <c r="AG323" s="172">
        <f t="shared" si="273"/>
        <v>27827</v>
      </c>
      <c r="AI323" s="1025">
        <f t="shared" si="189"/>
        <v>-1</v>
      </c>
    </row>
    <row r="324" spans="1:47" s="87" customFormat="1" ht="15" customHeight="1">
      <c r="A324" s="1016"/>
      <c r="B324" s="1015"/>
      <c r="C324" s="1008">
        <v>392</v>
      </c>
      <c r="E324" s="252" t="s">
        <v>290</v>
      </c>
      <c r="F324" s="252"/>
      <c r="G324" s="376">
        <v>12</v>
      </c>
      <c r="H324" s="252"/>
      <c r="I324" s="254">
        <f>+SUM('Linkin (2)'!O91:O96)</f>
        <v>24127180</v>
      </c>
      <c r="K324" s="172">
        <f t="shared" si="262"/>
        <v>7961969</v>
      </c>
      <c r="M324" s="172">
        <f t="shared" si="263"/>
        <v>2412718</v>
      </c>
      <c r="N324" s="172"/>
      <c r="O324" s="172">
        <f t="shared" si="264"/>
        <v>603180</v>
      </c>
      <c r="P324" s="172"/>
      <c r="Q324" s="172">
        <f t="shared" si="265"/>
        <v>711752</v>
      </c>
      <c r="R324" s="172"/>
      <c r="S324" s="172">
        <f t="shared" si="266"/>
        <v>916833</v>
      </c>
      <c r="T324" s="172"/>
      <c r="U324" s="296">
        <f t="shared" si="267"/>
        <v>417400</v>
      </c>
      <c r="V324" s="172"/>
      <c r="W324" s="172">
        <f t="shared" si="268"/>
        <v>8934295</v>
      </c>
      <c r="X324" s="172"/>
      <c r="Y324" s="172">
        <f t="shared" si="269"/>
        <v>1652712</v>
      </c>
      <c r="Z324" s="172"/>
      <c r="AA324" s="172">
        <f t="shared" si="270"/>
        <v>250923</v>
      </c>
      <c r="AB324" s="172"/>
      <c r="AC324" s="172">
        <f t="shared" si="271"/>
        <v>139938</v>
      </c>
      <c r="AD324" s="172"/>
      <c r="AE324" s="172">
        <f t="shared" si="272"/>
        <v>41016</v>
      </c>
      <c r="AF324" s="172"/>
      <c r="AG324" s="172">
        <f t="shared" si="273"/>
        <v>84445</v>
      </c>
      <c r="AI324" s="1025">
        <f t="shared" si="189"/>
        <v>1</v>
      </c>
    </row>
    <row r="325" spans="1:47" s="87" customFormat="1" ht="15" customHeight="1">
      <c r="A325" s="1016"/>
      <c r="B325" s="1015"/>
      <c r="C325" s="1008">
        <v>393</v>
      </c>
      <c r="E325" s="252" t="s">
        <v>745</v>
      </c>
      <c r="F325" s="252"/>
      <c r="G325" s="376">
        <v>12</v>
      </c>
      <c r="H325" s="252"/>
      <c r="I325" s="254">
        <f>+'Linkin (2)'!O97</f>
        <v>12260</v>
      </c>
      <c r="K325" s="172">
        <f t="shared" si="262"/>
        <v>4046</v>
      </c>
      <c r="M325" s="172">
        <f t="shared" si="263"/>
        <v>1226</v>
      </c>
      <c r="N325" s="172"/>
      <c r="O325" s="172">
        <f t="shared" si="264"/>
        <v>307</v>
      </c>
      <c r="P325" s="172"/>
      <c r="Q325" s="172">
        <f t="shared" si="265"/>
        <v>362</v>
      </c>
      <c r="R325" s="172"/>
      <c r="S325" s="172">
        <f t="shared" si="266"/>
        <v>466</v>
      </c>
      <c r="T325" s="172"/>
      <c r="U325" s="296">
        <f t="shared" si="267"/>
        <v>212</v>
      </c>
      <c r="V325" s="172"/>
      <c r="W325" s="172">
        <f t="shared" si="268"/>
        <v>4540</v>
      </c>
      <c r="X325" s="172"/>
      <c r="Y325" s="172">
        <f t="shared" si="269"/>
        <v>840</v>
      </c>
      <c r="Z325" s="172"/>
      <c r="AA325" s="172">
        <f t="shared" si="270"/>
        <v>128</v>
      </c>
      <c r="AB325" s="172"/>
      <c r="AC325" s="172">
        <f t="shared" si="271"/>
        <v>71</v>
      </c>
      <c r="AD325" s="172"/>
      <c r="AE325" s="172">
        <f t="shared" si="272"/>
        <v>21</v>
      </c>
      <c r="AF325" s="172"/>
      <c r="AG325" s="172">
        <f t="shared" si="273"/>
        <v>43</v>
      </c>
      <c r="AI325" s="1025">
        <f t="shared" si="189"/>
        <v>2</v>
      </c>
    </row>
    <row r="326" spans="1:47" s="87" customFormat="1" ht="15" customHeight="1">
      <c r="C326" s="1008">
        <v>394</v>
      </c>
      <c r="E326" s="252" t="s">
        <v>291</v>
      </c>
      <c r="F326" s="252"/>
      <c r="G326" s="376">
        <v>12</v>
      </c>
      <c r="H326" s="252"/>
      <c r="I326" s="254">
        <f>+'Linkin (2)'!O98</f>
        <v>21736148</v>
      </c>
      <c r="K326" s="172">
        <f t="shared" si="262"/>
        <v>7172929</v>
      </c>
      <c r="M326" s="172">
        <f t="shared" si="263"/>
        <v>2173615</v>
      </c>
      <c r="N326" s="172"/>
      <c r="O326" s="172">
        <f t="shared" si="264"/>
        <v>543404</v>
      </c>
      <c r="P326" s="172"/>
      <c r="Q326" s="172">
        <f t="shared" si="265"/>
        <v>641216</v>
      </c>
      <c r="R326" s="172"/>
      <c r="S326" s="172">
        <f t="shared" si="266"/>
        <v>825974</v>
      </c>
      <c r="T326" s="172"/>
      <c r="U326" s="296">
        <f t="shared" si="267"/>
        <v>376035</v>
      </c>
      <c r="V326" s="172"/>
      <c r="W326" s="172">
        <f t="shared" si="268"/>
        <v>8048896</v>
      </c>
      <c r="X326" s="172"/>
      <c r="Y326" s="172">
        <f t="shared" si="269"/>
        <v>1488926</v>
      </c>
      <c r="Z326" s="172"/>
      <c r="AA326" s="172">
        <f t="shared" si="270"/>
        <v>226056</v>
      </c>
      <c r="AB326" s="172"/>
      <c r="AC326" s="172">
        <f t="shared" si="271"/>
        <v>126070</v>
      </c>
      <c r="AD326" s="172"/>
      <c r="AE326" s="172">
        <f t="shared" si="272"/>
        <v>36951</v>
      </c>
      <c r="AF326" s="172"/>
      <c r="AG326" s="172">
        <f t="shared" si="273"/>
        <v>76077</v>
      </c>
      <c r="AI326" s="1025">
        <f t="shared" si="189"/>
        <v>1</v>
      </c>
    </row>
    <row r="327" spans="1:47" s="87" customFormat="1" ht="15" customHeight="1">
      <c r="C327" s="1008">
        <v>393</v>
      </c>
      <c r="E327" s="252" t="s">
        <v>746</v>
      </c>
      <c r="F327" s="252"/>
      <c r="G327" s="376">
        <v>12</v>
      </c>
      <c r="H327" s="252"/>
      <c r="I327" s="254">
        <f>+'Linkin (2)'!O99</f>
        <v>347738</v>
      </c>
      <c r="K327" s="172">
        <f t="shared" si="262"/>
        <v>114754</v>
      </c>
      <c r="M327" s="172">
        <f t="shared" si="263"/>
        <v>34774</v>
      </c>
      <c r="N327" s="172"/>
      <c r="O327" s="172">
        <f t="shared" si="264"/>
        <v>8693</v>
      </c>
      <c r="P327" s="172"/>
      <c r="Q327" s="172">
        <f t="shared" si="265"/>
        <v>10258</v>
      </c>
      <c r="R327" s="172"/>
      <c r="S327" s="172">
        <f t="shared" si="266"/>
        <v>13214</v>
      </c>
      <c r="T327" s="172"/>
      <c r="U327" s="296">
        <f t="shared" si="267"/>
        <v>6016</v>
      </c>
      <c r="V327" s="172"/>
      <c r="W327" s="172">
        <f t="shared" si="268"/>
        <v>128767</v>
      </c>
      <c r="X327" s="172"/>
      <c r="Y327" s="172">
        <f t="shared" si="269"/>
        <v>23820</v>
      </c>
      <c r="Z327" s="172"/>
      <c r="AA327" s="172">
        <f t="shared" si="270"/>
        <v>3616</v>
      </c>
      <c r="AB327" s="172"/>
      <c r="AC327" s="172">
        <f t="shared" si="271"/>
        <v>2017</v>
      </c>
      <c r="AD327" s="172"/>
      <c r="AE327" s="172">
        <f t="shared" si="272"/>
        <v>591</v>
      </c>
      <c r="AF327" s="172"/>
      <c r="AG327" s="172">
        <f t="shared" si="273"/>
        <v>1217</v>
      </c>
      <c r="AI327" s="1025">
        <f t="shared" si="189"/>
        <v>-1</v>
      </c>
    </row>
    <row r="328" spans="1:47" s="87" customFormat="1" ht="15" customHeight="1">
      <c r="C328" s="1008">
        <v>396</v>
      </c>
      <c r="E328" s="252" t="s">
        <v>292</v>
      </c>
      <c r="F328" s="252"/>
      <c r="G328" s="376">
        <v>12</v>
      </c>
      <c r="H328" s="252"/>
      <c r="I328" s="254">
        <f>+'Linkin (2)'!O100</f>
        <v>5008462</v>
      </c>
      <c r="K328" s="172">
        <f t="shared" si="262"/>
        <v>1652792</v>
      </c>
      <c r="M328" s="172">
        <f t="shared" si="263"/>
        <v>500846</v>
      </c>
      <c r="N328" s="172"/>
      <c r="O328" s="172">
        <f t="shared" si="264"/>
        <v>125212</v>
      </c>
      <c r="P328" s="172"/>
      <c r="Q328" s="172">
        <f t="shared" si="265"/>
        <v>147750</v>
      </c>
      <c r="R328" s="172"/>
      <c r="S328" s="172">
        <f t="shared" si="266"/>
        <v>190322</v>
      </c>
      <c r="T328" s="172"/>
      <c r="U328" s="296">
        <f t="shared" si="267"/>
        <v>86646</v>
      </c>
      <c r="V328" s="172"/>
      <c r="W328" s="172">
        <f t="shared" si="268"/>
        <v>1854633</v>
      </c>
      <c r="X328" s="172"/>
      <c r="Y328" s="172">
        <f t="shared" si="269"/>
        <v>343080</v>
      </c>
      <c r="Z328" s="172"/>
      <c r="AA328" s="172">
        <f t="shared" si="270"/>
        <v>52088</v>
      </c>
      <c r="AB328" s="172"/>
      <c r="AC328" s="172">
        <f t="shared" si="271"/>
        <v>29049</v>
      </c>
      <c r="AD328" s="172"/>
      <c r="AE328" s="172">
        <f t="shared" si="272"/>
        <v>8514</v>
      </c>
      <c r="AF328" s="172"/>
      <c r="AG328" s="172">
        <f t="shared" si="273"/>
        <v>17530</v>
      </c>
      <c r="AI328" s="1025">
        <f t="shared" si="189"/>
        <v>0</v>
      </c>
    </row>
    <row r="329" spans="1:47" s="87" customFormat="1" ht="15" customHeight="1">
      <c r="C329" s="1008">
        <v>397</v>
      </c>
      <c r="E329" s="252" t="s">
        <v>293</v>
      </c>
      <c r="F329" s="252"/>
      <c r="G329" s="376">
        <v>12</v>
      </c>
      <c r="H329" s="88"/>
      <c r="I329" s="254">
        <f>+'Linkin (2)'!O101</f>
        <v>534688</v>
      </c>
      <c r="J329" s="259"/>
      <c r="K329" s="1030">
        <f t="shared" si="262"/>
        <v>176447</v>
      </c>
      <c r="L329" s="259"/>
      <c r="M329" s="1030">
        <f t="shared" si="263"/>
        <v>53469</v>
      </c>
      <c r="N329" s="1030"/>
      <c r="O329" s="1030">
        <f t="shared" si="264"/>
        <v>13367</v>
      </c>
      <c r="P329" s="1030"/>
      <c r="Q329" s="1030">
        <f t="shared" si="265"/>
        <v>15773</v>
      </c>
      <c r="R329" s="1030"/>
      <c r="S329" s="1030">
        <f t="shared" si="266"/>
        <v>20318</v>
      </c>
      <c r="T329" s="1030"/>
      <c r="U329" s="1036">
        <f t="shared" si="267"/>
        <v>9250</v>
      </c>
      <c r="V329" s="1030"/>
      <c r="W329" s="1030">
        <f t="shared" si="268"/>
        <v>197995</v>
      </c>
      <c r="X329" s="1030"/>
      <c r="Y329" s="1030">
        <f t="shared" si="269"/>
        <v>36626</v>
      </c>
      <c r="Z329" s="1030"/>
      <c r="AA329" s="1030">
        <f t="shared" si="270"/>
        <v>5561</v>
      </c>
      <c r="AB329" s="1030"/>
      <c r="AC329" s="1030">
        <f t="shared" si="271"/>
        <v>3101</v>
      </c>
      <c r="AD329" s="1030"/>
      <c r="AE329" s="1030">
        <f t="shared" si="272"/>
        <v>909</v>
      </c>
      <c r="AF329" s="1030"/>
      <c r="AG329" s="1030">
        <f t="shared" si="273"/>
        <v>1871</v>
      </c>
      <c r="AH329" s="259"/>
      <c r="AI329" s="1025">
        <f t="shared" si="189"/>
        <v>-1</v>
      </c>
      <c r="AJ329" s="259"/>
      <c r="AK329" s="259"/>
      <c r="AL329" s="259"/>
      <c r="AM329" s="259"/>
      <c r="AN329" s="259"/>
      <c r="AO329" s="259"/>
      <c r="AP329" s="259"/>
      <c r="AQ329" s="259"/>
      <c r="AR329" s="259"/>
      <c r="AS329" s="259"/>
      <c r="AT329" s="259"/>
      <c r="AU329" s="259"/>
    </row>
    <row r="330" spans="1:47" s="87" customFormat="1" ht="15" customHeight="1">
      <c r="A330" s="145"/>
      <c r="B330" s="1029">
        <f>+'Linkin (2)'!O103+'Linkin (2)'!K118+'Linkin (2)'!K119-'Linkin (2)'!O150-'Linkin (2)'!O155</f>
        <v>149509255.40760002</v>
      </c>
      <c r="C330" s="1008">
        <v>398</v>
      </c>
      <c r="E330" s="252" t="s">
        <v>162</v>
      </c>
      <c r="F330" s="252"/>
      <c r="G330" s="376">
        <v>12</v>
      </c>
      <c r="H330" s="88"/>
      <c r="I330" s="254">
        <f>+'Linkin (2)'!O102</f>
        <v>7825405</v>
      </c>
      <c r="J330" s="259"/>
      <c r="K330" s="1030">
        <f t="shared" si="262"/>
        <v>2582384</v>
      </c>
      <c r="L330" s="259"/>
      <c r="M330" s="1030">
        <f t="shared" si="263"/>
        <v>782541</v>
      </c>
      <c r="N330" s="1030"/>
      <c r="O330" s="1030">
        <f t="shared" si="264"/>
        <v>195635</v>
      </c>
      <c r="P330" s="1030"/>
      <c r="Q330" s="1030">
        <f t="shared" si="265"/>
        <v>230849</v>
      </c>
      <c r="R330" s="1030"/>
      <c r="S330" s="1030">
        <f t="shared" si="266"/>
        <v>297365</v>
      </c>
      <c r="T330" s="1030"/>
      <c r="U330" s="1036">
        <f t="shared" si="267"/>
        <v>135380</v>
      </c>
      <c r="V330" s="1030"/>
      <c r="W330" s="1030">
        <f t="shared" si="268"/>
        <v>2897747</v>
      </c>
      <c r="X330" s="1030"/>
      <c r="Y330" s="1030">
        <f t="shared" si="269"/>
        <v>536040</v>
      </c>
      <c r="Z330" s="1030"/>
      <c r="AA330" s="1030">
        <f t="shared" si="270"/>
        <v>81384</v>
      </c>
      <c r="AB330" s="1030"/>
      <c r="AC330" s="1030">
        <f t="shared" si="271"/>
        <v>45387</v>
      </c>
      <c r="AD330" s="1030"/>
      <c r="AE330" s="1030">
        <f t="shared" si="272"/>
        <v>13303</v>
      </c>
      <c r="AF330" s="1030"/>
      <c r="AG330" s="1030">
        <f t="shared" si="273"/>
        <v>27389</v>
      </c>
      <c r="AH330" s="259"/>
      <c r="AI330" s="1025">
        <f t="shared" si="189"/>
        <v>-1</v>
      </c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259"/>
      <c r="AU330" s="259"/>
    </row>
    <row r="331" spans="1:47" s="87" customFormat="1" ht="15" customHeight="1">
      <c r="A331" s="1053"/>
      <c r="B331" s="1053">
        <f>+B330-I331</f>
        <v>0</v>
      </c>
      <c r="E331" s="252" t="s">
        <v>238</v>
      </c>
      <c r="F331" s="252"/>
      <c r="G331" s="376"/>
      <c r="H331" s="252"/>
      <c r="I331" s="761">
        <f>SUM(I321:I330)</f>
        <v>149509255.40759999</v>
      </c>
      <c r="K331" s="1049">
        <f>SUM(K321:K330)</f>
        <v>49338056</v>
      </c>
      <c r="M331" s="1049">
        <f>SUM(M321:M330)</f>
        <v>14950926</v>
      </c>
      <c r="O331" s="1049">
        <f>SUM(O321:O330)</f>
        <v>3737733</v>
      </c>
      <c r="P331" s="1033"/>
      <c r="Q331" s="1049">
        <f>SUM(Q321:Q330)</f>
        <v>4410523</v>
      </c>
      <c r="S331" s="1049">
        <f>SUM(S321:S330)</f>
        <v>5681351</v>
      </c>
      <c r="T331" s="1033"/>
      <c r="U331" s="1050">
        <f>SUM(U321:U330)</f>
        <v>2586509</v>
      </c>
      <c r="W331" s="1049">
        <f>SUM(W321:W330)</f>
        <v>55363277</v>
      </c>
      <c r="Y331" s="1049">
        <f>SUM(Y321:Y330)</f>
        <v>10241384</v>
      </c>
      <c r="AA331" s="1049">
        <f>SUM(AA321:AA330)</f>
        <v>1554897</v>
      </c>
      <c r="AB331" s="1033"/>
      <c r="AC331" s="1049">
        <f>SUM(AC321:AC330)</f>
        <v>867154</v>
      </c>
      <c r="AE331" s="1049">
        <f>SUM(AE321:AE330)</f>
        <v>254165</v>
      </c>
      <c r="AG331" s="1049">
        <f>SUM(AG321:AG330)</f>
        <v>523283</v>
      </c>
      <c r="AI331" s="1025">
        <f t="shared" si="189"/>
        <v>2.5924000144004822</v>
      </c>
    </row>
    <row r="332" spans="1:47" s="87" customFormat="1" ht="10.9" customHeight="1">
      <c r="E332" s="252"/>
      <c r="F332" s="252"/>
      <c r="G332" s="376"/>
      <c r="H332" s="252"/>
      <c r="I332" s="254"/>
      <c r="U332" s="296"/>
      <c r="AI332" s="1025">
        <f t="shared" si="189"/>
        <v>0</v>
      </c>
    </row>
    <row r="333" spans="1:47" s="87" customFormat="1" ht="15" customHeight="1">
      <c r="E333" s="252" t="s">
        <v>163</v>
      </c>
      <c r="F333" s="252"/>
      <c r="G333" s="376"/>
      <c r="H333" s="252"/>
      <c r="I333" s="451">
        <f t="shared" ref="I333:AG333" si="274">+I317+I331+I295+I284+I281</f>
        <v>2948022113.4075999</v>
      </c>
      <c r="J333" s="451"/>
      <c r="K333" s="451">
        <f t="shared" si="274"/>
        <v>847046061</v>
      </c>
      <c r="L333" s="451">
        <f t="shared" si="274"/>
        <v>0</v>
      </c>
      <c r="M333" s="451">
        <f t="shared" si="274"/>
        <v>511463227</v>
      </c>
      <c r="N333" s="451">
        <f t="shared" si="274"/>
        <v>0</v>
      </c>
      <c r="O333" s="451">
        <f t="shared" si="274"/>
        <v>142338198</v>
      </c>
      <c r="P333" s="451">
        <f t="shared" si="274"/>
        <v>0</v>
      </c>
      <c r="Q333" s="451">
        <f t="shared" si="274"/>
        <v>163346584</v>
      </c>
      <c r="R333" s="451">
        <f t="shared" si="274"/>
        <v>0</v>
      </c>
      <c r="S333" s="451">
        <f t="shared" si="274"/>
        <v>107038370</v>
      </c>
      <c r="T333" s="451">
        <f t="shared" si="274"/>
        <v>0</v>
      </c>
      <c r="U333" s="451">
        <f t="shared" si="274"/>
        <v>79130605</v>
      </c>
      <c r="V333" s="451">
        <f t="shared" si="274"/>
        <v>0</v>
      </c>
      <c r="W333" s="451">
        <f t="shared" si="274"/>
        <v>874872052</v>
      </c>
      <c r="X333" s="451">
        <f t="shared" si="274"/>
        <v>0</v>
      </c>
      <c r="Y333" s="451">
        <f t="shared" si="274"/>
        <v>185172904</v>
      </c>
      <c r="Z333" s="451">
        <f t="shared" si="274"/>
        <v>0</v>
      </c>
      <c r="AA333" s="451">
        <f t="shared" si="274"/>
        <v>18827739</v>
      </c>
      <c r="AB333" s="451">
        <f t="shared" si="274"/>
        <v>0</v>
      </c>
      <c r="AC333" s="451">
        <f t="shared" si="274"/>
        <v>10520792</v>
      </c>
      <c r="AD333" s="451">
        <f t="shared" si="274"/>
        <v>0</v>
      </c>
      <c r="AE333" s="451">
        <f t="shared" si="274"/>
        <v>1969909</v>
      </c>
      <c r="AF333" s="451">
        <f t="shared" si="274"/>
        <v>0</v>
      </c>
      <c r="AG333" s="451">
        <f t="shared" si="274"/>
        <v>6295676</v>
      </c>
      <c r="AH333" s="145"/>
      <c r="AI333" s="296">
        <f t="shared" si="189"/>
        <v>3.592400074005127</v>
      </c>
      <c r="AJ333" s="145"/>
    </row>
    <row r="334" spans="1:47" s="87" customFormat="1" ht="10.9" customHeight="1">
      <c r="E334" s="252"/>
      <c r="F334" s="252"/>
      <c r="G334" s="376"/>
      <c r="H334" s="252"/>
      <c r="I334" s="450"/>
      <c r="K334" s="1033"/>
      <c r="M334" s="1033"/>
      <c r="O334" s="1033"/>
      <c r="Q334" s="1033"/>
      <c r="S334" s="1033"/>
      <c r="T334" s="1033"/>
      <c r="U334" s="1036"/>
      <c r="W334" s="1033"/>
      <c r="Y334" s="1033"/>
      <c r="AA334" s="1033"/>
      <c r="AC334" s="1033"/>
      <c r="AE334" s="1033"/>
      <c r="AG334" s="1033"/>
      <c r="AH334" s="145"/>
      <c r="AI334" s="1025"/>
    </row>
    <row r="335" spans="1:47" s="87" customFormat="1" ht="15" customHeight="1">
      <c r="B335" s="87">
        <v>0.88429996913060005</v>
      </c>
      <c r="C335" s="27" t="s">
        <v>819</v>
      </c>
      <c r="E335" s="443"/>
      <c r="F335" s="252"/>
      <c r="G335" s="376"/>
      <c r="H335" s="252"/>
      <c r="I335" s="450"/>
      <c r="K335" s="1033"/>
      <c r="M335" s="1033"/>
      <c r="O335" s="1033"/>
      <c r="Q335" s="1033"/>
      <c r="S335" s="1033"/>
      <c r="T335" s="1033"/>
      <c r="U335" s="1036"/>
      <c r="W335" s="1033"/>
      <c r="Y335" s="1033"/>
      <c r="AA335" s="1033"/>
      <c r="AC335" s="1033"/>
      <c r="AE335" s="1033"/>
      <c r="AG335" s="1033"/>
      <c r="AH335" s="145"/>
      <c r="AI335" s="1025"/>
    </row>
    <row r="336" spans="1:47" s="87" customFormat="1" ht="15" customHeight="1">
      <c r="C336" s="1005">
        <v>301</v>
      </c>
      <c r="E336" s="252" t="s">
        <v>596</v>
      </c>
      <c r="F336" s="252"/>
      <c r="G336" s="376">
        <v>14</v>
      </c>
      <c r="H336" s="252"/>
      <c r="I336" s="450">
        <f>+'Linkin (2)'!K127*B335</f>
        <v>122885.8609102647</v>
      </c>
      <c r="K336" s="1030">
        <f>ROUND(VLOOKUP($G336,factors,+K$375,FALSE)*$I336,0)</f>
        <v>35846</v>
      </c>
      <c r="L336" s="259"/>
      <c r="M336" s="1030">
        <f>ROUND(VLOOKUP($G336,factors,+M$375,FALSE)*$I336,0)</f>
        <v>20792</v>
      </c>
      <c r="N336" s="1030"/>
      <c r="O336" s="1030">
        <f>ROUND(VLOOKUP($G336,factors,+O$375,FALSE)*$I336,0)</f>
        <v>5628</v>
      </c>
      <c r="P336" s="1030"/>
      <c r="Q336" s="1030">
        <f>ROUND(VLOOKUP($G336,factors,+Q$375,FALSE)*$I336,0)</f>
        <v>6464</v>
      </c>
      <c r="R336" s="1030"/>
      <c r="S336" s="1030">
        <f>ROUND(VLOOKUP($G336,factors,+S$375,FALSE)*$I336,0)</f>
        <v>4387</v>
      </c>
      <c r="T336" s="1030"/>
      <c r="U336" s="1036">
        <f>ROUND(VLOOKUP($G336,factors,+U$375,FALSE)*$I336,0)</f>
        <v>3158</v>
      </c>
      <c r="V336" s="1030"/>
      <c r="W336" s="1030">
        <f>ROUND(VLOOKUP($G336,factors,+W$375,FALSE)*$I336,0)</f>
        <v>37861</v>
      </c>
      <c r="X336" s="1030"/>
      <c r="Y336" s="1030">
        <f>ROUND(VLOOKUP($G336,factors,+Y$375,FALSE)*$I336,0)</f>
        <v>7226</v>
      </c>
      <c r="Z336" s="1030"/>
      <c r="AA336" s="1030">
        <f>ROUND(VLOOKUP($G336,factors,+AA$375,FALSE)*$I336,0)</f>
        <v>762</v>
      </c>
      <c r="AB336" s="1030"/>
      <c r="AC336" s="1030">
        <f>ROUND(VLOOKUP($G336,factors,+AC$375,FALSE)*$I336,0)</f>
        <v>418</v>
      </c>
      <c r="AD336" s="1030"/>
      <c r="AE336" s="1030">
        <f>ROUND(VLOOKUP($G336,factors,+AE$375,FALSE)*$I336,0)</f>
        <v>86</v>
      </c>
      <c r="AF336" s="1030"/>
      <c r="AG336" s="1030">
        <f>ROUND(VLOOKUP($G336,factors,+AG$375,FALSE)*$I336,0)</f>
        <v>258</v>
      </c>
      <c r="AH336" s="259"/>
      <c r="AI336" s="1025">
        <f t="shared" ref="AI336:AI337" si="275">SUM(K336:AG336)-I336</f>
        <v>0.1390897352976026</v>
      </c>
    </row>
    <row r="337" spans="1:42" s="87" customFormat="1" ht="15" customHeight="1">
      <c r="C337" s="1005">
        <v>389.1</v>
      </c>
      <c r="E337" s="252" t="s">
        <v>526</v>
      </c>
      <c r="F337" s="252"/>
      <c r="G337" s="376">
        <v>12</v>
      </c>
      <c r="H337" s="252"/>
      <c r="I337" s="450">
        <f>+'Linkin (2)'!K128*B335</f>
        <v>6143327.389946945</v>
      </c>
      <c r="K337" s="1030">
        <f>ROUND(VLOOKUP($G337,factors,+K$375,FALSE)*$I337,0)</f>
        <v>2027298</v>
      </c>
      <c r="L337" s="259"/>
      <c r="M337" s="1030">
        <f>ROUND(VLOOKUP($G337,factors,+M$375,FALSE)*$I337,0)</f>
        <v>614333</v>
      </c>
      <c r="N337" s="1030"/>
      <c r="O337" s="1030">
        <f>ROUND(VLOOKUP($G337,factors,+O$375,FALSE)*$I337,0)</f>
        <v>153583</v>
      </c>
      <c r="P337" s="1030"/>
      <c r="Q337" s="1030">
        <f>ROUND(VLOOKUP($G337,factors,+Q$375,FALSE)*$I337,0)</f>
        <v>181228</v>
      </c>
      <c r="R337" s="1030"/>
      <c r="S337" s="1030">
        <f>ROUND(VLOOKUP($G337,factors,+S$375,FALSE)*$I337,0)</f>
        <v>233446</v>
      </c>
      <c r="T337" s="1030"/>
      <c r="U337" s="1036">
        <f>ROUND(VLOOKUP($G337,factors,+U$375,FALSE)*$I337,0)</f>
        <v>106280</v>
      </c>
      <c r="V337" s="1030"/>
      <c r="W337" s="1030">
        <f>ROUND(VLOOKUP($G337,factors,+W$375,FALSE)*$I337,0)</f>
        <v>2274874</v>
      </c>
      <c r="X337" s="1030"/>
      <c r="Y337" s="1030">
        <f>ROUND(VLOOKUP($G337,factors,+Y$375,FALSE)*$I337,0)</f>
        <v>420818</v>
      </c>
      <c r="Z337" s="1030"/>
      <c r="AA337" s="1030">
        <f>ROUND(VLOOKUP($G337,factors,+AA$375,FALSE)*$I337,0)</f>
        <v>63891</v>
      </c>
      <c r="AB337" s="1030"/>
      <c r="AC337" s="1030">
        <f>ROUND(VLOOKUP($G337,factors,+AC$375,FALSE)*$I337,0)</f>
        <v>35631</v>
      </c>
      <c r="AD337" s="1030"/>
      <c r="AE337" s="1030">
        <f>ROUND(VLOOKUP($G337,factors,+AE$375,FALSE)*$I337,0)</f>
        <v>10444</v>
      </c>
      <c r="AF337" s="1030"/>
      <c r="AG337" s="1030">
        <f>ROUND(VLOOKUP($G337,factors,+AG$375,FALSE)*$I337,0)</f>
        <v>21502</v>
      </c>
      <c r="AH337" s="259"/>
      <c r="AI337" s="1025">
        <f t="shared" si="275"/>
        <v>0.61005305498838425</v>
      </c>
    </row>
    <row r="338" spans="1:42" s="87" customFormat="1" ht="15" customHeight="1">
      <c r="C338" s="1031">
        <v>390.2</v>
      </c>
      <c r="E338" s="419" t="s">
        <v>522</v>
      </c>
      <c r="F338" s="252"/>
      <c r="G338" s="376">
        <v>12</v>
      </c>
      <c r="H338" s="252"/>
      <c r="I338" s="450">
        <f>(+'Linkin (2)'!O129)*B335</f>
        <v>24183870.927782416</v>
      </c>
      <c r="K338" s="1030">
        <f>ROUND(VLOOKUP($G338,factors,+K$375,FALSE)*$I338,0)</f>
        <v>7980677</v>
      </c>
      <c r="L338" s="259"/>
      <c r="M338" s="1030">
        <f>ROUND(VLOOKUP($G338,factors,+M$375,FALSE)*$I338,0)</f>
        <v>2418387</v>
      </c>
      <c r="N338" s="1030"/>
      <c r="O338" s="1030">
        <f>ROUND(VLOOKUP($G338,factors,+O$375,FALSE)*$I338,0)</f>
        <v>604597</v>
      </c>
      <c r="P338" s="1030"/>
      <c r="Q338" s="1030">
        <f>ROUND(VLOOKUP($G338,factors,+Q$375,FALSE)*$I338,0)</f>
        <v>713424</v>
      </c>
      <c r="R338" s="1030"/>
      <c r="S338" s="1030">
        <f>ROUND(VLOOKUP($G338,factors,+S$375,FALSE)*$I338,0)</f>
        <v>918987</v>
      </c>
      <c r="T338" s="1030"/>
      <c r="U338" s="1036">
        <f>ROUND(VLOOKUP($G338,factors,+U$375,FALSE)*$I338,0)</f>
        <v>418381</v>
      </c>
      <c r="V338" s="1030"/>
      <c r="W338" s="1030">
        <f>ROUND(VLOOKUP($G338,factors,+W$375,FALSE)*$I338,0)</f>
        <v>8955287</v>
      </c>
      <c r="X338" s="1030"/>
      <c r="Y338" s="1030">
        <f>ROUND(VLOOKUP($G338,factors,+Y$375,FALSE)*$I338,0)</f>
        <v>1656595</v>
      </c>
      <c r="Z338" s="1030"/>
      <c r="AA338" s="1030">
        <f>ROUND(VLOOKUP($G338,factors,+AA$375,FALSE)*$I338,0)</f>
        <v>251512</v>
      </c>
      <c r="AB338" s="1030"/>
      <c r="AC338" s="1030">
        <f>ROUND(VLOOKUP($G338,factors,+AC$375,FALSE)*$I338,0)</f>
        <v>140266</v>
      </c>
      <c r="AD338" s="1030"/>
      <c r="AE338" s="1030">
        <f>ROUND(VLOOKUP($G338,factors,+AE$375,FALSE)*$I338,0)</f>
        <v>41113</v>
      </c>
      <c r="AF338" s="1030"/>
      <c r="AG338" s="1030">
        <f>ROUND(VLOOKUP($G338,factors,+AG$375,FALSE)*$I338,0)</f>
        <v>84644</v>
      </c>
      <c r="AH338" s="259"/>
      <c r="AI338" s="1025">
        <f>SUM(K338:AG338)-I338</f>
        <v>-0.92778241634368896</v>
      </c>
    </row>
    <row r="339" spans="1:42" s="87" customFormat="1" ht="15" customHeight="1">
      <c r="C339" s="1005">
        <v>391</v>
      </c>
      <c r="E339" s="219" t="s">
        <v>520</v>
      </c>
      <c r="F339" s="252"/>
      <c r="G339" s="376">
        <v>12</v>
      </c>
      <c r="H339" s="252"/>
      <c r="I339" s="450">
        <f>(+'Linkin (2)'!O130+'Linkin (2)'!O131)*B335</f>
        <v>574685.32673871785</v>
      </c>
      <c r="K339" s="1030">
        <f>ROUND(VLOOKUP($G339,factors,+K$375,FALSE)*$I339,0)</f>
        <v>189646</v>
      </c>
      <c r="L339" s="259"/>
      <c r="M339" s="1030">
        <f>ROUND(VLOOKUP($G339,factors,+M$375,FALSE)*$I339,0)</f>
        <v>57469</v>
      </c>
      <c r="N339" s="1030"/>
      <c r="O339" s="1030">
        <f>ROUND(VLOOKUP($G339,factors,+O$375,FALSE)*$I339,0)</f>
        <v>14367</v>
      </c>
      <c r="P339" s="1030"/>
      <c r="Q339" s="1030">
        <f>ROUND(VLOOKUP($G339,factors,+Q$375,FALSE)*$I339,0)</f>
        <v>16953</v>
      </c>
      <c r="R339" s="1030"/>
      <c r="S339" s="1030">
        <f>ROUND(VLOOKUP($G339,factors,+S$375,FALSE)*$I339,0)</f>
        <v>21838</v>
      </c>
      <c r="T339" s="1030"/>
      <c r="U339" s="1036">
        <f>ROUND(VLOOKUP($G339,factors,+U$375,FALSE)*$I339,0)</f>
        <v>9942</v>
      </c>
      <c r="V339" s="1030"/>
      <c r="W339" s="1030">
        <f>ROUND(VLOOKUP($G339,factors,+W$375,FALSE)*$I339,0)</f>
        <v>212806</v>
      </c>
      <c r="X339" s="1030"/>
      <c r="Y339" s="1030">
        <f>ROUND(VLOOKUP($G339,factors,+Y$375,FALSE)*$I339,0)</f>
        <v>39366</v>
      </c>
      <c r="Z339" s="1030"/>
      <c r="AA339" s="1030">
        <f>ROUND(VLOOKUP($G339,factors,+AA$375,FALSE)*$I339,0)</f>
        <v>5977</v>
      </c>
      <c r="AB339" s="1030"/>
      <c r="AC339" s="1030">
        <f>ROUND(VLOOKUP($G339,factors,+AC$375,FALSE)*$I339,0)</f>
        <v>3333</v>
      </c>
      <c r="AD339" s="1030"/>
      <c r="AE339" s="1030">
        <f>ROUND(VLOOKUP($G339,factors,+AE$375,FALSE)*$I339,0)</f>
        <v>977</v>
      </c>
      <c r="AF339" s="1030"/>
      <c r="AG339" s="1030">
        <f>ROUND(VLOOKUP($G339,factors,+AG$375,FALSE)*$I339,0)</f>
        <v>2011</v>
      </c>
      <c r="AH339" s="259"/>
      <c r="AI339" s="1025">
        <f>SUM(K339:AG339)-I339</f>
        <v>-0.32673871784936637</v>
      </c>
    </row>
    <row r="340" spans="1:42" s="87" customFormat="1" ht="15" customHeight="1">
      <c r="C340" s="1005">
        <v>392.1</v>
      </c>
      <c r="E340" s="219" t="s">
        <v>521</v>
      </c>
      <c r="F340" s="252"/>
      <c r="G340" s="376">
        <v>12</v>
      </c>
      <c r="H340" s="252"/>
      <c r="I340" s="451">
        <f>+'Linkin (2)'!O132*B335</f>
        <v>605.745478854461</v>
      </c>
      <c r="K340" s="1032">
        <f>ROUND(VLOOKUP($G340,factors,+K$375,FALSE)*$I340,0)</f>
        <v>200</v>
      </c>
      <c r="L340" s="259"/>
      <c r="M340" s="1032">
        <f>ROUND(VLOOKUP($G340,factors,+M$375,FALSE)*$I340,0)</f>
        <v>61</v>
      </c>
      <c r="N340" s="1030"/>
      <c r="O340" s="1032">
        <f>ROUND(VLOOKUP($G340,factors,+O$375,FALSE)*$I340,0)</f>
        <v>15</v>
      </c>
      <c r="P340" s="1030"/>
      <c r="Q340" s="1032">
        <f>ROUND(VLOOKUP($G340,factors,+Q$375,FALSE)*$I340,0)</f>
        <v>18</v>
      </c>
      <c r="R340" s="1030"/>
      <c r="S340" s="1032">
        <f>ROUND(VLOOKUP($G340,factors,+S$375,FALSE)*$I340,0)</f>
        <v>23</v>
      </c>
      <c r="T340" s="1030"/>
      <c r="U340" s="1051">
        <f>ROUND(VLOOKUP($G340,factors,+U$375,FALSE)*$I340,0)</f>
        <v>10</v>
      </c>
      <c r="V340" s="1030"/>
      <c r="W340" s="1032">
        <f>ROUND(VLOOKUP($G340,factors,+W$375,FALSE)*$I340,0)</f>
        <v>224</v>
      </c>
      <c r="X340" s="1030"/>
      <c r="Y340" s="1032">
        <f>ROUND(VLOOKUP($G340,factors,+Y$375,FALSE)*$I340,0)</f>
        <v>41</v>
      </c>
      <c r="Z340" s="1030"/>
      <c r="AA340" s="1032">
        <f>ROUND(VLOOKUP($G340,factors,+AA$375,FALSE)*$I340,0)</f>
        <v>6</v>
      </c>
      <c r="AB340" s="1030"/>
      <c r="AC340" s="1032">
        <f>ROUND(VLOOKUP($G340,factors,+AC$375,FALSE)*$I340,0)</f>
        <v>4</v>
      </c>
      <c r="AD340" s="1030"/>
      <c r="AE340" s="1032">
        <f>ROUND(VLOOKUP($G340,factors,+AE$375,FALSE)*$I340,0)</f>
        <v>1</v>
      </c>
      <c r="AF340" s="1030"/>
      <c r="AG340" s="1032">
        <f>ROUND(VLOOKUP($G340,factors,+AG$375,FALSE)*$I340,0)</f>
        <v>2</v>
      </c>
      <c r="AH340" s="259"/>
      <c r="AI340" s="1025">
        <f>SUM(K340:AG340)-I340</f>
        <v>-0.74547885446099826</v>
      </c>
    </row>
    <row r="341" spans="1:42" s="87" customFormat="1" ht="15" customHeight="1">
      <c r="B341" s="1073">
        <f>+'Linkin (2)'!O135+('Linkin (2)'!K127+'Linkin (2)'!K128)*B335</f>
        <v>31025376.115157209</v>
      </c>
      <c r="C341" s="252"/>
      <c r="D341" s="1"/>
      <c r="E341" s="452" t="s">
        <v>519</v>
      </c>
      <c r="F341" s="252"/>
      <c r="G341" s="444"/>
      <c r="H341" s="252"/>
      <c r="I341" s="450">
        <f>SUM(I336:I340)</f>
        <v>31025375.2508572</v>
      </c>
      <c r="J341" s="450"/>
      <c r="K341" s="450">
        <f t="shared" ref="K341:AH341" si="276">SUM(K336:K340)</f>
        <v>10233667</v>
      </c>
      <c r="L341" s="450">
        <f t="shared" si="276"/>
        <v>0</v>
      </c>
      <c r="M341" s="450">
        <f t="shared" si="276"/>
        <v>3111042</v>
      </c>
      <c r="N341" s="450">
        <f t="shared" si="276"/>
        <v>0</v>
      </c>
      <c r="O341" s="450">
        <f t="shared" si="276"/>
        <v>778190</v>
      </c>
      <c r="P341" s="450">
        <f t="shared" si="276"/>
        <v>0</v>
      </c>
      <c r="Q341" s="450">
        <f t="shared" si="276"/>
        <v>918087</v>
      </c>
      <c r="R341" s="450">
        <f t="shared" si="276"/>
        <v>0</v>
      </c>
      <c r="S341" s="450">
        <f t="shared" si="276"/>
        <v>1178681</v>
      </c>
      <c r="T341" s="450">
        <f t="shared" si="276"/>
        <v>0</v>
      </c>
      <c r="U341" s="450">
        <f t="shared" si="276"/>
        <v>537771</v>
      </c>
      <c r="V341" s="450">
        <f t="shared" si="276"/>
        <v>0</v>
      </c>
      <c r="W341" s="450">
        <f t="shared" si="276"/>
        <v>11481052</v>
      </c>
      <c r="X341" s="450">
        <f t="shared" si="276"/>
        <v>0</v>
      </c>
      <c r="Y341" s="450">
        <f t="shared" si="276"/>
        <v>2124046</v>
      </c>
      <c r="Z341" s="450">
        <f t="shared" si="276"/>
        <v>0</v>
      </c>
      <c r="AA341" s="450">
        <f t="shared" si="276"/>
        <v>322148</v>
      </c>
      <c r="AB341" s="450">
        <f t="shared" si="276"/>
        <v>0</v>
      </c>
      <c r="AC341" s="450">
        <f t="shared" si="276"/>
        <v>179652</v>
      </c>
      <c r="AD341" s="450">
        <f t="shared" si="276"/>
        <v>0</v>
      </c>
      <c r="AE341" s="450">
        <f t="shared" si="276"/>
        <v>52621</v>
      </c>
      <c r="AF341" s="450">
        <f t="shared" si="276"/>
        <v>0</v>
      </c>
      <c r="AG341" s="450">
        <f t="shared" si="276"/>
        <v>108417</v>
      </c>
      <c r="AH341" s="450">
        <f t="shared" si="276"/>
        <v>0</v>
      </c>
      <c r="AI341" s="1025">
        <f>SUM(K341:AG341)-I341</f>
        <v>-1.250857200473547</v>
      </c>
    </row>
    <row r="342" spans="1:42" s="87" customFormat="1" ht="9" customHeight="1">
      <c r="B342" s="252"/>
      <c r="C342" s="252"/>
      <c r="E342" s="443"/>
      <c r="F342" s="252"/>
      <c r="G342" s="444"/>
      <c r="H342" s="252"/>
      <c r="I342" s="450"/>
      <c r="K342" s="1033"/>
      <c r="M342" s="1033"/>
      <c r="O342" s="1033"/>
      <c r="Q342" s="1033"/>
      <c r="S342" s="1033"/>
      <c r="T342" s="1033"/>
      <c r="U342" s="1036"/>
      <c r="W342" s="1033"/>
      <c r="Y342" s="1033"/>
      <c r="AA342" s="1033"/>
      <c r="AC342" s="1033"/>
      <c r="AE342" s="1033"/>
      <c r="AG342" s="1033"/>
      <c r="AH342" s="145"/>
      <c r="AI342" s="1025"/>
    </row>
    <row r="343" spans="1:42" s="87" customFormat="1" ht="15" customHeight="1">
      <c r="B343" s="252"/>
      <c r="C343" s="443" t="s">
        <v>820</v>
      </c>
      <c r="E343" s="443"/>
      <c r="F343" s="252"/>
      <c r="G343" s="444"/>
      <c r="H343" s="252"/>
      <c r="I343" s="450"/>
      <c r="K343" s="1033"/>
      <c r="M343" s="1033"/>
      <c r="O343" s="1033"/>
      <c r="Q343" s="1033"/>
      <c r="S343" s="1033"/>
      <c r="T343" s="1033"/>
      <c r="U343" s="1036"/>
      <c r="W343" s="1033"/>
      <c r="Y343" s="1033"/>
      <c r="AA343" s="1033"/>
      <c r="AC343" s="1033"/>
      <c r="AE343" s="1033"/>
      <c r="AG343" s="1033"/>
      <c r="AH343" s="145"/>
      <c r="AI343" s="1025"/>
    </row>
    <row r="344" spans="1:42" s="87" customFormat="1" ht="15" customHeight="1">
      <c r="B344" s="252">
        <v>0.94119998216807998</v>
      </c>
      <c r="C344" s="376">
        <v>391</v>
      </c>
      <c r="E344" s="219" t="s">
        <v>520</v>
      </c>
      <c r="F344" s="252"/>
      <c r="G344" s="376">
        <v>12</v>
      </c>
      <c r="H344" s="252"/>
      <c r="I344" s="450">
        <f>(+'Linkin (2)'!O138+'Linkin (2)'!O139)*B344</f>
        <v>5714027.9153423598</v>
      </c>
      <c r="J344" s="259"/>
      <c r="K344" s="1030">
        <f>ROUND(VLOOKUP($G344,factors,+K$375,FALSE)*$I344,0)</f>
        <v>1885629</v>
      </c>
      <c r="L344" s="259"/>
      <c r="M344" s="1030">
        <f>ROUND(VLOOKUP($G344,factors,+M$375,FALSE)*$I344,0)</f>
        <v>571403</v>
      </c>
      <c r="N344" s="1030"/>
      <c r="O344" s="1030">
        <f>ROUND(VLOOKUP($G344,factors,+O$375,FALSE)*$I344,0)</f>
        <v>142851</v>
      </c>
      <c r="P344" s="1030"/>
      <c r="Q344" s="1030">
        <f>ROUND(VLOOKUP($G344,factors,+Q$375,FALSE)*$I344,0)</f>
        <v>168564</v>
      </c>
      <c r="R344" s="1030"/>
      <c r="S344" s="1030">
        <f>ROUND(VLOOKUP($G344,factors,+S$375,FALSE)*$I344,0)</f>
        <v>217133</v>
      </c>
      <c r="T344" s="1030"/>
      <c r="U344" s="1036">
        <f>ROUND(VLOOKUP($G344,factors,+U$375,FALSE)*$I344,0)</f>
        <v>98853</v>
      </c>
      <c r="V344" s="1030"/>
      <c r="W344" s="1030">
        <f>ROUND(VLOOKUP($G344,factors,+W$375,FALSE)*$I344,0)</f>
        <v>2115905</v>
      </c>
      <c r="X344" s="1030"/>
      <c r="Y344" s="1030">
        <f>ROUND(VLOOKUP($G344,factors,+Y$375,FALSE)*$I344,0)</f>
        <v>391411</v>
      </c>
      <c r="Z344" s="1030"/>
      <c r="AA344" s="1030">
        <f>ROUND(VLOOKUP($G344,factors,+AA$375,FALSE)*$I344,0)</f>
        <v>59426</v>
      </c>
      <c r="AB344" s="1030"/>
      <c r="AC344" s="1030">
        <f>ROUND(VLOOKUP($G344,factors,+AC$375,FALSE)*$I344,0)</f>
        <v>33141</v>
      </c>
      <c r="AD344" s="1030"/>
      <c r="AE344" s="1030">
        <f>ROUND(VLOOKUP($G344,factors,+AE$375,FALSE)*$I344,0)</f>
        <v>9714</v>
      </c>
      <c r="AF344" s="1030"/>
      <c r="AG344" s="1030">
        <f>ROUND(VLOOKUP($G344,factors,+AG$375,FALSE)*$I344,0)</f>
        <v>19999</v>
      </c>
      <c r="AH344" s="259"/>
      <c r="AI344" s="1052">
        <f>SUM(K344:AG344)-I344</f>
        <v>1.084657640196383</v>
      </c>
      <c r="AJ344" s="259"/>
      <c r="AK344" s="259"/>
      <c r="AL344" s="259"/>
      <c r="AM344" s="259"/>
      <c r="AN344" s="259"/>
      <c r="AO344" s="259"/>
      <c r="AP344" s="259"/>
    </row>
    <row r="345" spans="1:42" s="87" customFormat="1" ht="15" customHeight="1">
      <c r="B345" s="252"/>
      <c r="C345" s="376">
        <v>391.1</v>
      </c>
      <c r="E345" s="219" t="s">
        <v>754</v>
      </c>
      <c r="F345" s="252"/>
      <c r="G345" s="376">
        <v>7</v>
      </c>
      <c r="H345" s="252"/>
      <c r="I345" s="450">
        <f>+'Linkin (2)'!O173*B344</f>
        <v>51374060.000831522</v>
      </c>
      <c r="J345" s="259"/>
      <c r="K345" s="1030">
        <f>ROUND(VLOOKUP($G345,factors,+K$375,FALSE)*$I345,0)</f>
        <v>0</v>
      </c>
      <c r="L345" s="259"/>
      <c r="M345" s="1030">
        <f>ROUND(VLOOKUP($G345,factors,+M$375,FALSE)*$I345,0)</f>
        <v>0</v>
      </c>
      <c r="N345" s="1030"/>
      <c r="O345" s="1030">
        <f>ROUND(VLOOKUP($G345,factors,+O$375,FALSE)*$I345,0)</f>
        <v>0</v>
      </c>
      <c r="P345" s="1030"/>
      <c r="Q345" s="1030">
        <f>ROUND(VLOOKUP($G345,factors,+Q$375,FALSE)*$I345,0)</f>
        <v>0</v>
      </c>
      <c r="R345" s="1030"/>
      <c r="S345" s="1030">
        <f>ROUND(VLOOKUP($G345,factors,+S$375,FALSE)*$I345,0)</f>
        <v>0</v>
      </c>
      <c r="T345" s="1030"/>
      <c r="U345" s="1036">
        <f>ROUND(VLOOKUP($G345,factors,+U$375,FALSE)*$I345,0)</f>
        <v>0</v>
      </c>
      <c r="V345" s="1030"/>
      <c r="W345" s="1030">
        <f>ROUND(VLOOKUP($G345,factors,+W$375,FALSE)*$I345,0)</f>
        <v>45856486</v>
      </c>
      <c r="X345" s="1030"/>
      <c r="Y345" s="1030">
        <f>ROUND(VLOOKUP($G345,factors,+Y$375,FALSE)*$I345,0)</f>
        <v>5322353</v>
      </c>
      <c r="Z345" s="1030"/>
      <c r="AA345" s="1030">
        <f>ROUND(VLOOKUP($G345,factors,+AA$375,FALSE)*$I345,0)</f>
        <v>118160</v>
      </c>
      <c r="AB345" s="1030"/>
      <c r="AC345" s="1030">
        <f>ROUND(VLOOKUP($G345,factors,+AC$375,FALSE)*$I345,0)</f>
        <v>41099</v>
      </c>
      <c r="AD345" s="1030"/>
      <c r="AE345" s="1030">
        <f>ROUND(VLOOKUP($G345,factors,+AE$375,FALSE)*$I345,0)</f>
        <v>5137</v>
      </c>
      <c r="AF345" s="1030"/>
      <c r="AG345" s="1030">
        <f>ROUND(VLOOKUP($G345,factors,+AG$375,FALSE)*$I345,0)</f>
        <v>30824</v>
      </c>
      <c r="AH345" s="259"/>
      <c r="AI345" s="1052">
        <f>SUM(K345:AG345)-I345</f>
        <v>-1.0008315220475197</v>
      </c>
      <c r="AJ345" s="259"/>
      <c r="AK345" s="259"/>
      <c r="AL345" s="259"/>
      <c r="AM345" s="259"/>
      <c r="AN345" s="259"/>
      <c r="AO345" s="259"/>
      <c r="AP345" s="259"/>
    </row>
    <row r="346" spans="1:42" s="87" customFormat="1" ht="15" customHeight="1">
      <c r="B346" s="252"/>
      <c r="C346" s="376">
        <v>391.2</v>
      </c>
      <c r="E346" s="219" t="s">
        <v>747</v>
      </c>
      <c r="F346" s="252"/>
      <c r="G346" s="376">
        <v>12</v>
      </c>
      <c r="H346" s="252"/>
      <c r="I346" s="1034">
        <f>+('Linkin (2)'!O140+'Linkin (2)'!O141+'Linkin (2)'!O142)*B344-I345</f>
        <v>127013728.90864384</v>
      </c>
      <c r="K346" s="1030">
        <f>ROUND(VLOOKUP($G346,factors,+K$375,FALSE)*$I346,0)</f>
        <v>41914531</v>
      </c>
      <c r="L346" s="259"/>
      <c r="M346" s="1030">
        <f>ROUND(VLOOKUP($G346,factors,+M$375,FALSE)*$I346,0)</f>
        <v>12701373</v>
      </c>
      <c r="N346" s="1030"/>
      <c r="O346" s="1030">
        <f>ROUND(VLOOKUP($G346,factors,+O$375,FALSE)*$I346,0)</f>
        <v>3175343</v>
      </c>
      <c r="P346" s="1030"/>
      <c r="Q346" s="1030">
        <f>ROUND(VLOOKUP($G346,factors,+Q$375,FALSE)*$I346,0)</f>
        <v>3746905</v>
      </c>
      <c r="R346" s="1030"/>
      <c r="S346" s="1030">
        <f>ROUND(VLOOKUP($G346,factors,+S$375,FALSE)*$I346,0)</f>
        <v>4826522</v>
      </c>
      <c r="T346" s="1030"/>
      <c r="U346" s="1036">
        <f>ROUND(VLOOKUP($G346,factors,+U$375,FALSE)*$I346,0)</f>
        <v>2197338</v>
      </c>
      <c r="V346" s="1030"/>
      <c r="W346" s="1030">
        <f>ROUND(VLOOKUP($G346,factors,+W$375,FALSE)*$I346,0)</f>
        <v>47033184</v>
      </c>
      <c r="X346" s="1030"/>
      <c r="Y346" s="1030">
        <f>ROUND(VLOOKUP($G346,factors,+Y$375,FALSE)*$I346,0)</f>
        <v>8700440</v>
      </c>
      <c r="Z346" s="1030"/>
      <c r="AA346" s="1030">
        <f>ROUND(VLOOKUP($G346,factors,+AA$375,FALSE)*$I346,0)</f>
        <v>1320943</v>
      </c>
      <c r="AB346" s="1030"/>
      <c r="AC346" s="1030">
        <f>ROUND(VLOOKUP($G346,factors,+AC$375,FALSE)*$I346,0)</f>
        <v>736680</v>
      </c>
      <c r="AD346" s="1030"/>
      <c r="AE346" s="1030">
        <f>ROUND(VLOOKUP($G346,factors,+AE$375,FALSE)*$I346,0)</f>
        <v>215923</v>
      </c>
      <c r="AF346" s="1030"/>
      <c r="AG346" s="1030">
        <f>ROUND(VLOOKUP($G346,factors,+AG$375,FALSE)*$I346,0)</f>
        <v>444548</v>
      </c>
      <c r="AH346" s="259"/>
      <c r="AI346" s="1025"/>
    </row>
    <row r="347" spans="1:42" s="87" customFormat="1" ht="15" customHeight="1">
      <c r="A347" s="1053">
        <f>'Linkin (2)'!O145-I347</f>
        <v>3.487982302904129</v>
      </c>
      <c r="B347" s="745">
        <f>+'Linkin (2)'!O145</f>
        <v>184101820.31280002</v>
      </c>
      <c r="C347" s="252"/>
      <c r="E347" s="443" t="s">
        <v>524</v>
      </c>
      <c r="F347" s="252"/>
      <c r="G347" s="376"/>
      <c r="H347" s="252"/>
      <c r="I347" s="760">
        <f>SUM(I344:I346)</f>
        <v>184101816.82481772</v>
      </c>
      <c r="J347" s="252"/>
      <c r="K347" s="760">
        <f t="shared" ref="K347" si="277">SUM(K344:K346)</f>
        <v>43800160</v>
      </c>
      <c r="L347" s="252"/>
      <c r="M347" s="760">
        <f t="shared" ref="M347" si="278">SUM(M344:M346)</f>
        <v>13272776</v>
      </c>
      <c r="N347" s="252"/>
      <c r="O347" s="760">
        <f t="shared" ref="O347" si="279">SUM(O344:O346)</f>
        <v>3318194</v>
      </c>
      <c r="P347" s="252"/>
      <c r="Q347" s="760">
        <f t="shared" ref="Q347" si="280">SUM(Q344:Q346)</f>
        <v>3915469</v>
      </c>
      <c r="R347" s="252"/>
      <c r="S347" s="760">
        <f t="shared" ref="S347" si="281">SUM(S344:S346)</f>
        <v>5043655</v>
      </c>
      <c r="T347" s="252"/>
      <c r="U347" s="760">
        <f t="shared" ref="U347" si="282">SUM(U344:U346)</f>
        <v>2296191</v>
      </c>
      <c r="V347" s="252"/>
      <c r="W347" s="760">
        <f t="shared" ref="W347" si="283">SUM(W344:W346)</f>
        <v>95005575</v>
      </c>
      <c r="X347" s="252"/>
      <c r="Y347" s="760">
        <f t="shared" ref="Y347" si="284">SUM(Y344:Y346)</f>
        <v>14414204</v>
      </c>
      <c r="Z347" s="252"/>
      <c r="AA347" s="760">
        <f t="shared" ref="AA347" si="285">SUM(AA344:AA346)</f>
        <v>1498529</v>
      </c>
      <c r="AB347" s="252"/>
      <c r="AC347" s="760">
        <f t="shared" ref="AC347" si="286">SUM(AC344:AC346)</f>
        <v>810920</v>
      </c>
      <c r="AD347" s="252"/>
      <c r="AE347" s="760">
        <f t="shared" ref="AE347" si="287">SUM(AE344:AE346)</f>
        <v>230774</v>
      </c>
      <c r="AF347" s="252"/>
      <c r="AG347" s="760">
        <f t="shared" ref="AG347" si="288">SUM(AG344:AG346)</f>
        <v>495371</v>
      </c>
      <c r="AH347" s="145"/>
      <c r="AI347" s="1025">
        <f>SUM(K347:AG347)-I347</f>
        <v>1.1751822829246521</v>
      </c>
    </row>
    <row r="348" spans="1:42" s="87" customFormat="1" ht="9" customHeight="1">
      <c r="B348" s="252"/>
      <c r="C348" s="252"/>
      <c r="E348" s="443"/>
      <c r="F348" s="252"/>
      <c r="G348" s="376"/>
      <c r="H348" s="252"/>
      <c r="I348" s="450"/>
      <c r="K348" s="1033"/>
      <c r="M348" s="1033"/>
      <c r="O348" s="1033"/>
      <c r="Q348" s="1033"/>
      <c r="S348" s="1033"/>
      <c r="T348" s="1033"/>
      <c r="U348" s="1036"/>
      <c r="W348" s="1033"/>
      <c r="Y348" s="1033"/>
      <c r="AA348" s="1033"/>
      <c r="AC348" s="1033"/>
      <c r="AE348" s="1033"/>
      <c r="AG348" s="1033"/>
      <c r="AH348" s="145"/>
      <c r="AI348" s="1025"/>
    </row>
    <row r="349" spans="1:42" s="87" customFormat="1" ht="7.15" customHeight="1">
      <c r="B349" s="252"/>
      <c r="C349" s="1074"/>
      <c r="E349" s="252"/>
      <c r="F349" s="252"/>
      <c r="G349" s="376"/>
      <c r="H349" s="252"/>
      <c r="I349" s="450"/>
      <c r="K349" s="1030"/>
      <c r="L349" s="259"/>
      <c r="M349" s="1030"/>
      <c r="N349" s="1030"/>
      <c r="O349" s="1030"/>
      <c r="P349" s="1030"/>
      <c r="Q349" s="1030"/>
      <c r="R349" s="1030"/>
      <c r="S349" s="1030"/>
      <c r="T349" s="1030"/>
      <c r="U349" s="1036"/>
      <c r="V349" s="1030"/>
      <c r="W349" s="1030"/>
      <c r="X349" s="1030"/>
      <c r="Y349" s="1030"/>
      <c r="Z349" s="1030"/>
      <c r="AA349" s="1030"/>
      <c r="AB349" s="1030"/>
      <c r="AC349" s="1030"/>
      <c r="AD349" s="1030"/>
      <c r="AE349" s="1030"/>
      <c r="AF349" s="1030"/>
      <c r="AG349" s="1030"/>
      <c r="AH349" s="259"/>
      <c r="AI349" s="1025"/>
    </row>
    <row r="350" spans="1:42" s="87" customFormat="1" ht="15" customHeight="1">
      <c r="B350" s="252"/>
      <c r="C350" s="443" t="s">
        <v>278</v>
      </c>
      <c r="E350" s="252"/>
      <c r="F350" s="252"/>
      <c r="G350" s="376"/>
      <c r="H350" s="252"/>
      <c r="I350" s="254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296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025">
        <f t="shared" ref="AI350:AI371" si="289">SUM(K350:AG350)-I350</f>
        <v>0</v>
      </c>
    </row>
    <row r="351" spans="1:42" s="87" customFormat="1" ht="4.9000000000000004" customHeight="1">
      <c r="B351" s="252"/>
      <c r="C351" s="252" t="s">
        <v>258</v>
      </c>
      <c r="E351" s="252"/>
      <c r="F351" s="252"/>
      <c r="G351" s="376"/>
      <c r="H351" s="252"/>
      <c r="I351" s="254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296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025">
        <f t="shared" si="289"/>
        <v>0</v>
      </c>
    </row>
    <row r="352" spans="1:42" s="87" customFormat="1" ht="15" customHeight="1">
      <c r="B352" s="252"/>
      <c r="C352" s="376">
        <v>301</v>
      </c>
      <c r="E352" s="252" t="s">
        <v>596</v>
      </c>
      <c r="F352" s="252"/>
      <c r="G352" s="376">
        <v>14</v>
      </c>
      <c r="H352" s="252"/>
      <c r="I352" s="379">
        <f>+'Linkin (2)'!K108</f>
        <v>166477</v>
      </c>
      <c r="J352" s="145"/>
      <c r="K352" s="172">
        <f>ROUND(VLOOKUP($G352,factors,+K$375,FALSE)*$I352,0)</f>
        <v>48561</v>
      </c>
      <c r="M352" s="172">
        <f>ROUND(VLOOKUP($G352,factors,+M$375,FALSE)*$I352,0)</f>
        <v>28168</v>
      </c>
      <c r="N352" s="172"/>
      <c r="O352" s="172">
        <f>ROUND(VLOOKUP($G352,factors,+O$375,FALSE)*$I352,0)</f>
        <v>7625</v>
      </c>
      <c r="P352" s="172"/>
      <c r="Q352" s="172">
        <f>ROUND(VLOOKUP($G352,factors,+Q$375,FALSE)*$I352,0)</f>
        <v>8757</v>
      </c>
      <c r="R352" s="172"/>
      <c r="S352" s="172">
        <f>ROUND(VLOOKUP($G352,factors,+S$375,FALSE)*$I352,0)</f>
        <v>5943</v>
      </c>
      <c r="T352" s="172"/>
      <c r="U352" s="296">
        <f>ROUND(VLOOKUP($G352,factors,+U$375,FALSE)*$I352,0)</f>
        <v>4278</v>
      </c>
      <c r="V352" s="172"/>
      <c r="W352" s="172">
        <f>ROUND(VLOOKUP($G352,factors,+W$375,FALSE)*$I352,0)</f>
        <v>51292</v>
      </c>
      <c r="X352" s="172"/>
      <c r="Y352" s="172">
        <f>ROUND(VLOOKUP($G352,factors,+Y$375,FALSE)*$I352,0)</f>
        <v>9789</v>
      </c>
      <c r="Z352" s="172"/>
      <c r="AA352" s="172">
        <f>ROUND(VLOOKUP($G352,factors,+AA$375,FALSE)*$I352,0)</f>
        <v>1032</v>
      </c>
      <c r="AB352" s="172"/>
      <c r="AC352" s="172">
        <f>ROUND(VLOOKUP($G352,factors,+AC$375,FALSE)*$I352,0)</f>
        <v>566</v>
      </c>
      <c r="AD352" s="172"/>
      <c r="AE352" s="172">
        <f>ROUND(VLOOKUP($G352,factors,+AE$375,FALSE)*$I352,0)</f>
        <v>117</v>
      </c>
      <c r="AF352" s="172"/>
      <c r="AG352" s="172">
        <f>ROUND(VLOOKUP($G352,factors,+AG$375,FALSE)*$I352,0)</f>
        <v>350</v>
      </c>
      <c r="AI352" s="1025">
        <f t="shared" si="289"/>
        <v>1</v>
      </c>
    </row>
    <row r="353" spans="2:35" s="87" customFormat="1" ht="15" customHeight="1">
      <c r="B353" s="252"/>
      <c r="C353" s="376">
        <v>302</v>
      </c>
      <c r="E353" s="252" t="s">
        <v>525</v>
      </c>
      <c r="F353" s="252"/>
      <c r="G353" s="376">
        <v>14</v>
      </c>
      <c r="H353" s="252"/>
      <c r="I353" s="254">
        <f>+'Linkin (2)'!K109</f>
        <v>193597</v>
      </c>
      <c r="J353" s="145"/>
      <c r="K353" s="172">
        <f>ROUND(VLOOKUP($G353,factors,+K$375,FALSE)*$I353,0)</f>
        <v>56472</v>
      </c>
      <c r="M353" s="172">
        <f>ROUND(VLOOKUP($G353,factors,+M$375,FALSE)*$I353,0)</f>
        <v>32757</v>
      </c>
      <c r="N353" s="172"/>
      <c r="O353" s="172">
        <f>ROUND(VLOOKUP($G353,factors,+O$375,FALSE)*$I353,0)</f>
        <v>8867</v>
      </c>
      <c r="P353" s="172"/>
      <c r="Q353" s="172">
        <f>ROUND(VLOOKUP($G353,factors,+Q$375,FALSE)*$I353,0)</f>
        <v>10183</v>
      </c>
      <c r="R353" s="172"/>
      <c r="S353" s="172">
        <f>ROUND(VLOOKUP($G353,factors,+S$375,FALSE)*$I353,0)</f>
        <v>6911</v>
      </c>
      <c r="T353" s="172"/>
      <c r="U353" s="296">
        <f>ROUND(VLOOKUP($G353,factors,+U$375,FALSE)*$I353,0)</f>
        <v>4975</v>
      </c>
      <c r="V353" s="172"/>
      <c r="W353" s="172">
        <f>ROUND(VLOOKUP($G353,factors,+W$375,FALSE)*$I353,0)</f>
        <v>59647</v>
      </c>
      <c r="X353" s="172"/>
      <c r="Y353" s="172">
        <f>ROUND(VLOOKUP($G353,factors,+Y$375,FALSE)*$I353,0)</f>
        <v>11384</v>
      </c>
      <c r="Z353" s="172"/>
      <c r="AA353" s="172">
        <f>ROUND(VLOOKUP($G353,factors,+AA$375,FALSE)*$I353,0)</f>
        <v>1200</v>
      </c>
      <c r="AB353" s="172"/>
      <c r="AC353" s="172">
        <f>ROUND(VLOOKUP($G353,factors,+AC$375,FALSE)*$I353,0)</f>
        <v>658</v>
      </c>
      <c r="AD353" s="172"/>
      <c r="AE353" s="172">
        <f>ROUND(VLOOKUP($G353,factors,+AE$375,FALSE)*$I353,0)</f>
        <v>136</v>
      </c>
      <c r="AF353" s="172"/>
      <c r="AG353" s="172">
        <f>ROUND(VLOOKUP($G353,factors,+AG$375,FALSE)*$I353,0)</f>
        <v>407</v>
      </c>
      <c r="AI353" s="1025">
        <f t="shared" si="289"/>
        <v>0</v>
      </c>
    </row>
    <row r="354" spans="2:35" s="87" customFormat="1" ht="15" customHeight="1">
      <c r="B354" s="252"/>
      <c r="C354" s="376">
        <v>303</v>
      </c>
      <c r="E354" s="252" t="s">
        <v>751</v>
      </c>
      <c r="F354" s="252"/>
      <c r="G354" s="376">
        <v>14</v>
      </c>
      <c r="H354" s="252"/>
      <c r="I354" s="254">
        <f>+'Linkin (2)'!K110</f>
        <v>289868</v>
      </c>
      <c r="J354" s="145"/>
      <c r="K354" s="172">
        <f>ROUND(VLOOKUP($G354,factors,+K$375,FALSE)*$I354,0)</f>
        <v>84554</v>
      </c>
      <c r="M354" s="172">
        <f>ROUND(VLOOKUP($G354,factors,+M$375,FALSE)*$I354,0)</f>
        <v>49046</v>
      </c>
      <c r="N354" s="172"/>
      <c r="O354" s="172">
        <f>ROUND(VLOOKUP($G354,factors,+O$375,FALSE)*$I354,0)</f>
        <v>13276</v>
      </c>
      <c r="P354" s="172"/>
      <c r="Q354" s="172">
        <f>ROUND(VLOOKUP($G354,factors,+Q$375,FALSE)*$I354,0)</f>
        <v>15247</v>
      </c>
      <c r="R354" s="172"/>
      <c r="S354" s="172">
        <f>ROUND(VLOOKUP($G354,factors,+S$375,FALSE)*$I354,0)</f>
        <v>10348</v>
      </c>
      <c r="T354" s="172"/>
      <c r="U354" s="296">
        <f>ROUND(VLOOKUP($G354,factors,+U$375,FALSE)*$I354,0)</f>
        <v>7450</v>
      </c>
      <c r="V354" s="172"/>
      <c r="W354" s="172">
        <f>ROUND(VLOOKUP($G354,factors,+W$375,FALSE)*$I354,0)</f>
        <v>89308</v>
      </c>
      <c r="X354" s="172"/>
      <c r="Y354" s="172">
        <f>ROUND(VLOOKUP($G354,factors,+Y$375,FALSE)*$I354,0)</f>
        <v>17044</v>
      </c>
      <c r="Z354" s="172"/>
      <c r="AA354" s="172">
        <f>ROUND(VLOOKUP($G354,factors,+AA$375,FALSE)*$I354,0)</f>
        <v>1797</v>
      </c>
      <c r="AB354" s="172"/>
      <c r="AC354" s="172">
        <f>ROUND(VLOOKUP($G354,factors,+AC$375,FALSE)*$I354,0)</f>
        <v>986</v>
      </c>
      <c r="AD354" s="172"/>
      <c r="AE354" s="172">
        <f>ROUND(VLOOKUP($G354,factors,+AE$375,FALSE)*$I354,0)</f>
        <v>203</v>
      </c>
      <c r="AF354" s="172"/>
      <c r="AG354" s="172">
        <f>ROUND(VLOOKUP($G354,factors,+AG$375,FALSE)*$I354,0)</f>
        <v>609</v>
      </c>
      <c r="AI354" s="1025">
        <f t="shared" ref="AI354" si="290">SUM(K354:AG354)-I354</f>
        <v>0</v>
      </c>
    </row>
    <row r="355" spans="2:35" s="87" customFormat="1" ht="15" customHeight="1">
      <c r="B355" s="252"/>
      <c r="C355" s="376">
        <v>304</v>
      </c>
      <c r="E355" s="252" t="s">
        <v>526</v>
      </c>
      <c r="F355" s="252"/>
      <c r="G355" s="376">
        <v>14</v>
      </c>
      <c r="H355" s="252"/>
      <c r="I355" s="254">
        <f>+'Linkin (2)'!K111+'Linkin (2)'!K112</f>
        <v>381652</v>
      </c>
      <c r="J355" s="145"/>
      <c r="K355" s="172">
        <f>ROUND(VLOOKUP($G355,factors,+K$375,FALSE)*$I355,0)</f>
        <v>111328</v>
      </c>
      <c r="M355" s="172">
        <f>ROUND(VLOOKUP($G355,factors,+M$375,FALSE)*$I355,0)</f>
        <v>64576</v>
      </c>
      <c r="N355" s="172"/>
      <c r="O355" s="172">
        <f>ROUND(VLOOKUP($G355,factors,+O$375,FALSE)*$I355,0)</f>
        <v>17480</v>
      </c>
      <c r="P355" s="172"/>
      <c r="Q355" s="172">
        <f>ROUND(VLOOKUP($G355,factors,+Q$375,FALSE)*$I355,0)</f>
        <v>20075</v>
      </c>
      <c r="R355" s="172"/>
      <c r="S355" s="172">
        <f>ROUND(VLOOKUP($G355,factors,+S$375,FALSE)*$I355,0)</f>
        <v>13625</v>
      </c>
      <c r="T355" s="172"/>
      <c r="U355" s="296">
        <f>ROUND(VLOOKUP($G355,factors,+U$375,FALSE)*$I355,0)</f>
        <v>9808</v>
      </c>
      <c r="V355" s="172"/>
      <c r="W355" s="172">
        <f>ROUND(VLOOKUP($G355,factors,+W$375,FALSE)*$I355,0)</f>
        <v>117587</v>
      </c>
      <c r="X355" s="172"/>
      <c r="Y355" s="172">
        <f>ROUND(VLOOKUP($G355,factors,+Y$375,FALSE)*$I355,0)</f>
        <v>22441</v>
      </c>
      <c r="Z355" s="172"/>
      <c r="AA355" s="172">
        <f>ROUND(VLOOKUP($G355,factors,+AA$375,FALSE)*$I355,0)</f>
        <v>2366</v>
      </c>
      <c r="AB355" s="172"/>
      <c r="AC355" s="172">
        <f>ROUND(VLOOKUP($G355,factors,+AC$375,FALSE)*$I355,0)</f>
        <v>1298</v>
      </c>
      <c r="AD355" s="172"/>
      <c r="AE355" s="172">
        <f>ROUND(VLOOKUP($G355,factors,+AE$375,FALSE)*$I355,0)</f>
        <v>267</v>
      </c>
      <c r="AF355" s="172"/>
      <c r="AG355" s="172">
        <f>ROUND(VLOOKUP($G355,factors,+AG$375,FALSE)*$I355,0)</f>
        <v>801</v>
      </c>
      <c r="AI355" s="1025">
        <f t="shared" si="289"/>
        <v>0</v>
      </c>
    </row>
    <row r="356" spans="2:35" s="87" customFormat="1" ht="15" customHeight="1">
      <c r="B356" s="252"/>
      <c r="C356" s="376">
        <v>305</v>
      </c>
      <c r="E356" s="252" t="s">
        <v>529</v>
      </c>
      <c r="F356" s="252"/>
      <c r="G356" s="376">
        <v>1</v>
      </c>
      <c r="H356" s="252"/>
      <c r="I356" s="451"/>
      <c r="J356" s="145"/>
      <c r="K356" s="1032">
        <f>ROUND(VLOOKUP($G356,factors,+K$375,FALSE)*$I356,0)</f>
        <v>0</v>
      </c>
      <c r="M356" s="1032">
        <f>ROUND(VLOOKUP($G356,factors,+M$375,FALSE)*$I356,0)</f>
        <v>0</v>
      </c>
      <c r="N356" s="172"/>
      <c r="O356" s="1032">
        <f>ROUND(VLOOKUP($G356,factors,+O$375,FALSE)*$I356,0)</f>
        <v>0</v>
      </c>
      <c r="P356" s="1030"/>
      <c r="Q356" s="1032">
        <f>ROUND(VLOOKUP($G356,factors,+Q$375,FALSE)*$I356,0)</f>
        <v>0</v>
      </c>
      <c r="R356" s="172"/>
      <c r="S356" s="1032">
        <f>ROUND(VLOOKUP($G356,factors,+S$375,FALSE)*$I356,0)</f>
        <v>0</v>
      </c>
      <c r="T356" s="1030"/>
      <c r="U356" s="1051">
        <f>ROUND(VLOOKUP($G356,factors,+U$375,FALSE)*$I356,0)</f>
        <v>0</v>
      </c>
      <c r="V356" s="172"/>
      <c r="W356" s="1032">
        <f>ROUND(VLOOKUP($G356,factors,+W$375,FALSE)*$I356,0)</f>
        <v>0</v>
      </c>
      <c r="X356" s="172"/>
      <c r="Y356" s="1032">
        <f>ROUND(VLOOKUP($G356,factors,+Y$375,FALSE)*$I356,0)</f>
        <v>0</v>
      </c>
      <c r="Z356" s="172"/>
      <c r="AA356" s="1032">
        <f>ROUND(VLOOKUP($G356,factors,+AA$375,FALSE)*$I356,0)</f>
        <v>0</v>
      </c>
      <c r="AB356" s="1030"/>
      <c r="AC356" s="1032">
        <f>ROUND(VLOOKUP($G356,factors,+AC$375,FALSE)*$I356,0)</f>
        <v>0</v>
      </c>
      <c r="AD356" s="172"/>
      <c r="AE356" s="1032">
        <f>ROUND(VLOOKUP($G356,factors,+AE$375,FALSE)*$I356,0)</f>
        <v>0</v>
      </c>
      <c r="AF356" s="172"/>
      <c r="AG356" s="1032">
        <f>ROUND(VLOOKUP($G356,factors,+AG$375,FALSE)*$I356,0)</f>
        <v>0</v>
      </c>
      <c r="AI356" s="1025">
        <f t="shared" si="289"/>
        <v>0</v>
      </c>
    </row>
    <row r="357" spans="2:35" s="87" customFormat="1" ht="15" customHeight="1">
      <c r="B357" s="252"/>
      <c r="C357" s="252"/>
      <c r="E357" s="252" t="s">
        <v>259</v>
      </c>
      <c r="F357" s="252"/>
      <c r="G357" s="376"/>
      <c r="H357" s="252"/>
      <c r="I357" s="451">
        <f>SUM(I352:I356)</f>
        <v>1031594</v>
      </c>
      <c r="K357" s="237">
        <f>SUM(K352:K356)</f>
        <v>300915</v>
      </c>
      <c r="M357" s="237">
        <f>SUM(M352:M356)</f>
        <v>174547</v>
      </c>
      <c r="O357" s="237">
        <f>SUM(O352:O356)</f>
        <v>47248</v>
      </c>
      <c r="P357" s="1033"/>
      <c r="Q357" s="237">
        <f>SUM(Q352:Q356)</f>
        <v>54262</v>
      </c>
      <c r="S357" s="237">
        <f>SUM(S352:S356)</f>
        <v>36827</v>
      </c>
      <c r="T357" s="1033"/>
      <c r="U357" s="1051">
        <f>SUM(U352:U356)</f>
        <v>26511</v>
      </c>
      <c r="W357" s="237">
        <f>SUM(W352:W356)</f>
        <v>317834</v>
      </c>
      <c r="Y357" s="237">
        <f>SUM(Y352:Y356)</f>
        <v>60658</v>
      </c>
      <c r="AA357" s="237">
        <f>SUM(AA352:AA356)</f>
        <v>6395</v>
      </c>
      <c r="AB357" s="1033"/>
      <c r="AC357" s="237">
        <f>SUM(AC352:AC356)</f>
        <v>3508</v>
      </c>
      <c r="AE357" s="237">
        <f t="shared" ref="AE357" si="291">SUM(AE352:AE356)</f>
        <v>723</v>
      </c>
      <c r="AG357" s="237">
        <f t="shared" ref="AG357" si="292">SUM(AG352:AG356)</f>
        <v>2167</v>
      </c>
      <c r="AH357" s="237"/>
      <c r="AI357" s="1025">
        <f t="shared" si="289"/>
        <v>1</v>
      </c>
    </row>
    <row r="358" spans="2:35" s="87" customFormat="1" ht="15" customHeight="1">
      <c r="B358" s="252"/>
      <c r="C358" s="252"/>
      <c r="E358" s="252"/>
      <c r="F358" s="252"/>
      <c r="G358" s="376"/>
      <c r="H358" s="252"/>
      <c r="I358" s="254"/>
      <c r="U358" s="296"/>
      <c r="AI358" s="1025">
        <f t="shared" si="289"/>
        <v>0</v>
      </c>
    </row>
    <row r="359" spans="2:35" s="87" customFormat="1" ht="15" customHeight="1">
      <c r="B359" s="254"/>
      <c r="C359" s="252"/>
      <c r="E359" s="252" t="s">
        <v>241</v>
      </c>
      <c r="F359" s="252"/>
      <c r="G359" s="376"/>
      <c r="H359" s="252"/>
      <c r="I359" s="451">
        <f>+I357+I347+I341+I333</f>
        <v>3164180899.4832749</v>
      </c>
      <c r="J359" s="252"/>
      <c r="K359" s="451">
        <f t="shared" ref="K359" si="293">+K357+K347+K341+K333</f>
        <v>901380803</v>
      </c>
      <c r="L359" s="252"/>
      <c r="M359" s="451">
        <f t="shared" ref="M359" si="294">+M357+M347+M341+M333</f>
        <v>528021592</v>
      </c>
      <c r="N359" s="252"/>
      <c r="O359" s="451">
        <f t="shared" ref="O359" si="295">+O357+O347+O341+O333</f>
        <v>146481830</v>
      </c>
      <c r="P359" s="252"/>
      <c r="Q359" s="451">
        <f t="shared" ref="Q359" si="296">+Q357+Q347+Q341+Q333</f>
        <v>168234402</v>
      </c>
      <c r="R359" s="252"/>
      <c r="S359" s="451">
        <f t="shared" ref="S359" si="297">+S357+S347+S341+S333</f>
        <v>113297533</v>
      </c>
      <c r="T359" s="252"/>
      <c r="U359" s="451">
        <f t="shared" ref="U359" si="298">+U357+U347+U341+U333</f>
        <v>81991078</v>
      </c>
      <c r="V359" s="252"/>
      <c r="W359" s="451">
        <f t="shared" ref="W359" si="299">+W357+W347+W341+W333</f>
        <v>981676513</v>
      </c>
      <c r="X359" s="252"/>
      <c r="Y359" s="451">
        <f t="shared" ref="Y359" si="300">+Y357+Y347+Y341+Y333</f>
        <v>201771812</v>
      </c>
      <c r="Z359" s="252"/>
      <c r="AA359" s="451">
        <f t="shared" ref="AA359" si="301">+AA357+AA347+AA341+AA333</f>
        <v>20654811</v>
      </c>
      <c r="AB359" s="252"/>
      <c r="AC359" s="451">
        <f t="shared" ref="AC359" si="302">+AC357+AC347+AC341+AC333</f>
        <v>11514872</v>
      </c>
      <c r="AD359" s="252"/>
      <c r="AE359" s="451">
        <f t="shared" ref="AE359" si="303">+AE357+AE347+AE341+AE333</f>
        <v>2254027</v>
      </c>
      <c r="AF359" s="252"/>
      <c r="AG359" s="451">
        <f t="shared" ref="AG359" si="304">+AG357+AG347+AG341+AG333</f>
        <v>6901631</v>
      </c>
      <c r="AH359" s="145"/>
      <c r="AI359" s="1025">
        <f t="shared" si="289"/>
        <v>4.5167250633239746</v>
      </c>
    </row>
    <row r="360" spans="2:35" s="87" customFormat="1" ht="15" customHeight="1">
      <c r="B360" s="252"/>
      <c r="C360" s="252"/>
      <c r="E360" s="252"/>
      <c r="F360" s="252"/>
      <c r="G360" s="376"/>
      <c r="H360" s="252"/>
      <c r="I360" s="254"/>
      <c r="U360" s="296"/>
      <c r="AI360" s="1025">
        <f t="shared" si="289"/>
        <v>0</v>
      </c>
    </row>
    <row r="361" spans="2:35" s="87" customFormat="1" ht="15" customHeight="1">
      <c r="B361" s="252"/>
      <c r="C361" s="443" t="s">
        <v>250</v>
      </c>
      <c r="E361" s="252"/>
      <c r="F361" s="252"/>
      <c r="G361" s="376"/>
      <c r="H361" s="252"/>
      <c r="I361" s="254"/>
      <c r="U361" s="296"/>
      <c r="AI361" s="1025">
        <f t="shared" si="289"/>
        <v>0</v>
      </c>
    </row>
    <row r="362" spans="2:35" s="87" customFormat="1" ht="15" customHeight="1">
      <c r="B362" s="408">
        <f>'[2]C-1'!$M$22</f>
        <v>23026</v>
      </c>
      <c r="C362" s="252"/>
      <c r="E362" s="252" t="s">
        <v>261</v>
      </c>
      <c r="F362" s="252"/>
      <c r="G362" s="376" t="s">
        <v>589</v>
      </c>
      <c r="H362" s="252"/>
      <c r="I362" s="254">
        <f>B362*1000</f>
        <v>23026000</v>
      </c>
      <c r="K362" s="172">
        <f t="shared" ref="K362:K368" si="305">ROUND(VLOOKUP($G362,factors,+K$375,FALSE)*$I362,0)</f>
        <v>14248489</v>
      </c>
      <c r="M362" s="172">
        <f t="shared" ref="M362:M368" si="306">ROUND(VLOOKUP($G362,factors,+M$375,FALSE)*$I362,0)</f>
        <v>8777511</v>
      </c>
      <c r="N362" s="172"/>
      <c r="O362" s="172">
        <f t="shared" ref="O362:O368" si="307">ROUND(VLOOKUP($G362,factors,+O$375,FALSE)*$I362,0)</f>
        <v>0</v>
      </c>
      <c r="P362" s="172"/>
      <c r="Q362" s="172">
        <f t="shared" ref="Q362:Q368" si="308">ROUND(VLOOKUP($G362,factors,+Q$375,FALSE)*$I362,0)</f>
        <v>0</v>
      </c>
      <c r="R362" s="172"/>
      <c r="S362" s="172">
        <f t="shared" ref="S362:S368" si="309">ROUND(VLOOKUP($G362,factors,+S$375,FALSE)*$I362,0)</f>
        <v>0</v>
      </c>
      <c r="T362" s="172"/>
      <c r="U362" s="296">
        <f t="shared" ref="U362:U368" si="310">ROUND(VLOOKUP($G362,factors,+U$375,FALSE)*$I362,0)</f>
        <v>0</v>
      </c>
      <c r="V362" s="172"/>
      <c r="W362" s="172">
        <f t="shared" ref="W362:W368" si="311">ROUND(VLOOKUP($G362,factors,+W$375,FALSE)*$I362,0)</f>
        <v>0</v>
      </c>
      <c r="X362" s="172"/>
      <c r="Y362" s="172">
        <f t="shared" ref="Y362:Y368" si="312">ROUND(VLOOKUP($G362,factors,+Y$375,FALSE)*$I362,0)</f>
        <v>0</v>
      </c>
      <c r="Z362" s="172"/>
      <c r="AA362" s="172">
        <f t="shared" ref="AA362:AA368" si="313">ROUND(VLOOKUP($G362,factors,+AA$375,FALSE)*$I362,0)</f>
        <v>0</v>
      </c>
      <c r="AB362" s="172"/>
      <c r="AC362" s="172">
        <f t="shared" ref="AC362:AC368" si="314">ROUND(VLOOKUP($G362,factors,+AC$375,FALSE)*$I362,0)</f>
        <v>0</v>
      </c>
      <c r="AD362" s="172"/>
      <c r="AE362" s="172">
        <f t="shared" ref="AE362:AE368" si="315">ROUND(VLOOKUP($G362,factors,+AE$375,FALSE)*$I362,0)</f>
        <v>0</v>
      </c>
      <c r="AF362" s="172"/>
      <c r="AG362" s="172">
        <f t="shared" ref="AG362:AG368" si="316">ROUND(VLOOKUP($G362,factors,+AG$375,FALSE)*$I362,0)</f>
        <v>0</v>
      </c>
      <c r="AI362" s="1025">
        <f t="shared" si="289"/>
        <v>0</v>
      </c>
    </row>
    <row r="363" spans="2:35" s="87" customFormat="1" ht="15" customHeight="1">
      <c r="B363" s="408">
        <f>'[2]C-1'!$M$20-B364</f>
        <v>27927.268212876712</v>
      </c>
      <c r="C363" s="252"/>
      <c r="E363" s="252" t="s">
        <v>262</v>
      </c>
      <c r="F363" s="252"/>
      <c r="G363" s="376">
        <v>12</v>
      </c>
      <c r="H363" s="252"/>
      <c r="I363" s="254">
        <f>B363*1000</f>
        <v>27927268.212876711</v>
      </c>
      <c r="K363" s="172">
        <f t="shared" si="305"/>
        <v>9215999</v>
      </c>
      <c r="M363" s="172">
        <f t="shared" si="306"/>
        <v>2792727</v>
      </c>
      <c r="N363" s="172"/>
      <c r="O363" s="172">
        <f t="shared" si="307"/>
        <v>698182</v>
      </c>
      <c r="P363" s="172"/>
      <c r="Q363" s="172">
        <f t="shared" si="308"/>
        <v>823854</v>
      </c>
      <c r="R363" s="172"/>
      <c r="S363" s="172">
        <f t="shared" si="309"/>
        <v>1061236</v>
      </c>
      <c r="T363" s="172"/>
      <c r="U363" s="296">
        <f t="shared" si="310"/>
        <v>483142</v>
      </c>
      <c r="V363" s="172"/>
      <c r="W363" s="172">
        <f t="shared" si="311"/>
        <v>10341467</v>
      </c>
      <c r="X363" s="172"/>
      <c r="Y363" s="172">
        <f t="shared" si="312"/>
        <v>1913018</v>
      </c>
      <c r="Z363" s="172"/>
      <c r="AA363" s="172">
        <f t="shared" si="313"/>
        <v>290444</v>
      </c>
      <c r="AB363" s="172"/>
      <c r="AC363" s="172">
        <f t="shared" si="314"/>
        <v>161978</v>
      </c>
      <c r="AD363" s="172"/>
      <c r="AE363" s="172">
        <f t="shared" si="315"/>
        <v>47476</v>
      </c>
      <c r="AF363" s="172"/>
      <c r="AG363" s="172">
        <f t="shared" si="316"/>
        <v>97745</v>
      </c>
      <c r="AI363" s="1025">
        <f t="shared" si="289"/>
        <v>-0.21287671104073524</v>
      </c>
    </row>
    <row r="364" spans="2:35" s="87" customFormat="1" ht="15" customHeight="1">
      <c r="B364" s="408">
        <f>('[2]C-4(1)'!$M$45-'[2]C-4(1)'!$I$50)*'[2]C-4(1)'!$G$50/365</f>
        <v>14403.731787123286</v>
      </c>
      <c r="C364" s="252"/>
      <c r="E364" s="252" t="s">
        <v>353</v>
      </c>
      <c r="F364" s="252"/>
      <c r="G364" s="376">
        <v>1</v>
      </c>
      <c r="H364" s="252"/>
      <c r="I364" s="254">
        <f t="shared" ref="I364:I367" si="317">B364*1000</f>
        <v>14403731.787123287</v>
      </c>
      <c r="K364" s="172">
        <f t="shared" si="305"/>
        <v>10258338</v>
      </c>
      <c r="M364" s="172">
        <f t="shared" si="306"/>
        <v>4145394</v>
      </c>
      <c r="N364" s="172"/>
      <c r="O364" s="172">
        <f t="shared" si="307"/>
        <v>0</v>
      </c>
      <c r="P364" s="172"/>
      <c r="Q364" s="172">
        <f t="shared" si="308"/>
        <v>0</v>
      </c>
      <c r="R364" s="172"/>
      <c r="S364" s="172">
        <f t="shared" si="309"/>
        <v>0</v>
      </c>
      <c r="T364" s="172"/>
      <c r="U364" s="296">
        <f t="shared" si="310"/>
        <v>0</v>
      </c>
      <c r="V364" s="172"/>
      <c r="W364" s="172">
        <f t="shared" si="311"/>
        <v>0</v>
      </c>
      <c r="X364" s="172"/>
      <c r="Y364" s="172">
        <f t="shared" si="312"/>
        <v>0</v>
      </c>
      <c r="Z364" s="172"/>
      <c r="AA364" s="172">
        <f t="shared" si="313"/>
        <v>0</v>
      </c>
      <c r="AB364" s="172"/>
      <c r="AC364" s="172">
        <f t="shared" si="314"/>
        <v>0</v>
      </c>
      <c r="AD364" s="172"/>
      <c r="AE364" s="172">
        <f t="shared" si="315"/>
        <v>0</v>
      </c>
      <c r="AF364" s="172"/>
      <c r="AG364" s="172">
        <f t="shared" si="316"/>
        <v>0</v>
      </c>
      <c r="AI364" s="1025">
        <f t="shared" si="289"/>
        <v>0.21287671290338039</v>
      </c>
    </row>
    <row r="365" spans="2:35" s="87" customFormat="1" ht="15" customHeight="1">
      <c r="B365" s="408">
        <f>'[2]C-1'!$M$28</f>
        <v>14601</v>
      </c>
      <c r="C365" s="252"/>
      <c r="E365" s="252" t="s">
        <v>260</v>
      </c>
      <c r="F365" s="252"/>
      <c r="G365" s="376">
        <v>12</v>
      </c>
      <c r="H365" s="252"/>
      <c r="I365" s="254">
        <f t="shared" si="317"/>
        <v>14601000</v>
      </c>
      <c r="K365" s="172">
        <f t="shared" si="305"/>
        <v>4818330</v>
      </c>
      <c r="M365" s="172">
        <f t="shared" si="306"/>
        <v>1460100</v>
      </c>
      <c r="N365" s="172"/>
      <c r="O365" s="172">
        <f t="shared" si="307"/>
        <v>365025</v>
      </c>
      <c r="P365" s="172"/>
      <c r="Q365" s="172">
        <f t="shared" si="308"/>
        <v>430730</v>
      </c>
      <c r="R365" s="172"/>
      <c r="S365" s="172">
        <f t="shared" si="309"/>
        <v>554838</v>
      </c>
      <c r="T365" s="172"/>
      <c r="U365" s="296">
        <f t="shared" si="310"/>
        <v>252597</v>
      </c>
      <c r="V365" s="172"/>
      <c r="W365" s="172">
        <f t="shared" si="311"/>
        <v>5406750</v>
      </c>
      <c r="X365" s="172"/>
      <c r="Y365" s="172">
        <f t="shared" si="312"/>
        <v>1000169</v>
      </c>
      <c r="Z365" s="172"/>
      <c r="AA365" s="172">
        <f t="shared" si="313"/>
        <v>151850</v>
      </c>
      <c r="AB365" s="172"/>
      <c r="AC365" s="172">
        <f t="shared" si="314"/>
        <v>84686</v>
      </c>
      <c r="AD365" s="172"/>
      <c r="AE365" s="172">
        <f t="shared" si="315"/>
        <v>24822</v>
      </c>
      <c r="AF365" s="172"/>
      <c r="AG365" s="172">
        <f t="shared" si="316"/>
        <v>51104</v>
      </c>
      <c r="AI365" s="1025">
        <f t="shared" si="289"/>
        <v>1</v>
      </c>
    </row>
    <row r="366" spans="2:35" s="87" customFormat="1" ht="15" customHeight="1">
      <c r="B366" s="408">
        <f>'[2]C-1'!$M$24</f>
        <v>-605130</v>
      </c>
      <c r="C366" s="252"/>
      <c r="E366" s="252" t="s">
        <v>263</v>
      </c>
      <c r="F366" s="252"/>
      <c r="G366" s="376">
        <v>14</v>
      </c>
      <c r="H366" s="252"/>
      <c r="I366" s="254">
        <f t="shared" si="317"/>
        <v>-605130000</v>
      </c>
      <c r="K366" s="172">
        <f t="shared" si="305"/>
        <v>-176516421</v>
      </c>
      <c r="M366" s="172">
        <f t="shared" si="306"/>
        <v>-102387996</v>
      </c>
      <c r="N366" s="172"/>
      <c r="O366" s="172">
        <f t="shared" si="307"/>
        <v>-27714954</v>
      </c>
      <c r="P366" s="172"/>
      <c r="Q366" s="172">
        <f t="shared" si="308"/>
        <v>-31829838</v>
      </c>
      <c r="R366" s="172"/>
      <c r="S366" s="172">
        <f t="shared" si="309"/>
        <v>-21603141</v>
      </c>
      <c r="T366" s="172"/>
      <c r="U366" s="296">
        <f t="shared" si="310"/>
        <v>-15551841</v>
      </c>
      <c r="V366" s="172"/>
      <c r="W366" s="172">
        <f t="shared" si="311"/>
        <v>-186440553</v>
      </c>
      <c r="X366" s="172"/>
      <c r="Y366" s="172">
        <f t="shared" si="312"/>
        <v>-35581644</v>
      </c>
      <c r="Z366" s="172"/>
      <c r="AA366" s="172">
        <f t="shared" si="313"/>
        <v>-3751806</v>
      </c>
      <c r="AB366" s="172"/>
      <c r="AC366" s="172">
        <f t="shared" si="314"/>
        <v>-2057442</v>
      </c>
      <c r="AD366" s="172"/>
      <c r="AE366" s="172">
        <f t="shared" si="315"/>
        <v>-423591</v>
      </c>
      <c r="AF366" s="172"/>
      <c r="AG366" s="172">
        <f t="shared" si="316"/>
        <v>-1270773</v>
      </c>
      <c r="AI366" s="1025">
        <f t="shared" si="289"/>
        <v>0</v>
      </c>
    </row>
    <row r="367" spans="2:35" s="87" customFormat="1" ht="15" customHeight="1">
      <c r="B367" s="408">
        <f>'[2]C-1'!$M$26</f>
        <v>-22290</v>
      </c>
      <c r="C367" s="252"/>
      <c r="E367" s="252" t="s">
        <v>38</v>
      </c>
      <c r="F367" s="252"/>
      <c r="G367" s="376">
        <v>21</v>
      </c>
      <c r="H367" s="252"/>
      <c r="I367" s="254">
        <f t="shared" si="317"/>
        <v>-22290000</v>
      </c>
      <c r="J367" s="252"/>
      <c r="K367" s="172">
        <f t="shared" si="305"/>
        <v>0</v>
      </c>
      <c r="M367" s="172">
        <f t="shared" si="306"/>
        <v>0</v>
      </c>
      <c r="N367" s="172"/>
      <c r="O367" s="172">
        <f t="shared" si="307"/>
        <v>0</v>
      </c>
      <c r="P367" s="172"/>
      <c r="Q367" s="172">
        <f t="shared" si="308"/>
        <v>0</v>
      </c>
      <c r="R367" s="172"/>
      <c r="S367" s="172">
        <f t="shared" si="309"/>
        <v>0</v>
      </c>
      <c r="T367" s="172"/>
      <c r="U367" s="296">
        <f t="shared" si="310"/>
        <v>0</v>
      </c>
      <c r="V367" s="172"/>
      <c r="W367" s="172">
        <f t="shared" si="311"/>
        <v>-5313314</v>
      </c>
      <c r="X367" s="172"/>
      <c r="Y367" s="172">
        <f t="shared" si="312"/>
        <v>-15114081</v>
      </c>
      <c r="Z367" s="172"/>
      <c r="AA367" s="172">
        <f t="shared" si="313"/>
        <v>-1054416</v>
      </c>
      <c r="AB367" s="172"/>
      <c r="AC367" s="172">
        <f t="shared" si="314"/>
        <v>-646787</v>
      </c>
      <c r="AD367" s="172"/>
      <c r="AE367" s="172">
        <f t="shared" si="315"/>
        <v>-9425</v>
      </c>
      <c r="AF367" s="172"/>
      <c r="AG367" s="172">
        <f t="shared" si="316"/>
        <v>-151977</v>
      </c>
      <c r="AI367" s="1025">
        <f t="shared" si="289"/>
        <v>0</v>
      </c>
    </row>
    <row r="368" spans="2:35" s="87" customFormat="1" ht="15" customHeight="1">
      <c r="B368" s="408"/>
      <c r="C368" s="252"/>
      <c r="E368" s="252" t="s">
        <v>412</v>
      </c>
      <c r="F368" s="252"/>
      <c r="G368" s="376">
        <v>14</v>
      </c>
      <c r="H368" s="252"/>
      <c r="I368" s="451">
        <f t="shared" ref="I368" si="318">+A368*1000</f>
        <v>0</v>
      </c>
      <c r="J368" s="145"/>
      <c r="K368" s="1032">
        <f t="shared" si="305"/>
        <v>0</v>
      </c>
      <c r="M368" s="1032">
        <f t="shared" si="306"/>
        <v>0</v>
      </c>
      <c r="N368" s="172"/>
      <c r="O368" s="1032">
        <f t="shared" si="307"/>
        <v>0</v>
      </c>
      <c r="P368" s="1030"/>
      <c r="Q368" s="1032">
        <f t="shared" si="308"/>
        <v>0</v>
      </c>
      <c r="R368" s="172"/>
      <c r="S368" s="1032">
        <f t="shared" si="309"/>
        <v>0</v>
      </c>
      <c r="T368" s="1030"/>
      <c r="U368" s="1051">
        <f t="shared" si="310"/>
        <v>0</v>
      </c>
      <c r="V368" s="172"/>
      <c r="W368" s="1032">
        <f t="shared" si="311"/>
        <v>0</v>
      </c>
      <c r="X368" s="172"/>
      <c r="Y368" s="1032">
        <f t="shared" si="312"/>
        <v>0</v>
      </c>
      <c r="Z368" s="172"/>
      <c r="AA368" s="1032">
        <f t="shared" si="313"/>
        <v>0</v>
      </c>
      <c r="AB368" s="1030"/>
      <c r="AC368" s="1032">
        <f t="shared" si="314"/>
        <v>0</v>
      </c>
      <c r="AD368" s="172"/>
      <c r="AE368" s="1032">
        <f t="shared" si="315"/>
        <v>0</v>
      </c>
      <c r="AF368" s="172"/>
      <c r="AG368" s="1032">
        <f t="shared" si="316"/>
        <v>0</v>
      </c>
      <c r="AI368" s="1025">
        <f t="shared" si="289"/>
        <v>0</v>
      </c>
    </row>
    <row r="369" spans="1:37" s="87" customFormat="1" ht="15" customHeight="1">
      <c r="B369" s="252"/>
      <c r="C369" s="252"/>
      <c r="E369" s="252" t="s">
        <v>264</v>
      </c>
      <c r="F369" s="252"/>
      <c r="G369" s="376"/>
      <c r="H369" s="252"/>
      <c r="I369" s="451">
        <f>SUM(I362:I368)</f>
        <v>-547462000</v>
      </c>
      <c r="K369" s="237">
        <f>SUM(K362:K368)</f>
        <v>-137975265</v>
      </c>
      <c r="M369" s="237">
        <f>SUM(M362:M368)</f>
        <v>-85212264</v>
      </c>
      <c r="O369" s="237">
        <f>SUM(O362:O368)</f>
        <v>-26651747</v>
      </c>
      <c r="P369" s="1033"/>
      <c r="Q369" s="237">
        <f>SUM(Q362:Q368)</f>
        <v>-30575254</v>
      </c>
      <c r="S369" s="237">
        <f>SUM(S362:S368)</f>
        <v>-19987067</v>
      </c>
      <c r="T369" s="1033"/>
      <c r="U369" s="1051">
        <f>SUM(U362:U368)</f>
        <v>-14816102</v>
      </c>
      <c r="W369" s="237">
        <f>SUM(W362:W368)</f>
        <v>-176005650</v>
      </c>
      <c r="Y369" s="237">
        <f>SUM(Y362:Y368)</f>
        <v>-47782538</v>
      </c>
      <c r="AA369" s="237">
        <f>SUM(AA362:AA368)</f>
        <v>-4363928</v>
      </c>
      <c r="AB369" s="1033"/>
      <c r="AC369" s="237">
        <f>SUM(AC362:AC368)</f>
        <v>-2457565</v>
      </c>
      <c r="AE369" s="237">
        <f t="shared" ref="AE369" si="319">SUM(AE362:AE368)</f>
        <v>-360718</v>
      </c>
      <c r="AG369" s="237">
        <f t="shared" ref="AG369" si="320">SUM(AG362:AG368)</f>
        <v>-1273901</v>
      </c>
      <c r="AH369" s="237"/>
      <c r="AI369" s="1025">
        <f t="shared" si="289"/>
        <v>1</v>
      </c>
    </row>
    <row r="370" spans="1:37" s="87" customFormat="1" ht="15" customHeight="1">
      <c r="B370" s="252"/>
      <c r="C370" s="252"/>
      <c r="E370" s="252"/>
      <c r="F370" s="252"/>
      <c r="G370" s="376"/>
      <c r="H370" s="252"/>
      <c r="I370" s="254"/>
      <c r="AI370" s="1025">
        <f t="shared" si="289"/>
        <v>0</v>
      </c>
    </row>
    <row r="371" spans="1:37" s="87" customFormat="1" ht="15" customHeight="1">
      <c r="B371" s="252"/>
      <c r="C371" s="252"/>
      <c r="E371" s="252" t="s">
        <v>528</v>
      </c>
      <c r="F371" s="252"/>
      <c r="G371" s="376"/>
      <c r="H371" s="252"/>
      <c r="I371" s="1040">
        <f>+I369+I359</f>
        <v>2616718899.4832749</v>
      </c>
      <c r="J371" s="44"/>
      <c r="K371" s="43">
        <f>+K369+K359</f>
        <v>763405538</v>
      </c>
      <c r="L371" s="44"/>
      <c r="M371" s="43">
        <f>+M369+M359</f>
        <v>442809328</v>
      </c>
      <c r="N371" s="44"/>
      <c r="O371" s="43">
        <f>+O369+O359</f>
        <v>119830083</v>
      </c>
      <c r="P371" s="126"/>
      <c r="Q371" s="43">
        <f>+Q369+Q359</f>
        <v>137659148</v>
      </c>
      <c r="R371" s="44"/>
      <c r="S371" s="43">
        <f>+S369+S359</f>
        <v>93310466</v>
      </c>
      <c r="T371" s="126"/>
      <c r="U371" s="295">
        <f>+U369+U359</f>
        <v>67174976</v>
      </c>
      <c r="V371" s="44"/>
      <c r="W371" s="43">
        <f>+W369+W359</f>
        <v>805670863</v>
      </c>
      <c r="X371" s="44"/>
      <c r="Y371" s="43">
        <f>+Y369+Y359</f>
        <v>153989274</v>
      </c>
      <c r="Z371" s="44"/>
      <c r="AA371" s="43">
        <f>+AA369+AA359</f>
        <v>16290883</v>
      </c>
      <c r="AB371" s="126"/>
      <c r="AC371" s="43">
        <f>+AC369+AC359</f>
        <v>9057307</v>
      </c>
      <c r="AD371" s="44"/>
      <c r="AE371" s="43">
        <f>+AE369+AE359</f>
        <v>1893309</v>
      </c>
      <c r="AF371" s="44"/>
      <c r="AG371" s="43">
        <f>+AG369+AG359</f>
        <v>5627730</v>
      </c>
      <c r="AH371" s="27"/>
      <c r="AI371" s="1025">
        <f t="shared" si="289"/>
        <v>5.5167250633239746</v>
      </c>
      <c r="AJ371" s="145"/>
      <c r="AK371" s="145"/>
    </row>
    <row r="372" spans="1:37" ht="15" customHeight="1">
      <c r="A372" s="276"/>
      <c r="B372" s="641"/>
      <c r="C372" s="216"/>
      <c r="E372" s="216"/>
      <c r="F372" s="216"/>
      <c r="G372" s="253"/>
      <c r="H372" s="216"/>
      <c r="I372" s="274"/>
      <c r="AI372" s="153"/>
    </row>
    <row r="373" spans="1:37">
      <c r="A373" s="276"/>
      <c r="B373" s="641"/>
      <c r="C373" s="216"/>
      <c r="E373" s="216"/>
      <c r="F373" s="216"/>
      <c r="G373" s="253"/>
      <c r="H373" s="216"/>
      <c r="I373" s="274"/>
      <c r="K373" s="148"/>
      <c r="L373" s="148"/>
      <c r="M373" s="160"/>
      <c r="N373" s="160"/>
      <c r="O373" s="160"/>
      <c r="P373" s="160"/>
      <c r="Q373" s="160"/>
      <c r="R373" s="148"/>
      <c r="S373" s="160"/>
      <c r="T373" s="160"/>
      <c r="U373" s="160"/>
      <c r="W373" s="148"/>
      <c r="X373" s="148"/>
      <c r="Y373" s="160"/>
      <c r="Z373" s="160"/>
      <c r="AA373" s="160"/>
      <c r="AB373" s="160"/>
      <c r="AC373" s="160"/>
      <c r="AD373" s="148"/>
      <c r="AE373" s="160"/>
      <c r="AF373" s="160"/>
      <c r="AG373" s="160"/>
    </row>
    <row r="374" spans="1:37">
      <c r="A374" s="276"/>
      <c r="B374" s="641"/>
      <c r="C374" s="216"/>
      <c r="E374" s="216"/>
      <c r="F374" s="216"/>
      <c r="G374" s="253"/>
      <c r="H374" s="216"/>
      <c r="I374" s="274"/>
      <c r="K374" s="163" t="s">
        <v>338</v>
      </c>
      <c r="M374" s="163" t="s">
        <v>340</v>
      </c>
      <c r="N374" s="148"/>
      <c r="O374" s="163" t="s">
        <v>341</v>
      </c>
      <c r="P374" s="160"/>
      <c r="Q374" s="163" t="s">
        <v>342</v>
      </c>
      <c r="S374" s="163" t="s">
        <v>343</v>
      </c>
      <c r="T374" s="160"/>
      <c r="U374" s="163" t="s">
        <v>414</v>
      </c>
      <c r="W374" s="163" t="s">
        <v>338</v>
      </c>
      <c r="Y374" s="163" t="s">
        <v>340</v>
      </c>
      <c r="Z374" s="148"/>
      <c r="AA374" s="163" t="s">
        <v>341</v>
      </c>
      <c r="AB374" s="160"/>
      <c r="AC374" s="163" t="s">
        <v>342</v>
      </c>
      <c r="AE374" s="163" t="s">
        <v>343</v>
      </c>
      <c r="AF374" s="160"/>
      <c r="AG374" s="163" t="s">
        <v>414</v>
      </c>
    </row>
    <row r="375" spans="1:37">
      <c r="A375" s="276"/>
      <c r="B375" s="641"/>
      <c r="C375" s="216"/>
      <c r="E375" s="216"/>
      <c r="F375" s="216"/>
      <c r="G375" s="253"/>
      <c r="H375" s="216"/>
      <c r="I375" s="274"/>
      <c r="K375" s="147">
        <v>2</v>
      </c>
      <c r="M375" s="147">
        <v>4</v>
      </c>
      <c r="O375" s="147">
        <v>6</v>
      </c>
      <c r="Q375" s="148">
        <v>8</v>
      </c>
      <c r="S375" s="147">
        <f>+Q375+2</f>
        <v>10</v>
      </c>
      <c r="U375" s="147">
        <v>12</v>
      </c>
      <c r="W375" s="147">
        <v>14</v>
      </c>
      <c r="Y375" s="147">
        <f t="shared" ref="Y375" si="321">+W375+2</f>
        <v>16</v>
      </c>
      <c r="AA375" s="147">
        <f t="shared" ref="AA375" si="322">+Y375+2</f>
        <v>18</v>
      </c>
      <c r="AC375" s="147">
        <f t="shared" ref="AC375" si="323">+AA375+2</f>
        <v>20</v>
      </c>
      <c r="AE375" s="147">
        <f t="shared" ref="AE375" si="324">+AC375+2</f>
        <v>22</v>
      </c>
      <c r="AG375" s="147">
        <f t="shared" ref="AG375" si="325">+AE375+2</f>
        <v>24</v>
      </c>
    </row>
    <row r="376" spans="1:37">
      <c r="A376" s="276"/>
      <c r="B376" s="276"/>
      <c r="E376" s="216"/>
      <c r="F376" s="216"/>
      <c r="G376" s="253"/>
      <c r="H376" s="216"/>
      <c r="I376" s="274"/>
    </row>
    <row r="377" spans="1:37">
      <c r="A377" s="276"/>
      <c r="B377" s="276"/>
      <c r="E377" s="216"/>
      <c r="F377" s="274" t="s">
        <v>327</v>
      </c>
      <c r="G377" s="253"/>
      <c r="H377" s="216"/>
      <c r="I377" s="216"/>
      <c r="J377" s="147">
        <v>1</v>
      </c>
      <c r="K377" s="164">
        <f>+'Ft  1to4'!F19</f>
        <v>0.71220000000000006</v>
      </c>
      <c r="L377" s="164"/>
      <c r="M377" s="164">
        <f>+'Ft  1to4'!F20</f>
        <v>0.2878</v>
      </c>
      <c r="N377" s="164"/>
      <c r="O377" s="164">
        <f>+'Ft  1to4'!F21</f>
        <v>0</v>
      </c>
      <c r="P377" s="164"/>
      <c r="Q377" s="164">
        <f>+'Ft  1to4'!F22</f>
        <v>0</v>
      </c>
      <c r="R377" s="164"/>
      <c r="S377" s="164">
        <f>+'Ft  1to4'!F23</f>
        <v>0</v>
      </c>
      <c r="T377" s="164"/>
      <c r="U377" s="164">
        <f>+'Ft  1to4'!F24</f>
        <v>0</v>
      </c>
      <c r="V377" s="164"/>
      <c r="W377" s="164"/>
      <c r="X377" s="164"/>
      <c r="Y377" s="164"/>
      <c r="Z377" s="164"/>
      <c r="AA377" s="164"/>
      <c r="AB377" s="164"/>
      <c r="AC377" s="164"/>
      <c r="AD377" s="164"/>
      <c r="AE377" s="164"/>
      <c r="AF377" s="164"/>
      <c r="AG377" s="164"/>
      <c r="AI377" s="164">
        <f t="shared" ref="AI377:AI384" si="326">SUM(K377:AG377)</f>
        <v>1</v>
      </c>
      <c r="AJ377" s="47" t="str">
        <f>+IF(AI377=1,"0k","&lt;&lt;&lt;??")</f>
        <v>0k</v>
      </c>
      <c r="AK377" s="434">
        <v>1</v>
      </c>
    </row>
    <row r="378" spans="1:37">
      <c r="A378" s="276"/>
      <c r="B378" s="276"/>
      <c r="E378" s="216"/>
      <c r="F378" s="274"/>
      <c r="G378" s="253"/>
      <c r="H378" s="216"/>
      <c r="I378" s="216"/>
      <c r="J378" s="87" t="s">
        <v>589</v>
      </c>
      <c r="K378" s="164">
        <f>+'Ft  1to4'!K19</f>
        <v>0.61880000000000002</v>
      </c>
      <c r="L378" s="164"/>
      <c r="M378" s="164">
        <f>+'Ft  1to4'!K20</f>
        <v>0.38119999999999998</v>
      </c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4"/>
      <c r="AA378" s="164"/>
      <c r="AB378" s="164"/>
      <c r="AC378" s="164"/>
      <c r="AD378" s="164"/>
      <c r="AE378" s="164"/>
      <c r="AF378" s="164"/>
      <c r="AG378" s="164"/>
      <c r="AI378" s="164">
        <f t="shared" ref="AI378" si="327">SUM(K378:AG378)</f>
        <v>1</v>
      </c>
      <c r="AJ378" s="47" t="str">
        <f>+IF(AI378=1,"0k","&lt;&lt;&lt;??")</f>
        <v>0k</v>
      </c>
      <c r="AK378" s="435" t="s">
        <v>589</v>
      </c>
    </row>
    <row r="379" spans="1:37">
      <c r="A379" s="276"/>
      <c r="B379" s="276"/>
      <c r="E379" s="216"/>
      <c r="F379" s="274" t="s">
        <v>328</v>
      </c>
      <c r="G379" s="253"/>
      <c r="H379" s="216"/>
      <c r="I379" s="216"/>
      <c r="J379" s="147">
        <v>2</v>
      </c>
      <c r="K379" s="164">
        <f>+'Ft  1to4'!V19</f>
        <v>0.15060000000000001</v>
      </c>
      <c r="L379" s="164"/>
      <c r="M379" s="164">
        <f>+'Ft  1to4'!V20</f>
        <v>9.2799999999999994E-2</v>
      </c>
      <c r="N379" s="164"/>
      <c r="O379" s="164">
        <f>+'Ft  1to4'!V21</f>
        <v>3.1E-2</v>
      </c>
      <c r="P379" s="164"/>
      <c r="Q379" s="164">
        <f>+'Ft  1to4'!V22</f>
        <v>6.6199999999999995E-2</v>
      </c>
      <c r="R379" s="164"/>
      <c r="S379" s="164">
        <f>+'Ft  1to4'!V23</f>
        <v>0.49349999999999999</v>
      </c>
      <c r="T379" s="164"/>
      <c r="U379" s="164">
        <f>+'Ft  1to4'!V24</f>
        <v>0.16589999999999999</v>
      </c>
      <c r="V379" s="164"/>
      <c r="W379" s="164"/>
      <c r="X379" s="164"/>
      <c r="Y379" s="164"/>
      <c r="Z379" s="164"/>
      <c r="AA379" s="164"/>
      <c r="AB379" s="164"/>
      <c r="AC379" s="164"/>
      <c r="AD379" s="164"/>
      <c r="AE379" s="164"/>
      <c r="AF379" s="164"/>
      <c r="AG379" s="164"/>
      <c r="AI379" s="164">
        <f t="shared" si="326"/>
        <v>1</v>
      </c>
      <c r="AJ379" s="47" t="str">
        <f t="shared" ref="AJ379:AJ417" si="328">+IF(AI379=1,"0k","&lt;&lt;&lt;??")</f>
        <v>0k</v>
      </c>
      <c r="AK379" s="434">
        <v>2</v>
      </c>
    </row>
    <row r="380" spans="1:37">
      <c r="A380" s="276"/>
      <c r="B380" s="276"/>
      <c r="E380" s="216"/>
      <c r="F380" s="274"/>
      <c r="G380" s="253"/>
      <c r="H380" s="216"/>
      <c r="I380" s="216"/>
      <c r="J380" s="87" t="s">
        <v>417</v>
      </c>
      <c r="K380" s="164">
        <f>+'Ft  1to4'!AD19</f>
        <v>3.0700000000000002E-2</v>
      </c>
      <c r="L380" s="164"/>
      <c r="M380" s="164">
        <f>+'Ft  1to4'!AD20</f>
        <v>6.1400000000000003E-2</v>
      </c>
      <c r="N380" s="164"/>
      <c r="O380" s="164">
        <f>+'Ft  1to4'!AD21</f>
        <v>4.7600000000000003E-2</v>
      </c>
      <c r="P380" s="164"/>
      <c r="Q380" s="164">
        <f>+'Ft  1to4'!AD22</f>
        <v>0.1018</v>
      </c>
      <c r="R380" s="164"/>
      <c r="S380" s="164">
        <f>+'Ft  1to4'!AD23</f>
        <v>0.75849999999999995</v>
      </c>
      <c r="T380" s="164"/>
      <c r="U380" s="164">
        <f>+'Ft  1to4'!AD24</f>
        <v>0</v>
      </c>
      <c r="V380" s="164"/>
      <c r="W380" s="164"/>
      <c r="X380" s="164"/>
      <c r="Y380" s="164"/>
      <c r="Z380" s="164"/>
      <c r="AA380" s="164"/>
      <c r="AB380" s="164"/>
      <c r="AC380" s="164"/>
      <c r="AD380" s="164"/>
      <c r="AE380" s="164"/>
      <c r="AF380" s="164"/>
      <c r="AG380" s="164"/>
      <c r="AI380" s="164">
        <f t="shared" si="326"/>
        <v>1</v>
      </c>
      <c r="AJ380" s="47" t="str">
        <f t="shared" ref="AJ380" si="329">+IF(AI380=1,"0k","&lt;&lt;&lt;??")</f>
        <v>0k</v>
      </c>
      <c r="AK380" s="435" t="s">
        <v>417</v>
      </c>
    </row>
    <row r="381" spans="1:37">
      <c r="A381" s="276"/>
      <c r="B381" s="276"/>
      <c r="E381" s="216"/>
      <c r="F381" s="274" t="s">
        <v>329</v>
      </c>
      <c r="G381" s="253"/>
      <c r="H381" s="216"/>
      <c r="I381" s="216"/>
      <c r="J381" s="147">
        <v>3</v>
      </c>
      <c r="K381" s="164">
        <f>+'Ftr 3 &amp; 6'!I17</f>
        <v>0.4486</v>
      </c>
      <c r="L381" s="164"/>
      <c r="M381" s="164">
        <f>+'Ftr 3 &amp; 6'!I18</f>
        <v>0.28060000000000002</v>
      </c>
      <c r="N381" s="164"/>
      <c r="O381" s="164">
        <f>+'Ftr 3 &amp; 6'!I19</f>
        <v>7.1099999999999997E-2</v>
      </c>
      <c r="P381" s="164"/>
      <c r="Q381" s="164">
        <f>+'Ftr 3 &amp; 6'!I20</f>
        <v>3.78E-2</v>
      </c>
      <c r="R381" s="164"/>
      <c r="S381" s="164">
        <f>+'Ftr 3 &amp; 6'!I22</f>
        <v>0.16189999999999999</v>
      </c>
      <c r="T381" s="164"/>
      <c r="U381" s="164">
        <f>+'Ftr 3 &amp; 6'!I23</f>
        <v>0</v>
      </c>
      <c r="V381" s="164"/>
      <c r="W381" s="164"/>
      <c r="X381" s="164"/>
      <c r="Y381" s="164"/>
      <c r="Z381" s="164"/>
      <c r="AA381" s="164"/>
      <c r="AB381" s="164"/>
      <c r="AC381" s="164"/>
      <c r="AD381" s="164"/>
      <c r="AE381" s="164"/>
      <c r="AF381" s="164"/>
      <c r="AG381" s="164"/>
      <c r="AI381" s="164">
        <f t="shared" si="326"/>
        <v>1</v>
      </c>
      <c r="AJ381" s="47" t="str">
        <f t="shared" si="328"/>
        <v>0k</v>
      </c>
      <c r="AK381" s="434">
        <v>3</v>
      </c>
    </row>
    <row r="382" spans="1:37">
      <c r="A382" s="276"/>
      <c r="B382" s="276"/>
      <c r="E382" s="216"/>
      <c r="F382" s="274" t="s">
        <v>330</v>
      </c>
      <c r="G382" s="253"/>
      <c r="H382" s="216"/>
      <c r="I382" s="216"/>
      <c r="J382" s="147">
        <v>4</v>
      </c>
      <c r="K382" s="164">
        <f>+'Ft  1to4'!Z44</f>
        <v>0.47830000000000006</v>
      </c>
      <c r="L382" s="164"/>
      <c r="M382" s="164">
        <f>+'Ft  1to4'!Z45</f>
        <v>0.29770000000000002</v>
      </c>
      <c r="N382" s="164"/>
      <c r="O382" s="164">
        <f>+'Ft  1to4'!Z46</f>
        <v>8.3100000000000007E-2</v>
      </c>
      <c r="P382" s="164"/>
      <c r="Q382" s="164">
        <f>+'Ft  1to4'!Z47</f>
        <v>9.5299999999999996E-2</v>
      </c>
      <c r="R382" s="164"/>
      <c r="S382" s="164">
        <f>+'Ft  1to4'!Z48</f>
        <v>0</v>
      </c>
      <c r="T382" s="164"/>
      <c r="U382" s="164">
        <f>+'Ft  1to4'!Z49</f>
        <v>4.5600000000000002E-2</v>
      </c>
      <c r="V382" s="164"/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  <c r="AG382" s="164"/>
      <c r="AI382" s="164">
        <f t="shared" si="326"/>
        <v>0.99999999999999989</v>
      </c>
      <c r="AJ382" s="47" t="str">
        <f t="shared" si="328"/>
        <v>0k</v>
      </c>
      <c r="AK382" s="434">
        <v>4</v>
      </c>
    </row>
    <row r="383" spans="1:37">
      <c r="A383" s="276"/>
      <c r="B383" s="276"/>
      <c r="E383" s="216"/>
      <c r="F383" s="254" t="s">
        <v>451</v>
      </c>
      <c r="G383" s="253"/>
      <c r="H383" s="216"/>
      <c r="I383" s="216"/>
      <c r="J383" s="87" t="s">
        <v>450</v>
      </c>
      <c r="K383" s="164">
        <f>+'Ft  1to4'!Z68</f>
        <v>0.30719999999999997</v>
      </c>
      <c r="L383" s="164"/>
      <c r="M383" s="164">
        <f>+'Ft  1to4'!Z69</f>
        <v>0.1915</v>
      </c>
      <c r="N383" s="164"/>
      <c r="O383" s="164">
        <f>+'Ft  1to4'!Z70</f>
        <v>5.1999999999999998E-2</v>
      </c>
      <c r="P383" s="164"/>
      <c r="Q383" s="164">
        <f>+'Ft  1to4'!Z71</f>
        <v>5.1299999999999998E-2</v>
      </c>
      <c r="R383" s="164"/>
      <c r="S383" s="164">
        <f>+'Ft  1to4'!Z72</f>
        <v>0.31920000000000004</v>
      </c>
      <c r="T383" s="164"/>
      <c r="U383" s="164">
        <f>+'Ft  1to4'!Z73</f>
        <v>7.8799999999999995E-2</v>
      </c>
      <c r="V383" s="164"/>
      <c r="W383" s="164"/>
      <c r="X383" s="164"/>
      <c r="Y383" s="164"/>
      <c r="Z383" s="164"/>
      <c r="AA383" s="164"/>
      <c r="AB383" s="164"/>
      <c r="AC383" s="164"/>
      <c r="AD383" s="164"/>
      <c r="AE383" s="164"/>
      <c r="AF383" s="164"/>
      <c r="AG383" s="164"/>
      <c r="AI383" s="164">
        <f t="shared" si="326"/>
        <v>1</v>
      </c>
      <c r="AJ383" s="47" t="str">
        <f t="shared" ref="AJ383" si="330">+IF(AI383=1,"0k","&lt;&lt;&lt;??")</f>
        <v>0k</v>
      </c>
      <c r="AK383" s="435" t="s">
        <v>450</v>
      </c>
    </row>
    <row r="384" spans="1:37">
      <c r="A384" s="276"/>
      <c r="B384" s="276"/>
      <c r="E384" s="216"/>
      <c r="F384" s="274" t="s">
        <v>332</v>
      </c>
      <c r="G384" s="253"/>
      <c r="H384" s="216"/>
      <c r="I384" s="216"/>
      <c r="J384" s="147">
        <v>5</v>
      </c>
      <c r="K384" s="164">
        <f>+'FTR 5&amp; 5A'!N18</f>
        <v>0.47830000000000006</v>
      </c>
      <c r="L384" s="164"/>
      <c r="M384" s="164">
        <f>+'FTR 5&amp; 5A'!N19</f>
        <v>0.29770000000000002</v>
      </c>
      <c r="N384" s="164"/>
      <c r="O384" s="164">
        <f>+'FTR 5&amp; 5A'!N20</f>
        <v>8.3100000000000007E-2</v>
      </c>
      <c r="P384" s="164"/>
      <c r="Q384" s="164">
        <f>+'FTR 5&amp; 5A'!N21</f>
        <v>9.5299999999999996E-2</v>
      </c>
      <c r="R384" s="164"/>
      <c r="S384" s="164">
        <f>+'FTR 5&amp; 5A'!N22</f>
        <v>0</v>
      </c>
      <c r="T384" s="164">
        <f>+'FTR 5&amp; 5A'!Q21</f>
        <v>0</v>
      </c>
      <c r="U384" s="164">
        <f>+'FTR 5&amp; 5A'!N23</f>
        <v>4.5600000000000002E-2</v>
      </c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  <c r="AG384" s="164"/>
      <c r="AI384" s="164">
        <f t="shared" si="326"/>
        <v>0.99999999999999989</v>
      </c>
      <c r="AJ384" s="47" t="str">
        <f t="shared" si="328"/>
        <v>0k</v>
      </c>
      <c r="AK384" s="434">
        <v>5</v>
      </c>
    </row>
    <row r="385" spans="1:37">
      <c r="A385" s="276"/>
      <c r="B385" s="276"/>
      <c r="E385" s="216"/>
      <c r="F385" s="274" t="s">
        <v>332</v>
      </c>
      <c r="G385" s="253"/>
      <c r="H385" s="216"/>
      <c r="I385" s="216"/>
      <c r="J385" s="147" t="s">
        <v>331</v>
      </c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054"/>
      <c r="X385" s="1054"/>
      <c r="Y385" s="1054"/>
      <c r="Z385" s="1054"/>
      <c r="AA385" s="1054"/>
      <c r="AB385" s="1054"/>
      <c r="AC385" s="1054"/>
      <c r="AD385" s="1054"/>
      <c r="AE385" s="1054"/>
      <c r="AF385" s="1054"/>
      <c r="AG385" s="1054"/>
      <c r="AI385" s="164">
        <f t="shared" ref="AI385:AI386" si="331">SUM(K385:AG385)</f>
        <v>0</v>
      </c>
      <c r="AJ385" s="47"/>
      <c r="AK385" s="434" t="s">
        <v>331</v>
      </c>
    </row>
    <row r="386" spans="1:37">
      <c r="A386" s="276"/>
      <c r="B386" s="276"/>
      <c r="E386" s="216"/>
      <c r="F386" s="274" t="s">
        <v>332</v>
      </c>
      <c r="G386" s="253"/>
      <c r="H386" s="216"/>
      <c r="I386" s="216"/>
      <c r="J386" s="87" t="s">
        <v>447</v>
      </c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054"/>
      <c r="X386" s="1054"/>
      <c r="Y386" s="1054"/>
      <c r="Z386" s="1054"/>
      <c r="AA386" s="1054"/>
      <c r="AB386" s="1054"/>
      <c r="AC386" s="1054"/>
      <c r="AD386" s="1054"/>
      <c r="AE386" s="1054"/>
      <c r="AF386" s="1054"/>
      <c r="AG386" s="1054"/>
      <c r="AI386" s="164">
        <f t="shared" si="331"/>
        <v>0</v>
      </c>
      <c r="AJ386" s="47"/>
      <c r="AK386" s="435" t="s">
        <v>447</v>
      </c>
    </row>
    <row r="387" spans="1:37">
      <c r="A387" s="276"/>
      <c r="B387" s="276"/>
      <c r="E387" s="216"/>
      <c r="F387" s="274" t="s">
        <v>333</v>
      </c>
      <c r="G387" s="253"/>
      <c r="H387" s="216"/>
      <c r="I387" s="216"/>
      <c r="J387" s="147">
        <v>6</v>
      </c>
      <c r="K387" s="164"/>
      <c r="M387" s="164"/>
      <c r="O387" s="164"/>
      <c r="P387" s="164"/>
      <c r="Q387" s="164"/>
      <c r="S387" s="164"/>
      <c r="T387" s="164"/>
      <c r="U387" s="164"/>
      <c r="V387" s="164"/>
      <c r="W387" s="1054">
        <f>+'Ftr 3 &amp; 6'!I61</f>
        <v>0.42730000000000001</v>
      </c>
      <c r="X387" s="1054"/>
      <c r="Y387" s="1054">
        <f>+'Ftr 3 &amp; 6'!I62</f>
        <v>0.4194</v>
      </c>
      <c r="Z387" s="1054"/>
      <c r="AA387" s="1054">
        <f>+'Ftr 3 &amp; 6'!I63</f>
        <v>7.5600000000000001E-2</v>
      </c>
      <c r="AB387" s="1054"/>
      <c r="AC387" s="1054">
        <f>+'Ftr 3 &amp; 6'!I64</f>
        <v>4.3799999999999999E-2</v>
      </c>
      <c r="AD387" s="1054"/>
      <c r="AE387" s="1054">
        <f>+'Ftr 3 &amp; 6'!I65</f>
        <v>8.3000000000000001E-3</v>
      </c>
      <c r="AF387" s="1054"/>
      <c r="AG387" s="1054">
        <f>+'Ftr 3 &amp; 6'!I66</f>
        <v>2.5600000000000001E-2</v>
      </c>
      <c r="AI387" s="164">
        <f>SUM(K387:AG387)</f>
        <v>0.99999999999999989</v>
      </c>
      <c r="AJ387" s="47" t="str">
        <f t="shared" si="328"/>
        <v>0k</v>
      </c>
      <c r="AK387" s="434">
        <v>6</v>
      </c>
    </row>
    <row r="388" spans="1:37">
      <c r="A388" s="276"/>
      <c r="B388" s="276"/>
      <c r="E388" s="216"/>
      <c r="F388" s="274" t="s">
        <v>350</v>
      </c>
      <c r="G388" s="253"/>
      <c r="H388" s="216"/>
      <c r="I388" s="216"/>
      <c r="J388" s="147" t="s">
        <v>297</v>
      </c>
      <c r="K388" s="164"/>
      <c r="M388" s="164"/>
      <c r="O388" s="164"/>
      <c r="P388" s="164"/>
      <c r="Q388" s="164"/>
      <c r="S388" s="164"/>
      <c r="T388" s="164"/>
      <c r="U388" s="164"/>
      <c r="V388" s="164"/>
      <c r="W388" s="1054">
        <f>+'Ftr 3 &amp; 6'!I80</f>
        <v>0.88039999999999996</v>
      </c>
      <c r="X388" s="1054"/>
      <c r="Y388" s="1054">
        <f>+'Ftr 3 &amp; 6'!I81</f>
        <v>0.1196</v>
      </c>
      <c r="Z388" s="1054"/>
      <c r="AA388" s="1054">
        <v>0</v>
      </c>
      <c r="AB388" s="1054"/>
      <c r="AC388" s="1054">
        <v>0</v>
      </c>
      <c r="AD388" s="1054"/>
      <c r="AE388" s="1054">
        <v>0</v>
      </c>
      <c r="AF388" s="1054"/>
      <c r="AG388" s="1054">
        <v>0</v>
      </c>
      <c r="AI388" s="164">
        <f>SUM(K388:AG388)</f>
        <v>1</v>
      </c>
      <c r="AJ388" s="47" t="str">
        <f t="shared" si="328"/>
        <v>0k</v>
      </c>
      <c r="AK388" s="434" t="s">
        <v>297</v>
      </c>
    </row>
    <row r="389" spans="1:37">
      <c r="A389" s="276"/>
      <c r="B389" s="276"/>
      <c r="E389" s="216"/>
      <c r="F389" s="274" t="s">
        <v>334</v>
      </c>
      <c r="G389" s="253"/>
      <c r="H389" s="216"/>
      <c r="I389" s="216"/>
      <c r="J389" s="147" t="s">
        <v>322</v>
      </c>
      <c r="K389" s="164"/>
      <c r="M389" s="164"/>
      <c r="O389" s="164"/>
      <c r="P389" s="164"/>
      <c r="Q389" s="164"/>
      <c r="S389" s="164"/>
      <c r="T389" s="164"/>
      <c r="U389" s="164"/>
      <c r="V389" s="164"/>
      <c r="W389" s="164"/>
      <c r="X389" s="164"/>
      <c r="Y389" s="164"/>
      <c r="Z389" s="164"/>
      <c r="AA389" s="164">
        <f>+'Ftr 3 &amp; 6'!$I$102</f>
        <v>0.49309999999999998</v>
      </c>
      <c r="AB389" s="164"/>
      <c r="AC389" s="164">
        <f>+'Ftr 3 &amp; 6'!I103</f>
        <v>0.28570000000000001</v>
      </c>
      <c r="AD389" s="164"/>
      <c r="AE389" s="164">
        <f>+'Ftr 3 &amp; 6'!I104</f>
        <v>5.4100000000000002E-2</v>
      </c>
      <c r="AF389" s="164"/>
      <c r="AG389" s="164">
        <f>+'Ftr 3 &amp; 6'!I105</f>
        <v>0.1671</v>
      </c>
      <c r="AI389" s="164">
        <f>SUM(K389:AG389)</f>
        <v>1</v>
      </c>
      <c r="AJ389" s="47" t="str">
        <f t="shared" si="328"/>
        <v>0k</v>
      </c>
      <c r="AK389" s="434" t="s">
        <v>322</v>
      </c>
    </row>
    <row r="390" spans="1:37">
      <c r="A390" s="276"/>
      <c r="B390" s="276"/>
      <c r="E390" s="216"/>
      <c r="F390" s="274" t="s">
        <v>158</v>
      </c>
      <c r="G390" s="253"/>
      <c r="H390" s="216"/>
      <c r="I390" s="216"/>
      <c r="J390" s="147" t="s">
        <v>395</v>
      </c>
      <c r="K390" s="164"/>
      <c r="M390" s="164"/>
      <c r="O390" s="164"/>
      <c r="P390" s="164"/>
      <c r="Q390" s="164"/>
      <c r="S390" s="164"/>
      <c r="T390" s="164"/>
      <c r="U390" s="164"/>
      <c r="V390" s="164"/>
      <c r="W390" s="164">
        <f>+'Ftr 3 &amp; 6'!I118</f>
        <v>0.87280000000000002</v>
      </c>
      <c r="X390" s="164"/>
      <c r="Y390" s="164">
        <f>+'Ftr 3 &amp; 6'!I119</f>
        <v>0.11840000000000001</v>
      </c>
      <c r="Z390" s="164"/>
      <c r="AA390" s="164">
        <f>+'Ftr 3 &amp; 6'!I120</f>
        <v>4.7000000000000002E-3</v>
      </c>
      <c r="AB390" s="164"/>
      <c r="AC390" s="164">
        <f>+'Ftr 3 &amp; 6'!I121</f>
        <v>2.3E-3</v>
      </c>
      <c r="AD390" s="164"/>
      <c r="AE390" s="164">
        <f>+'Ftr 3 &amp; 6'!I122</f>
        <v>2.9999999999999997E-4</v>
      </c>
      <c r="AF390" s="164"/>
      <c r="AG390" s="164">
        <f>+'Ftr 3 &amp; 6'!I123</f>
        <v>1.5E-3</v>
      </c>
      <c r="AI390" s="164">
        <f>SUM(K390:AG390)</f>
        <v>1</v>
      </c>
      <c r="AJ390" s="47" t="str">
        <f t="shared" si="328"/>
        <v>0k</v>
      </c>
      <c r="AK390" s="434" t="s">
        <v>395</v>
      </c>
    </row>
    <row r="391" spans="1:37">
      <c r="A391" s="276"/>
      <c r="B391" s="276"/>
      <c r="E391" s="216"/>
      <c r="F391" s="274" t="s">
        <v>335</v>
      </c>
      <c r="G391" s="253"/>
      <c r="H391" s="216"/>
      <c r="I391" s="216"/>
      <c r="J391" s="147">
        <v>7</v>
      </c>
      <c r="K391" s="164"/>
      <c r="M391" s="164"/>
      <c r="O391" s="164"/>
      <c r="P391" s="164"/>
      <c r="Q391" s="164"/>
      <c r="S391" s="164"/>
      <c r="T391" s="164"/>
      <c r="U391" s="164"/>
      <c r="V391" s="164"/>
      <c r="W391" s="164">
        <f>+'Ft 7to9'!G16</f>
        <v>0.89260000000000006</v>
      </c>
      <c r="X391" s="164"/>
      <c r="Y391" s="164">
        <f>+'Ft 7to9'!G17</f>
        <v>0.1036</v>
      </c>
      <c r="Z391" s="164"/>
      <c r="AA391" s="164">
        <f>+'Ft 7to9'!G18</f>
        <v>2.3E-3</v>
      </c>
      <c r="AB391" s="164"/>
      <c r="AC391" s="164">
        <f>+'Ft 7to9'!G19</f>
        <v>8.0000000000000004E-4</v>
      </c>
      <c r="AD391" s="164"/>
      <c r="AE391" s="164">
        <f>+'Ft 7to9'!G20</f>
        <v>1E-4</v>
      </c>
      <c r="AF391" s="164"/>
      <c r="AG391" s="164">
        <f>+'Ft 7to9'!G21</f>
        <v>5.9999999999999995E-4</v>
      </c>
      <c r="AI391" s="164">
        <f>SUM(K391:AG391)</f>
        <v>1</v>
      </c>
      <c r="AJ391" s="47" t="str">
        <f t="shared" si="328"/>
        <v>0k</v>
      </c>
      <c r="AK391" s="434">
        <v>7</v>
      </c>
    </row>
    <row r="392" spans="1:37">
      <c r="A392" s="276"/>
      <c r="B392" s="276"/>
      <c r="E392" s="216"/>
      <c r="F392" s="274" t="s">
        <v>336</v>
      </c>
      <c r="G392" s="253"/>
      <c r="H392" s="216"/>
      <c r="I392" s="216"/>
      <c r="J392" s="147" t="s">
        <v>326</v>
      </c>
      <c r="K392" s="164"/>
      <c r="M392" s="164"/>
      <c r="O392" s="164"/>
      <c r="P392" s="164"/>
      <c r="Q392" s="164"/>
      <c r="S392" s="164"/>
      <c r="T392" s="164"/>
      <c r="U392" s="164"/>
      <c r="V392" s="164"/>
      <c r="W392" s="164">
        <f>+'Ft 7to9'!I16</f>
        <v>0</v>
      </c>
      <c r="X392" s="164"/>
      <c r="Y392" s="164">
        <f>+'Ft 7to9'!I17</f>
        <v>0</v>
      </c>
      <c r="Z392" s="164"/>
      <c r="AA392" s="164">
        <f>+'Ft 7to9'!I18</f>
        <v>0.61729999999999996</v>
      </c>
      <c r="AB392" s="164"/>
      <c r="AC392" s="164">
        <f>+'Ft 7to9'!I19</f>
        <v>0.2077</v>
      </c>
      <c r="AD392" s="164"/>
      <c r="AE392" s="164">
        <f>+'Ft 7to9'!I20</f>
        <v>2.2100000000000002E-2</v>
      </c>
      <c r="AF392" s="164"/>
      <c r="AG392" s="164">
        <f>+'Ft 7to9'!I21</f>
        <v>0.15290000000000001</v>
      </c>
      <c r="AI392" s="164"/>
      <c r="AJ392" s="47"/>
      <c r="AK392" s="434" t="s">
        <v>326</v>
      </c>
    </row>
    <row r="393" spans="1:37">
      <c r="A393" s="276"/>
      <c r="B393" s="276"/>
      <c r="E393" s="216"/>
      <c r="F393" s="274" t="s">
        <v>337</v>
      </c>
      <c r="G393" s="253"/>
      <c r="H393" s="216"/>
      <c r="I393" s="216"/>
      <c r="J393" s="147">
        <v>8</v>
      </c>
      <c r="K393" s="164">
        <v>0</v>
      </c>
      <c r="L393" s="164"/>
      <c r="M393" s="164">
        <v>0</v>
      </c>
      <c r="N393" s="164"/>
      <c r="O393" s="164">
        <v>0</v>
      </c>
      <c r="P393" s="164"/>
      <c r="Q393" s="164"/>
      <c r="R393" s="164"/>
      <c r="S393" s="164">
        <v>0</v>
      </c>
      <c r="T393" s="164"/>
      <c r="U393" s="164"/>
      <c r="V393" s="164"/>
      <c r="W393" s="164">
        <f>+'Ft 7to9'!I34</f>
        <v>0.89600000000000002</v>
      </c>
      <c r="X393" s="164"/>
      <c r="Y393" s="164">
        <f>+'Ft 7to9'!I35</f>
        <v>0.104</v>
      </c>
      <c r="Z393" s="164"/>
      <c r="AA393" s="164"/>
      <c r="AB393" s="164"/>
      <c r="AC393" s="164"/>
      <c r="AD393" s="164"/>
      <c r="AE393" s="164"/>
      <c r="AF393" s="164"/>
      <c r="AG393" s="164"/>
      <c r="AI393" s="164">
        <f>SUM(K393:AG393)</f>
        <v>1</v>
      </c>
      <c r="AJ393" s="47" t="str">
        <f t="shared" si="328"/>
        <v>0k</v>
      </c>
      <c r="AK393" s="434">
        <v>8</v>
      </c>
    </row>
    <row r="394" spans="1:37">
      <c r="A394" s="276"/>
      <c r="B394" s="276"/>
      <c r="E394" s="216"/>
      <c r="F394" s="274" t="s">
        <v>338</v>
      </c>
      <c r="G394" s="253"/>
      <c r="H394" s="216"/>
      <c r="I394" s="216"/>
      <c r="J394" s="147">
        <v>9</v>
      </c>
      <c r="K394" s="164">
        <v>0</v>
      </c>
      <c r="L394" s="164"/>
      <c r="M394" s="164">
        <v>0</v>
      </c>
      <c r="N394" s="164"/>
      <c r="O394" s="164">
        <v>0</v>
      </c>
      <c r="P394" s="164"/>
      <c r="Q394" s="164"/>
      <c r="R394" s="164"/>
      <c r="S394" s="164">
        <v>0</v>
      </c>
      <c r="T394" s="164"/>
      <c r="U394" s="164"/>
      <c r="V394" s="164"/>
      <c r="W394" s="164">
        <v>1</v>
      </c>
      <c r="X394" s="164"/>
      <c r="Y394" s="164"/>
      <c r="Z394" s="164"/>
      <c r="AA394" s="164"/>
      <c r="AB394" s="164"/>
      <c r="AC394" s="164"/>
      <c r="AD394" s="164"/>
      <c r="AE394" s="164"/>
      <c r="AF394" s="164"/>
      <c r="AG394" s="164"/>
      <c r="AI394" s="164">
        <f>SUM(K394:AG394)</f>
        <v>1</v>
      </c>
      <c r="AJ394" s="47" t="str">
        <f t="shared" si="328"/>
        <v>0k</v>
      </c>
      <c r="AK394" s="434">
        <v>9</v>
      </c>
    </row>
    <row r="395" spans="1:37">
      <c r="A395" s="276"/>
      <c r="B395" s="276"/>
      <c r="E395" s="216"/>
      <c r="F395" s="274"/>
      <c r="G395" s="253"/>
      <c r="H395" s="216"/>
      <c r="I395" s="216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  <c r="AA395" s="164"/>
      <c r="AB395" s="164"/>
      <c r="AC395" s="164"/>
      <c r="AD395" s="164"/>
      <c r="AI395" s="164"/>
      <c r="AJ395" s="47"/>
      <c r="AK395" s="434"/>
    </row>
    <row r="396" spans="1:37">
      <c r="A396" s="276"/>
      <c r="B396" s="276"/>
      <c r="E396" s="216"/>
      <c r="F396" s="274" t="s">
        <v>339</v>
      </c>
      <c r="G396" s="253"/>
      <c r="H396" s="216"/>
      <c r="I396" s="216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I396" s="164"/>
      <c r="AJ396" s="47"/>
      <c r="AK396" s="434"/>
    </row>
    <row r="397" spans="1:37">
      <c r="A397" s="276"/>
      <c r="B397" s="276"/>
      <c r="E397" s="216"/>
      <c r="F397" s="216"/>
      <c r="G397" s="253"/>
      <c r="H397" s="216"/>
      <c r="I397" s="274" t="s">
        <v>396</v>
      </c>
      <c r="K397" s="151">
        <f>SUM(K63:K74)</f>
        <v>7453273</v>
      </c>
      <c r="M397" s="151">
        <f>SUM(M63:M74)</f>
        <v>4639880</v>
      </c>
      <c r="O397" s="151">
        <f>SUM(O63:O74)</f>
        <v>1287354</v>
      </c>
      <c r="Q397" s="151">
        <f>SUM(Q63:Q74)</f>
        <v>1432849</v>
      </c>
      <c r="S397" s="151">
        <f>SUM(S63:S74)</f>
        <v>2414266</v>
      </c>
      <c r="T397" s="151"/>
      <c r="U397" s="151">
        <f>SUM(U63:U74)</f>
        <v>975789</v>
      </c>
      <c r="W397" s="151">
        <f>SUM(W63:W74)</f>
        <v>13328223</v>
      </c>
      <c r="Y397" s="151">
        <f>SUM(Y63:Y74)</f>
        <v>4258394</v>
      </c>
      <c r="AA397" s="151">
        <f>SUM(AA63:AA74)</f>
        <v>699973</v>
      </c>
      <c r="AC397" s="151">
        <f>SUM(AC63:AC74)</f>
        <v>400489</v>
      </c>
      <c r="AE397" s="151">
        <f>SUM(AE63:AE74)</f>
        <v>74257</v>
      </c>
      <c r="AG397" s="151">
        <f>SUM(AG63:AG74)</f>
        <v>235967</v>
      </c>
      <c r="AI397" s="151">
        <f t="shared" ref="AI397:AI410" si="332">SUM(K397:AG397)</f>
        <v>37200714</v>
      </c>
      <c r="AJ397" s="47"/>
      <c r="AK397" s="434"/>
    </row>
    <row r="398" spans="1:37">
      <c r="A398" s="276"/>
      <c r="B398" s="277"/>
      <c r="E398" s="216"/>
      <c r="F398" s="216"/>
      <c r="G398" s="253"/>
      <c r="H398" s="216"/>
      <c r="I398" s="274"/>
      <c r="J398" s="147">
        <v>10</v>
      </c>
      <c r="K398" s="164">
        <f>ROUND(K397/$AI397,4)</f>
        <v>0.20039999999999999</v>
      </c>
      <c r="L398" s="164"/>
      <c r="M398" s="164">
        <f>ROUND(M397/$AI397,4)</f>
        <v>0.12470000000000001</v>
      </c>
      <c r="N398" s="164"/>
      <c r="O398" s="164">
        <f>ROUND(O397/$AI397,4)</f>
        <v>3.4599999999999999E-2</v>
      </c>
      <c r="P398" s="164"/>
      <c r="Q398" s="164">
        <f>ROUND(Q397/$AI397,4)</f>
        <v>3.85E-2</v>
      </c>
      <c r="R398" s="164"/>
      <c r="S398" s="164">
        <f>ROUND(S397/$AI397,4)</f>
        <v>6.4899999999999999E-2</v>
      </c>
      <c r="T398" s="164"/>
      <c r="U398" s="164">
        <f>ROUND(U397/$AI397,4)</f>
        <v>2.6200000000000001E-2</v>
      </c>
      <c r="V398" s="164"/>
      <c r="W398" s="164">
        <f>ROUND(W397/$AI397,4)</f>
        <v>0.35830000000000001</v>
      </c>
      <c r="X398" s="164"/>
      <c r="Y398" s="164">
        <f>ROUND(Y397/$AI397,4)</f>
        <v>0.1145</v>
      </c>
      <c r="Z398" s="164"/>
      <c r="AA398" s="164">
        <f>ROUND(AA397/$AI397,4)</f>
        <v>1.8800000000000001E-2</v>
      </c>
      <c r="AB398" s="164"/>
      <c r="AC398" s="164">
        <f>ROUND(AC397/$AI397,4)</f>
        <v>1.0800000000000001E-2</v>
      </c>
      <c r="AD398" s="164"/>
      <c r="AE398" s="164">
        <f>ROUND(AE397/$AI397,4)</f>
        <v>2E-3</v>
      </c>
      <c r="AF398" s="164"/>
      <c r="AG398" s="164">
        <f>ROUND(AG397/$AI397,4)</f>
        <v>6.3E-3</v>
      </c>
      <c r="AI398" s="164">
        <f t="shared" si="332"/>
        <v>1.0000000000000002</v>
      </c>
      <c r="AJ398" s="47" t="str">
        <f t="shared" si="328"/>
        <v>0k</v>
      </c>
      <c r="AK398" s="434">
        <v>10</v>
      </c>
    </row>
    <row r="399" spans="1:37">
      <c r="A399" s="276"/>
      <c r="B399" s="277"/>
      <c r="E399" s="216"/>
      <c r="F399" s="216"/>
      <c r="G399" s="253"/>
      <c r="H399" s="216"/>
      <c r="I399" s="274" t="s">
        <v>252</v>
      </c>
      <c r="K399" s="161">
        <f t="shared" ref="K399:AG399" si="333">+SUM(K81:K89)</f>
        <v>8884160</v>
      </c>
      <c r="L399" s="161">
        <f t="shared" si="333"/>
        <v>0</v>
      </c>
      <c r="M399" s="161">
        <f t="shared" si="333"/>
        <v>5529389</v>
      </c>
      <c r="N399" s="161">
        <f t="shared" si="333"/>
        <v>0</v>
      </c>
      <c r="O399" s="161">
        <f t="shared" si="333"/>
        <v>1539898</v>
      </c>
      <c r="P399" s="161">
        <f t="shared" si="333"/>
        <v>0</v>
      </c>
      <c r="Q399" s="161">
        <f t="shared" si="333"/>
        <v>1747137</v>
      </c>
      <c r="R399" s="161">
        <f t="shared" si="333"/>
        <v>0</v>
      </c>
      <c r="S399" s="161">
        <f t="shared" si="333"/>
        <v>1763908</v>
      </c>
      <c r="T399" s="161">
        <f t="shared" si="333"/>
        <v>0</v>
      </c>
      <c r="U399" s="161">
        <f t="shared" si="333"/>
        <v>967980</v>
      </c>
      <c r="V399" s="161">
        <f t="shared" si="333"/>
        <v>0</v>
      </c>
      <c r="W399" s="161">
        <f t="shared" si="333"/>
        <v>2138694</v>
      </c>
      <c r="X399" s="161">
        <f t="shared" si="333"/>
        <v>0</v>
      </c>
      <c r="Y399" s="161">
        <f t="shared" si="333"/>
        <v>703927</v>
      </c>
      <c r="Z399" s="161">
        <f t="shared" si="333"/>
        <v>0</v>
      </c>
      <c r="AA399" s="161">
        <f t="shared" si="333"/>
        <v>250510</v>
      </c>
      <c r="AB399" s="161">
        <f t="shared" si="333"/>
        <v>0</v>
      </c>
      <c r="AC399" s="161">
        <f t="shared" si="333"/>
        <v>144342</v>
      </c>
      <c r="AD399" s="161">
        <f t="shared" si="333"/>
        <v>0</v>
      </c>
      <c r="AE399" s="161">
        <f t="shared" si="333"/>
        <v>27084</v>
      </c>
      <c r="AF399" s="161">
        <f t="shared" si="333"/>
        <v>0</v>
      </c>
      <c r="AG399" s="161">
        <f t="shared" si="333"/>
        <v>84695</v>
      </c>
      <c r="AI399" s="151">
        <f t="shared" si="332"/>
        <v>23781724</v>
      </c>
      <c r="AJ399" s="47"/>
      <c r="AK399" s="434"/>
    </row>
    <row r="400" spans="1:37">
      <c r="A400" s="276"/>
      <c r="B400" s="277"/>
      <c r="E400" s="216"/>
      <c r="F400" s="216"/>
      <c r="G400" s="253"/>
      <c r="H400" s="216"/>
      <c r="I400" s="274"/>
      <c r="J400" s="147">
        <v>11</v>
      </c>
      <c r="K400" s="164">
        <f>ROUND(K399/$AI399,4)-0.0001</f>
        <v>0.3735</v>
      </c>
      <c r="L400" s="164"/>
      <c r="M400" s="164">
        <f>ROUND(M399/$AI399,4)</f>
        <v>0.23250000000000001</v>
      </c>
      <c r="N400" s="164"/>
      <c r="O400" s="164">
        <f>ROUND(O399/$AI399,4)</f>
        <v>6.4799999999999996E-2</v>
      </c>
      <c r="P400" s="164"/>
      <c r="Q400" s="164">
        <f>ROUND(Q399/$AI399,4)</f>
        <v>7.3499999999999996E-2</v>
      </c>
      <c r="R400" s="164"/>
      <c r="S400" s="164">
        <f>ROUND(S399/$AI399,4)</f>
        <v>7.4200000000000002E-2</v>
      </c>
      <c r="T400" s="164"/>
      <c r="U400" s="164">
        <f>ROUND(U399/$AI399,4)</f>
        <v>4.07E-2</v>
      </c>
      <c r="V400" s="164"/>
      <c r="W400" s="164">
        <f>ROUND(W399/$AI399,4)</f>
        <v>8.9899999999999994E-2</v>
      </c>
      <c r="X400" s="164"/>
      <c r="Y400" s="164">
        <f>ROUND(Y399/$AI399,4)</f>
        <v>2.9600000000000001E-2</v>
      </c>
      <c r="Z400" s="164"/>
      <c r="AA400" s="164">
        <f>ROUND(AA399/$AI399,4)</f>
        <v>1.0500000000000001E-2</v>
      </c>
      <c r="AB400" s="164"/>
      <c r="AC400" s="164">
        <f>ROUND(AC399/$AI399,4)</f>
        <v>6.1000000000000004E-3</v>
      </c>
      <c r="AD400" s="164"/>
      <c r="AE400" s="164">
        <f>ROUND(AE399/$AI399,4)</f>
        <v>1.1000000000000001E-3</v>
      </c>
      <c r="AF400" s="164"/>
      <c r="AG400" s="164">
        <f>ROUND(AG399/$AI399,4)</f>
        <v>3.5999999999999999E-3</v>
      </c>
      <c r="AI400" s="164">
        <f t="shared" si="332"/>
        <v>0.99999999999999989</v>
      </c>
      <c r="AJ400" s="47" t="str">
        <f t="shared" si="328"/>
        <v>0k</v>
      </c>
      <c r="AK400" s="434">
        <v>11</v>
      </c>
    </row>
    <row r="401" spans="1:37">
      <c r="A401" s="276"/>
      <c r="B401" s="277"/>
      <c r="E401" s="216"/>
      <c r="F401" s="216"/>
      <c r="G401" s="253"/>
      <c r="H401" s="216"/>
      <c r="I401" s="274" t="s">
        <v>253</v>
      </c>
      <c r="K401" s="151">
        <f t="shared" ref="K401:AG401" si="334">+K94+K105+K115+K125+K57+K51</f>
        <v>49929600.495720528</v>
      </c>
      <c r="L401" s="151">
        <f t="shared" si="334"/>
        <v>0</v>
      </c>
      <c r="M401" s="151">
        <f t="shared" si="334"/>
        <v>15134911.664346771</v>
      </c>
      <c r="N401" s="151">
        <f t="shared" si="334"/>
        <v>0</v>
      </c>
      <c r="O401" s="151">
        <f t="shared" si="334"/>
        <v>3779002.9719796311</v>
      </c>
      <c r="P401" s="151">
        <f t="shared" si="334"/>
        <v>0</v>
      </c>
      <c r="Q401" s="151">
        <f t="shared" si="334"/>
        <v>4469410.679013364</v>
      </c>
      <c r="R401" s="151">
        <f t="shared" si="334"/>
        <v>0</v>
      </c>
      <c r="S401" s="151">
        <f t="shared" si="334"/>
        <v>5748550</v>
      </c>
      <c r="T401" s="151">
        <f t="shared" si="334"/>
        <v>0</v>
      </c>
      <c r="U401" s="151">
        <f t="shared" si="334"/>
        <v>2624716</v>
      </c>
      <c r="V401" s="151">
        <f t="shared" si="334"/>
        <v>0</v>
      </c>
      <c r="W401" s="151">
        <f t="shared" si="334"/>
        <v>56015775.739524826</v>
      </c>
      <c r="X401" s="151">
        <f t="shared" si="334"/>
        <v>0</v>
      </c>
      <c r="Y401" s="151">
        <f t="shared" si="334"/>
        <v>10369918.042459248</v>
      </c>
      <c r="Z401" s="151">
        <f t="shared" si="334"/>
        <v>0</v>
      </c>
      <c r="AA401" s="151">
        <f t="shared" si="334"/>
        <v>1568232</v>
      </c>
      <c r="AB401" s="151">
        <f t="shared" si="334"/>
        <v>0</v>
      </c>
      <c r="AC401" s="151">
        <f t="shared" si="334"/>
        <v>878151</v>
      </c>
      <c r="AD401" s="151">
        <f t="shared" si="334"/>
        <v>0</v>
      </c>
      <c r="AE401" s="151">
        <f t="shared" si="334"/>
        <v>251939</v>
      </c>
      <c r="AF401" s="151">
        <f t="shared" si="334"/>
        <v>0</v>
      </c>
      <c r="AG401" s="151">
        <f t="shared" si="334"/>
        <v>523622</v>
      </c>
      <c r="AI401" s="151">
        <f t="shared" si="332"/>
        <v>151293829.59304434</v>
      </c>
      <c r="AJ401" s="47"/>
      <c r="AK401" s="434"/>
    </row>
    <row r="402" spans="1:37">
      <c r="A402" s="276"/>
      <c r="B402" s="277"/>
      <c r="E402" s="216"/>
      <c r="F402" s="216"/>
      <c r="G402" s="253"/>
      <c r="H402" s="216"/>
      <c r="I402" s="216"/>
      <c r="J402" s="147">
        <v>12</v>
      </c>
      <c r="K402" s="185">
        <f>ROUND(K401/$AI401,4)</f>
        <v>0.33</v>
      </c>
      <c r="L402" s="164"/>
      <c r="M402" s="164">
        <f>ROUND(M401/$AI401,4)</f>
        <v>0.1</v>
      </c>
      <c r="N402" s="164"/>
      <c r="O402" s="164">
        <f>ROUND(O401/$AI401,4)</f>
        <v>2.5000000000000001E-2</v>
      </c>
      <c r="P402" s="164"/>
      <c r="Q402" s="164">
        <f>ROUND(Q401/$AI401,4)</f>
        <v>2.9499999999999998E-2</v>
      </c>
      <c r="R402" s="164"/>
      <c r="S402" s="164">
        <f>ROUND(S401/$AI401,4)</f>
        <v>3.7999999999999999E-2</v>
      </c>
      <c r="T402" s="164"/>
      <c r="U402" s="164">
        <f>ROUND(U401/$AI401,4)</f>
        <v>1.7299999999999999E-2</v>
      </c>
      <c r="V402" s="164"/>
      <c r="W402" s="164">
        <f>ROUND(W401/$AI401,4)+0.0001</f>
        <v>0.37029999999999996</v>
      </c>
      <c r="X402" s="164"/>
      <c r="Y402" s="164">
        <f>ROUND(Y401/$AI401,4)</f>
        <v>6.8500000000000005E-2</v>
      </c>
      <c r="Z402" s="164"/>
      <c r="AA402" s="164">
        <f>ROUND(AA401/$AI401,4)</f>
        <v>1.04E-2</v>
      </c>
      <c r="AB402" s="164"/>
      <c r="AC402" s="164">
        <f>ROUND(AC401/$AI401,4)</f>
        <v>5.7999999999999996E-3</v>
      </c>
      <c r="AD402" s="164"/>
      <c r="AE402" s="164">
        <f>ROUND(AE401/$AI401,4)</f>
        <v>1.6999999999999999E-3</v>
      </c>
      <c r="AF402" s="164"/>
      <c r="AG402" s="164">
        <f>ROUND(AG401/$AI401,4)</f>
        <v>3.5000000000000001E-3</v>
      </c>
      <c r="AI402" s="164">
        <f t="shared" si="332"/>
        <v>1</v>
      </c>
      <c r="AJ402" s="47" t="str">
        <f t="shared" si="328"/>
        <v>0k</v>
      </c>
      <c r="AK402" s="434">
        <v>12</v>
      </c>
    </row>
    <row r="403" spans="1:37">
      <c r="A403" s="276"/>
      <c r="B403" s="277"/>
      <c r="E403" s="216"/>
      <c r="F403" s="216"/>
      <c r="G403" s="253"/>
      <c r="H403" s="216"/>
      <c r="I403" s="274" t="s">
        <v>256</v>
      </c>
      <c r="K403" s="151">
        <f>+K474</f>
        <v>17072788</v>
      </c>
      <c r="L403" s="164"/>
      <c r="M403" s="151">
        <f>+M474</f>
        <v>8145300</v>
      </c>
      <c r="N403" s="151"/>
      <c r="O403" s="151">
        <f>+O474</f>
        <v>2196922</v>
      </c>
      <c r="P403" s="151"/>
      <c r="Q403" s="151">
        <f>+Q474</f>
        <v>2492519</v>
      </c>
      <c r="R403" s="151"/>
      <c r="S403" s="151">
        <f>+S474</f>
        <v>3636206</v>
      </c>
      <c r="T403" s="151"/>
      <c r="U403" s="151">
        <f>+U474</f>
        <v>1577029</v>
      </c>
      <c r="V403" s="164"/>
      <c r="W403" s="145">
        <f>+W474</f>
        <v>38204982</v>
      </c>
      <c r="X403" s="151"/>
      <c r="Y403" s="151">
        <f>+Y474</f>
        <v>8055415</v>
      </c>
      <c r="Z403" s="151"/>
      <c r="AA403" s="151">
        <f>+AA474</f>
        <v>1078520</v>
      </c>
      <c r="AB403" s="151"/>
      <c r="AC403" s="151">
        <f>+AC474</f>
        <v>607014</v>
      </c>
      <c r="AD403" s="151"/>
      <c r="AE403" s="151">
        <f>+AE474</f>
        <v>126683</v>
      </c>
      <c r="AF403" s="151"/>
      <c r="AG403" s="151">
        <f>+AG474</f>
        <v>360405</v>
      </c>
      <c r="AH403" s="151"/>
      <c r="AI403" s="151">
        <f t="shared" si="332"/>
        <v>83553783</v>
      </c>
      <c r="AJ403" s="47"/>
      <c r="AK403" s="434"/>
    </row>
    <row r="404" spans="1:37">
      <c r="A404" s="276"/>
      <c r="B404" s="277"/>
      <c r="E404" s="216"/>
      <c r="F404" s="216"/>
      <c r="G404" s="253"/>
      <c r="H404" s="216"/>
      <c r="I404" s="216"/>
      <c r="J404" s="147">
        <v>13</v>
      </c>
      <c r="K404" s="164">
        <f>ROUND(K403/$AI403,4)</f>
        <v>0.20430000000000001</v>
      </c>
      <c r="L404" s="164"/>
      <c r="M404" s="164">
        <f>ROUND(M403/$AI403,4)</f>
        <v>9.7500000000000003E-2</v>
      </c>
      <c r="N404" s="164"/>
      <c r="O404" s="164">
        <f>ROUND(O403/$AI403,4)</f>
        <v>2.63E-2</v>
      </c>
      <c r="P404" s="164"/>
      <c r="Q404" s="164">
        <f>ROUND(Q403/$AI403,4)</f>
        <v>2.98E-2</v>
      </c>
      <c r="R404" s="164"/>
      <c r="S404" s="164">
        <f>ROUND(S403/$AI403,4)</f>
        <v>4.3499999999999997E-2</v>
      </c>
      <c r="T404" s="164"/>
      <c r="U404" s="164">
        <f>ROUND(U403/$AI403,4)</f>
        <v>1.89E-2</v>
      </c>
      <c r="V404" s="164"/>
      <c r="W404" s="164">
        <f>ROUND(W403/$AI403,4)</f>
        <v>0.45729999999999998</v>
      </c>
      <c r="X404" s="164"/>
      <c r="Y404" s="164">
        <f>ROUND(Y403/$AI403,4)</f>
        <v>9.64E-2</v>
      </c>
      <c r="Z404" s="164"/>
      <c r="AA404" s="164">
        <f>ROUND(AA403/$AI403,4)</f>
        <v>1.29E-2</v>
      </c>
      <c r="AB404" s="164"/>
      <c r="AC404" s="164">
        <f>ROUND(AC403/$AI403,4)</f>
        <v>7.3000000000000001E-3</v>
      </c>
      <c r="AD404" s="164"/>
      <c r="AE404" s="164">
        <f>ROUND(AE403/$AI403,4)</f>
        <v>1.5E-3</v>
      </c>
      <c r="AF404" s="164"/>
      <c r="AG404" s="164">
        <f>ROUND(AG403/$AI403,4)</f>
        <v>4.3E-3</v>
      </c>
      <c r="AI404" s="164">
        <f t="shared" si="332"/>
        <v>0.99999999999999989</v>
      </c>
      <c r="AJ404" s="47" t="str">
        <f t="shared" si="328"/>
        <v>0k</v>
      </c>
      <c r="AK404" s="434">
        <v>13</v>
      </c>
    </row>
    <row r="405" spans="1:37">
      <c r="A405" s="276"/>
      <c r="B405" s="277"/>
      <c r="E405" s="216"/>
      <c r="F405" s="216"/>
      <c r="G405" s="253"/>
      <c r="H405" s="216"/>
      <c r="I405" s="274" t="s">
        <v>257</v>
      </c>
      <c r="K405" s="151">
        <f>+K333+SUM(K362+K363)+K364+K365+K367+SUM(K337:K340)+K347</f>
        <v>939585198</v>
      </c>
      <c r="L405" s="151">
        <f t="shared" ref="L405:AG405" si="335">+L333+SUM(L362+L363)+L364+L365+L367+SUM(L337:L340)+L347</f>
        <v>0</v>
      </c>
      <c r="M405" s="151">
        <f t="shared" si="335"/>
        <v>545001985</v>
      </c>
      <c r="N405" s="151">
        <f t="shared" si="335"/>
        <v>0</v>
      </c>
      <c r="O405" s="151">
        <f t="shared" si="335"/>
        <v>147492161</v>
      </c>
      <c r="P405" s="151">
        <f t="shared" si="335"/>
        <v>0</v>
      </c>
      <c r="Q405" s="151">
        <f t="shared" si="335"/>
        <v>169428260</v>
      </c>
      <c r="R405" s="151">
        <f t="shared" si="335"/>
        <v>0</v>
      </c>
      <c r="S405" s="151">
        <f t="shared" si="335"/>
        <v>114872393</v>
      </c>
      <c r="T405" s="151">
        <f t="shared" si="335"/>
        <v>0</v>
      </c>
      <c r="U405" s="151">
        <f t="shared" si="335"/>
        <v>82697148</v>
      </c>
      <c r="V405" s="151">
        <f t="shared" si="335"/>
        <v>0</v>
      </c>
      <c r="W405" s="151">
        <f t="shared" si="335"/>
        <v>991755721</v>
      </c>
      <c r="X405" s="151">
        <f t="shared" si="335"/>
        <v>0</v>
      </c>
      <c r="Y405" s="151">
        <f t="shared" si="335"/>
        <v>189503034</v>
      </c>
      <c r="Z405" s="151">
        <f t="shared" si="335"/>
        <v>0</v>
      </c>
      <c r="AA405" s="151">
        <f t="shared" si="335"/>
        <v>20035532</v>
      </c>
      <c r="AB405" s="151">
        <f t="shared" si="335"/>
        <v>0</v>
      </c>
      <c r="AC405" s="151">
        <f t="shared" si="335"/>
        <v>11110823</v>
      </c>
      <c r="AD405" s="151">
        <f t="shared" si="335"/>
        <v>0</v>
      </c>
      <c r="AE405" s="151">
        <f t="shared" si="335"/>
        <v>2316091</v>
      </c>
      <c r="AF405" s="151">
        <f t="shared" si="335"/>
        <v>0</v>
      </c>
      <c r="AG405" s="151">
        <f t="shared" si="335"/>
        <v>6896078</v>
      </c>
      <c r="AI405" s="151">
        <f t="shared" si="332"/>
        <v>3220694424</v>
      </c>
      <c r="AJ405" s="47"/>
      <c r="AK405" s="434"/>
    </row>
    <row r="406" spans="1:37">
      <c r="A406" s="276"/>
      <c r="B406" s="277"/>
      <c r="E406" s="216"/>
      <c r="F406" s="216"/>
      <c r="G406" s="253"/>
      <c r="H406" s="216"/>
      <c r="I406" s="216"/>
      <c r="J406" s="147">
        <v>14</v>
      </c>
      <c r="K406" s="164">
        <f>ROUND(K405/$AI405,4)</f>
        <v>0.29170000000000001</v>
      </c>
      <c r="L406" s="164"/>
      <c r="M406" s="164">
        <f>ROUND(M405/$AI405,4)</f>
        <v>0.16919999999999999</v>
      </c>
      <c r="N406" s="164"/>
      <c r="O406" s="164">
        <f>ROUND(O405/$AI405,4)</f>
        <v>4.58E-2</v>
      </c>
      <c r="P406" s="164"/>
      <c r="Q406" s="164">
        <f>ROUND(Q405/$AI405,4)</f>
        <v>5.2600000000000001E-2</v>
      </c>
      <c r="R406" s="164"/>
      <c r="S406" s="164">
        <f>ROUND(S405/$AI405,4)</f>
        <v>3.5700000000000003E-2</v>
      </c>
      <c r="T406" s="164"/>
      <c r="U406" s="164">
        <f>ROUND(U405/$AI405,4)</f>
        <v>2.5700000000000001E-2</v>
      </c>
      <c r="V406" s="164"/>
      <c r="W406" s="164">
        <f>ROUND(W405/$AI405,4)+0.0002</f>
        <v>0.30809999999999998</v>
      </c>
      <c r="X406" s="164"/>
      <c r="Y406" s="164">
        <f>ROUND(Y405/$AI405,4)</f>
        <v>5.8799999999999998E-2</v>
      </c>
      <c r="Z406" s="164"/>
      <c r="AA406" s="164">
        <f>ROUND(AA405/$AI405,4)</f>
        <v>6.1999999999999998E-3</v>
      </c>
      <c r="AB406" s="164"/>
      <c r="AC406" s="164">
        <f>ROUND(AC405/$AI405,4)</f>
        <v>3.3999999999999998E-3</v>
      </c>
      <c r="AD406" s="164"/>
      <c r="AE406" s="164">
        <f>ROUND(AE405/$AI405,4)</f>
        <v>6.9999999999999999E-4</v>
      </c>
      <c r="AF406" s="164"/>
      <c r="AG406" s="164">
        <f>ROUND(AG405/$AI405,4)</f>
        <v>2.0999999999999999E-3</v>
      </c>
      <c r="AI406" s="164">
        <f t="shared" si="332"/>
        <v>0.99999999999999978</v>
      </c>
      <c r="AJ406" s="47" t="str">
        <f t="shared" si="328"/>
        <v>0k</v>
      </c>
      <c r="AK406" s="434">
        <v>14</v>
      </c>
    </row>
    <row r="407" spans="1:37">
      <c r="A407" s="276"/>
      <c r="B407" s="277"/>
      <c r="E407" s="216"/>
      <c r="F407" s="216"/>
      <c r="G407" s="253"/>
      <c r="H407" s="216"/>
      <c r="I407" s="274" t="s">
        <v>265</v>
      </c>
      <c r="K407" s="145">
        <f>+K371</f>
        <v>763405538</v>
      </c>
      <c r="L407" s="145">
        <f t="shared" ref="L407:AG407" si="336">+L371</f>
        <v>0</v>
      </c>
      <c r="M407" s="145">
        <f t="shared" si="336"/>
        <v>442809328</v>
      </c>
      <c r="N407" s="145">
        <f t="shared" si="336"/>
        <v>0</v>
      </c>
      <c r="O407" s="145">
        <f t="shared" si="336"/>
        <v>119830083</v>
      </c>
      <c r="P407" s="145">
        <f t="shared" si="336"/>
        <v>0</v>
      </c>
      <c r="Q407" s="145">
        <f t="shared" si="336"/>
        <v>137659148</v>
      </c>
      <c r="R407" s="145">
        <f t="shared" si="336"/>
        <v>0</v>
      </c>
      <c r="S407" s="145">
        <f t="shared" si="336"/>
        <v>93310466</v>
      </c>
      <c r="T407" s="145">
        <f t="shared" si="336"/>
        <v>0</v>
      </c>
      <c r="U407" s="145">
        <f t="shared" si="336"/>
        <v>67174976</v>
      </c>
      <c r="V407" s="145">
        <f t="shared" si="336"/>
        <v>0</v>
      </c>
      <c r="W407" s="145">
        <f t="shared" si="336"/>
        <v>805670863</v>
      </c>
      <c r="X407" s="145">
        <f t="shared" si="336"/>
        <v>0</v>
      </c>
      <c r="Y407" s="145">
        <f t="shared" si="336"/>
        <v>153989274</v>
      </c>
      <c r="Z407" s="145">
        <f t="shared" si="336"/>
        <v>0</v>
      </c>
      <c r="AA407" s="145">
        <f t="shared" si="336"/>
        <v>16290883</v>
      </c>
      <c r="AB407" s="145">
        <f t="shared" si="336"/>
        <v>0</v>
      </c>
      <c r="AC407" s="145">
        <f t="shared" si="336"/>
        <v>9057307</v>
      </c>
      <c r="AD407" s="145">
        <f t="shared" si="336"/>
        <v>0</v>
      </c>
      <c r="AE407" s="145">
        <f t="shared" si="336"/>
        <v>1893309</v>
      </c>
      <c r="AF407" s="145">
        <f t="shared" si="336"/>
        <v>0</v>
      </c>
      <c r="AG407" s="145">
        <f t="shared" si="336"/>
        <v>5627730</v>
      </c>
      <c r="AI407" s="151">
        <f t="shared" si="332"/>
        <v>2616718905</v>
      </c>
      <c r="AJ407" s="47"/>
      <c r="AK407" s="434"/>
    </row>
    <row r="408" spans="1:37">
      <c r="A408" s="276"/>
      <c r="B408" s="277"/>
      <c r="E408" s="216"/>
      <c r="F408" s="216"/>
      <c r="G408" s="253"/>
      <c r="H408" s="216"/>
      <c r="I408" s="216"/>
      <c r="J408" s="147">
        <v>15</v>
      </c>
      <c r="K408" s="164">
        <f>ROUND(K407/$AI407,4)</f>
        <v>0.29170000000000001</v>
      </c>
      <c r="L408" s="164"/>
      <c r="M408" s="164">
        <f>ROUND(M407/$AI407,4)</f>
        <v>0.16919999999999999</v>
      </c>
      <c r="N408" s="164"/>
      <c r="O408" s="164">
        <f>ROUND(O407/$AI407,4)</f>
        <v>4.58E-2</v>
      </c>
      <c r="P408" s="164"/>
      <c r="Q408" s="164">
        <f>ROUND(Q407/$AI407,4)</f>
        <v>5.2600000000000001E-2</v>
      </c>
      <c r="R408" s="164"/>
      <c r="S408" s="164">
        <f>ROUND(S407/$AI407,4)</f>
        <v>3.5700000000000003E-2</v>
      </c>
      <c r="T408" s="164"/>
      <c r="U408" s="164">
        <f>ROUND(U407/$AI407,4)</f>
        <v>2.5700000000000001E-2</v>
      </c>
      <c r="V408" s="164"/>
      <c r="W408" s="164">
        <f>ROUND(W407/$AI407,4)</f>
        <v>0.30790000000000001</v>
      </c>
      <c r="X408" s="164"/>
      <c r="Y408" s="164">
        <f>ROUND(Y407/$AI407,4)</f>
        <v>5.8799999999999998E-2</v>
      </c>
      <c r="Z408" s="164"/>
      <c r="AA408" s="164">
        <f>ROUND(AA407/$AI407,4)</f>
        <v>6.1999999999999998E-3</v>
      </c>
      <c r="AB408" s="164"/>
      <c r="AC408" s="164">
        <f>ROUND(AC407/$AI407,4)</f>
        <v>3.5000000000000001E-3</v>
      </c>
      <c r="AD408" s="164"/>
      <c r="AE408" s="164">
        <f>ROUND(AE407/$AI407,4)</f>
        <v>6.9999999999999999E-4</v>
      </c>
      <c r="AF408" s="164"/>
      <c r="AG408" s="164">
        <f>ROUND(AG407/$AI407,4)</f>
        <v>2.2000000000000001E-3</v>
      </c>
      <c r="AI408" s="164">
        <f t="shared" si="332"/>
        <v>0.99999999999999978</v>
      </c>
      <c r="AJ408" s="47" t="str">
        <f t="shared" si="328"/>
        <v>0k</v>
      </c>
      <c r="AK408" s="434">
        <v>15</v>
      </c>
    </row>
    <row r="409" spans="1:37">
      <c r="A409" s="276"/>
      <c r="B409" s="277"/>
      <c r="E409" s="274"/>
      <c r="F409" s="216"/>
      <c r="G409" s="253"/>
      <c r="H409" s="216"/>
      <c r="I409" s="274" t="s">
        <v>266</v>
      </c>
      <c r="K409" s="151">
        <f>+K94+K105+K115+K125+SUM(K130:K136)+K140+K142+K148+K232+SUM(K236:K236)+SUM(K240)+K246+K248+K141+K238+K57+K44+K51</f>
        <v>193660504.49572054</v>
      </c>
      <c r="L409" s="151">
        <f t="shared" ref="L409:AG409" si="337">+L94+L105+L115+L125+SUM(L130:L136)+L140+L142+L148+L232+SUM(L236:L236)+SUM(L240)+L246+L248+L141+L238+L57+L44+L51</f>
        <v>0</v>
      </c>
      <c r="M409" s="151">
        <f t="shared" si="337"/>
        <v>87094700.664346769</v>
      </c>
      <c r="N409" s="151">
        <f t="shared" si="337"/>
        <v>0</v>
      </c>
      <c r="O409" s="151">
        <f t="shared" si="337"/>
        <v>22579788.971979633</v>
      </c>
      <c r="P409" s="151">
        <f t="shared" si="337"/>
        <v>0</v>
      </c>
      <c r="Q409" s="151">
        <f t="shared" si="337"/>
        <v>26134381.679013364</v>
      </c>
      <c r="R409" s="151">
        <f t="shared" si="337"/>
        <v>0</v>
      </c>
      <c r="S409" s="151">
        <f t="shared" si="337"/>
        <v>23193803</v>
      </c>
      <c r="T409" s="151">
        <f t="shared" si="337"/>
        <v>0</v>
      </c>
      <c r="U409" s="151">
        <f t="shared" si="337"/>
        <v>13672654</v>
      </c>
      <c r="V409" s="151">
        <f t="shared" si="337"/>
        <v>0</v>
      </c>
      <c r="W409" s="151">
        <f t="shared" si="337"/>
        <v>233702603.73952484</v>
      </c>
      <c r="X409" s="151">
        <f t="shared" si="337"/>
        <v>0</v>
      </c>
      <c r="Y409" s="151">
        <f t="shared" si="337"/>
        <v>45160898.042459249</v>
      </c>
      <c r="Z409" s="151">
        <f t="shared" si="337"/>
        <v>0</v>
      </c>
      <c r="AA409" s="151">
        <f t="shared" si="337"/>
        <v>5635329</v>
      </c>
      <c r="AB409" s="151">
        <f t="shared" si="337"/>
        <v>0</v>
      </c>
      <c r="AC409" s="151">
        <f t="shared" si="337"/>
        <v>3161426</v>
      </c>
      <c r="AD409" s="151">
        <f t="shared" si="337"/>
        <v>0</v>
      </c>
      <c r="AE409" s="151">
        <f t="shared" si="337"/>
        <v>762916</v>
      </c>
      <c r="AF409" s="151">
        <f t="shared" si="337"/>
        <v>0</v>
      </c>
      <c r="AG409" s="151">
        <f t="shared" si="337"/>
        <v>1917942</v>
      </c>
      <c r="AH409" s="151"/>
      <c r="AI409" s="151">
        <f t="shared" si="332"/>
        <v>656676947.5930444</v>
      </c>
      <c r="AJ409" s="47"/>
      <c r="AK409" s="434"/>
    </row>
    <row r="410" spans="1:37">
      <c r="A410" s="276"/>
      <c r="B410" s="277"/>
      <c r="E410" s="274"/>
      <c r="F410" s="216"/>
      <c r="G410" s="253"/>
      <c r="H410" s="216"/>
      <c r="I410" s="216"/>
      <c r="J410" s="147">
        <v>16</v>
      </c>
      <c r="K410" s="164">
        <f>ROUND(K409/$AI409,4)-0.0001</f>
        <v>0.29480000000000001</v>
      </c>
      <c r="L410" s="164"/>
      <c r="M410" s="164">
        <f>ROUND(M409/$AI409,4)</f>
        <v>0.1326</v>
      </c>
      <c r="N410" s="164"/>
      <c r="O410" s="164">
        <f>ROUND(O409/$AI409,4)</f>
        <v>3.44E-2</v>
      </c>
      <c r="P410" s="164"/>
      <c r="Q410" s="164">
        <f>ROUND(Q409/$AI409,4)</f>
        <v>3.9800000000000002E-2</v>
      </c>
      <c r="R410" s="164"/>
      <c r="S410" s="164">
        <f>ROUND(S409/$AI409,4)</f>
        <v>3.5299999999999998E-2</v>
      </c>
      <c r="T410" s="164"/>
      <c r="U410" s="164">
        <f>ROUND(U409/$AI409,4)</f>
        <v>2.0799999999999999E-2</v>
      </c>
      <c r="V410" s="164"/>
      <c r="W410" s="164">
        <f>ROUND(W409/$AI409,4)+0.0001</f>
        <v>0.35599999999999998</v>
      </c>
      <c r="X410" s="164"/>
      <c r="Y410" s="164">
        <f>ROUND(Y409/$AI409,4)</f>
        <v>6.88E-2</v>
      </c>
      <c r="Z410" s="164"/>
      <c r="AA410" s="164">
        <f>ROUND(AA409/$AI409,4)</f>
        <v>8.6E-3</v>
      </c>
      <c r="AB410" s="164"/>
      <c r="AC410" s="164">
        <f>ROUND(AC409/$AI409,4)</f>
        <v>4.7999999999999996E-3</v>
      </c>
      <c r="AD410" s="164"/>
      <c r="AE410" s="164">
        <f>ROUND(AE409/$AI409,4)</f>
        <v>1.1999999999999999E-3</v>
      </c>
      <c r="AF410" s="164"/>
      <c r="AG410" s="164">
        <f>ROUND(AG409/$AI409,4)</f>
        <v>2.8999999999999998E-3</v>
      </c>
      <c r="AI410" s="164">
        <f t="shared" si="332"/>
        <v>1</v>
      </c>
      <c r="AJ410" s="47" t="str">
        <f t="shared" si="328"/>
        <v>0k</v>
      </c>
      <c r="AK410" s="434">
        <v>16</v>
      </c>
    </row>
    <row r="411" spans="1:37">
      <c r="A411" s="276"/>
      <c r="B411" s="277"/>
      <c r="E411" s="216"/>
      <c r="F411" s="216"/>
      <c r="G411" s="253"/>
      <c r="H411" s="216"/>
      <c r="I411" s="274" t="s">
        <v>268</v>
      </c>
      <c r="K411" s="151">
        <f t="shared" ref="K411:U411" si="338">+K303+K304</f>
        <v>467577453</v>
      </c>
      <c r="L411" s="151">
        <f t="shared" si="338"/>
        <v>0</v>
      </c>
      <c r="M411" s="151">
        <f t="shared" si="338"/>
        <v>291026151</v>
      </c>
      <c r="N411" s="151">
        <f t="shared" si="338"/>
        <v>0</v>
      </c>
      <c r="O411" s="151">
        <f t="shared" si="338"/>
        <v>81237061</v>
      </c>
      <c r="P411" s="151">
        <f t="shared" si="338"/>
        <v>0</v>
      </c>
      <c r="Q411" s="151">
        <f t="shared" si="338"/>
        <v>93163561</v>
      </c>
      <c r="R411" s="151">
        <f t="shared" si="338"/>
        <v>0</v>
      </c>
      <c r="S411" s="151">
        <f t="shared" si="338"/>
        <v>93342444</v>
      </c>
      <c r="T411" s="151">
        <f t="shared" si="338"/>
        <v>0</v>
      </c>
      <c r="U411" s="151">
        <f t="shared" si="338"/>
        <v>45008471</v>
      </c>
      <c r="W411" s="151"/>
      <c r="Y411" s="151"/>
      <c r="AA411" s="151"/>
      <c r="AC411" s="151"/>
      <c r="AE411" s="151"/>
      <c r="AF411" s="151"/>
      <c r="AG411" s="151"/>
      <c r="AI411" s="151">
        <f>SUM(K411:AE411)</f>
        <v>1071355141</v>
      </c>
      <c r="AJ411" s="47"/>
      <c r="AK411" s="434"/>
    </row>
    <row r="412" spans="1:37">
      <c r="A412" s="276"/>
      <c r="B412" s="277"/>
      <c r="E412" s="216"/>
      <c r="F412" s="216"/>
      <c r="G412" s="253"/>
      <c r="H412" s="216"/>
      <c r="I412" s="216"/>
      <c r="J412" s="147">
        <v>17</v>
      </c>
      <c r="K412" s="164">
        <f>ROUND(K411/$AI411,4)+0.0001</f>
        <v>0.4365</v>
      </c>
      <c r="L412" s="164"/>
      <c r="M412" s="164">
        <f>ROUND(M411/$AI411,4)</f>
        <v>0.27160000000000001</v>
      </c>
      <c r="N412" s="164"/>
      <c r="O412" s="164">
        <f>ROUND(O411/$AI411,4)</f>
        <v>7.5800000000000006E-2</v>
      </c>
      <c r="P412" s="164"/>
      <c r="Q412" s="164">
        <f>ROUND(Q411/$AI411,4)</f>
        <v>8.6999999999999994E-2</v>
      </c>
      <c r="R412" s="164"/>
      <c r="S412" s="164">
        <f>ROUND(S411/$AI411,4)</f>
        <v>8.7099999999999997E-2</v>
      </c>
      <c r="T412" s="164"/>
      <c r="U412" s="164">
        <f>ROUND(U411/$AI411,4)</f>
        <v>4.2000000000000003E-2</v>
      </c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  <c r="AG412" s="164"/>
      <c r="AI412" s="164">
        <f>SUM(K412:AG412)</f>
        <v>0.99999999999999989</v>
      </c>
      <c r="AJ412" s="47" t="str">
        <f t="shared" si="328"/>
        <v>0k</v>
      </c>
      <c r="AK412" s="434">
        <v>17</v>
      </c>
    </row>
    <row r="413" spans="1:37">
      <c r="A413" s="276"/>
      <c r="B413" s="277"/>
      <c r="E413" s="216"/>
      <c r="F413" s="216"/>
      <c r="G413" s="253"/>
      <c r="H413" s="216"/>
      <c r="I413" s="454" t="s">
        <v>458</v>
      </c>
      <c r="K413" s="161">
        <f>+K302+K303+K304</f>
        <v>725151137</v>
      </c>
      <c r="L413" s="161"/>
      <c r="M413" s="161">
        <f>+M302+M303+M304</f>
        <v>451343286</v>
      </c>
      <c r="N413" s="161"/>
      <c r="O413" s="161">
        <f>+O302+O303+O304</f>
        <v>125987998</v>
      </c>
      <c r="P413" s="161"/>
      <c r="Q413" s="161">
        <f>+Q302+Q303+Q304</f>
        <v>144484431</v>
      </c>
      <c r="R413" s="161"/>
      <c r="S413" s="161">
        <f>+S302+S303+S304</f>
        <v>93342444</v>
      </c>
      <c r="T413" s="161"/>
      <c r="U413" s="161">
        <f>+U302+U303+U304</f>
        <v>69564942</v>
      </c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  <c r="AI413" s="151">
        <f>SUM(K413:AE413)</f>
        <v>1609874238</v>
      </c>
      <c r="AJ413" s="47"/>
      <c r="AK413" s="434"/>
    </row>
    <row r="414" spans="1:37">
      <c r="A414" s="276"/>
      <c r="B414" s="276"/>
      <c r="E414" s="216"/>
      <c r="F414" s="216"/>
      <c r="G414" s="253"/>
      <c r="H414" s="216"/>
      <c r="I414" s="216"/>
      <c r="J414" s="276">
        <v>18</v>
      </c>
      <c r="K414" s="164">
        <f>ROUND(K413/$AI413,4)</f>
        <v>0.45040000000000002</v>
      </c>
      <c r="L414" s="164"/>
      <c r="M414" s="164">
        <f>ROUND(M413/$AI413,4)</f>
        <v>0.28039999999999998</v>
      </c>
      <c r="N414" s="164"/>
      <c r="O414" s="164">
        <f>ROUND(O413/$AI413,4)</f>
        <v>7.8299999999999995E-2</v>
      </c>
      <c r="P414" s="164"/>
      <c r="Q414" s="164">
        <f>ROUND(Q413/$AI413,4)</f>
        <v>8.9700000000000002E-2</v>
      </c>
      <c r="R414" s="164"/>
      <c r="S414" s="164">
        <f>ROUND(S413/$AI413,4)</f>
        <v>5.8000000000000003E-2</v>
      </c>
      <c r="T414" s="164"/>
      <c r="U414" s="164">
        <f>ROUND(U413/$AI413,4)</f>
        <v>4.3200000000000002E-2</v>
      </c>
      <c r="V414" s="276"/>
      <c r="W414" s="276"/>
      <c r="X414" s="276"/>
      <c r="Y414" s="276"/>
      <c r="Z414" s="276"/>
      <c r="AA414" s="276"/>
      <c r="AB414" s="276"/>
      <c r="AC414" s="276"/>
      <c r="AD414" s="276"/>
      <c r="AE414" s="276">
        <v>0</v>
      </c>
      <c r="AF414" s="276"/>
      <c r="AG414" s="276"/>
      <c r="AH414" s="276"/>
      <c r="AI414" s="164">
        <f>SUM(K414:AG414)</f>
        <v>1</v>
      </c>
      <c r="AJ414" s="276" t="str">
        <f t="shared" si="328"/>
        <v>0k</v>
      </c>
      <c r="AK414" s="436">
        <v>18</v>
      </c>
    </row>
    <row r="415" spans="1:37">
      <c r="A415" s="276"/>
      <c r="B415" s="276"/>
      <c r="E415" s="216"/>
      <c r="F415" s="216"/>
      <c r="G415" s="253"/>
      <c r="H415" s="216"/>
      <c r="I415" s="454" t="s">
        <v>541</v>
      </c>
      <c r="J415" s="276">
        <v>19</v>
      </c>
      <c r="K415" s="276"/>
      <c r="L415" s="276"/>
      <c r="M415" s="276"/>
      <c r="N415" s="276"/>
      <c r="O415" s="276"/>
      <c r="P415" s="276"/>
      <c r="Q415" s="276"/>
      <c r="R415" s="276"/>
      <c r="S415" s="276"/>
      <c r="T415" s="276"/>
      <c r="U415" s="276">
        <v>0</v>
      </c>
      <c r="V415" s="276"/>
      <c r="W415" s="277">
        <f>+'Ft 15to21'!E111</f>
        <v>0.94240000000000002</v>
      </c>
      <c r="X415" s="276"/>
      <c r="Y415" s="276">
        <f>+'Ft 15to21'!E112</f>
        <v>4.65E-2</v>
      </c>
      <c r="Z415" s="276"/>
      <c r="AA415" s="276">
        <f>+'Ft 15to21'!E113</f>
        <v>5.0000000000000001E-4</v>
      </c>
      <c r="AB415" s="276"/>
      <c r="AC415" s="276">
        <f>+'Ft 15to21'!E114</f>
        <v>2.2000000000000001E-3</v>
      </c>
      <c r="AD415" s="276"/>
      <c r="AE415" s="276">
        <f>+'Ft 15to21'!E115</f>
        <v>7.3000000000000001E-3</v>
      </c>
      <c r="AF415" s="276"/>
      <c r="AG415" s="276">
        <f>+'Ft 15to21'!E116</f>
        <v>1.1000000000000001E-3</v>
      </c>
      <c r="AH415" s="276"/>
      <c r="AI415" s="277">
        <f>SUM(K415:AG415)</f>
        <v>0.99999999999999989</v>
      </c>
      <c r="AJ415" s="276" t="str">
        <f t="shared" si="328"/>
        <v>0k</v>
      </c>
      <c r="AK415" s="436">
        <v>19</v>
      </c>
    </row>
    <row r="416" spans="1:37">
      <c r="A416" s="276"/>
      <c r="B416" s="276"/>
      <c r="E416" s="216"/>
      <c r="F416" s="216"/>
      <c r="G416" s="253"/>
      <c r="H416" s="216"/>
      <c r="I416" s="454" t="s">
        <v>542</v>
      </c>
      <c r="J416" s="276">
        <v>20</v>
      </c>
      <c r="K416" s="276"/>
      <c r="L416" s="276"/>
      <c r="M416" s="276"/>
      <c r="N416" s="276"/>
      <c r="O416" s="276"/>
      <c r="P416" s="276"/>
      <c r="Q416" s="276"/>
      <c r="R416" s="276"/>
      <c r="S416" s="276"/>
      <c r="T416" s="276"/>
      <c r="U416" s="276">
        <v>0</v>
      </c>
      <c r="V416" s="276"/>
      <c r="W416" s="276">
        <f>+'Ft 15to21'!E129</f>
        <v>0.63944900000000005</v>
      </c>
      <c r="X416" s="276"/>
      <c r="Y416" s="276">
        <f>+'Ft 15to21'!E130</f>
        <v>0.25228499999999998</v>
      </c>
      <c r="Z416" s="276"/>
      <c r="AA416" s="276">
        <f>+'Ft 15to21'!E131</f>
        <v>3.8348E-2</v>
      </c>
      <c r="AB416" s="276"/>
      <c r="AC416" s="276">
        <f>+'Ft 15to21'!E132</f>
        <v>3.066E-2</v>
      </c>
      <c r="AD416" s="276"/>
      <c r="AE416" s="276">
        <f>+'Ft 15to21'!E133</f>
        <v>1.3556E-2</v>
      </c>
      <c r="AF416" s="276"/>
      <c r="AG416" s="276">
        <f>+'Ft 15to21'!E134</f>
        <v>2.5701999999999999E-2</v>
      </c>
      <c r="AH416" s="276"/>
      <c r="AI416" s="277">
        <f>SUM(K416:AG416)</f>
        <v>1</v>
      </c>
      <c r="AJ416" s="276" t="str">
        <f t="shared" si="328"/>
        <v>0k</v>
      </c>
      <c r="AK416" s="436">
        <v>20</v>
      </c>
    </row>
    <row r="417" spans="1:37">
      <c r="A417" s="276"/>
      <c r="B417" s="276"/>
      <c r="E417" s="216"/>
      <c r="F417" s="216"/>
      <c r="G417" s="253"/>
      <c r="H417" s="216"/>
      <c r="I417" s="454" t="s">
        <v>358</v>
      </c>
      <c r="J417" s="276">
        <v>21</v>
      </c>
      <c r="K417" s="276">
        <f>+'Ft 15to21'!C170</f>
        <v>0</v>
      </c>
      <c r="L417" s="276"/>
      <c r="M417" s="276">
        <f>+'Ft 15to21'!C171</f>
        <v>0</v>
      </c>
      <c r="N417" s="276"/>
      <c r="O417" s="276">
        <f>+'Ft 15to21'!C172</f>
        <v>0</v>
      </c>
      <c r="P417" s="276"/>
      <c r="Q417" s="276">
        <f>+'Ft 15to21'!C173</f>
        <v>0</v>
      </c>
      <c r="R417" s="276"/>
      <c r="S417" s="276">
        <f>+'Ft 15to21'!C174</f>
        <v>0</v>
      </c>
      <c r="T417" s="276"/>
      <c r="U417" s="276">
        <v>0</v>
      </c>
      <c r="V417" s="276"/>
      <c r="W417" s="276">
        <f>4510/18920</f>
        <v>0.23837209302325582</v>
      </c>
      <c r="X417" s="276"/>
      <c r="Y417" s="276">
        <f>12829/18920</f>
        <v>0.6780655391120507</v>
      </c>
      <c r="Z417" s="276"/>
      <c r="AA417" s="276">
        <f>895/18920</f>
        <v>4.7304439746300213E-2</v>
      </c>
      <c r="AB417" s="276"/>
      <c r="AC417" s="276">
        <f>549/18920</f>
        <v>2.9016913319238901E-2</v>
      </c>
      <c r="AD417" s="276"/>
      <c r="AE417" s="276">
        <f>8/18920</f>
        <v>4.2283298097251583E-4</v>
      </c>
      <c r="AF417" s="276"/>
      <c r="AG417" s="276">
        <f>129/18920</f>
        <v>6.8181818181818179E-3</v>
      </c>
      <c r="AH417" s="276"/>
      <c r="AI417" s="277">
        <f>SUM(K417:AG417)</f>
        <v>1</v>
      </c>
      <c r="AJ417" s="276" t="str">
        <f t="shared" si="328"/>
        <v>0k</v>
      </c>
      <c r="AK417" s="436">
        <v>21</v>
      </c>
    </row>
    <row r="418" spans="1:37">
      <c r="A418" s="276"/>
      <c r="B418" s="276"/>
      <c r="E418" s="216"/>
      <c r="F418" s="216"/>
      <c r="G418" s="253"/>
      <c r="H418" s="216"/>
      <c r="I418" s="216"/>
      <c r="AI418" s="164"/>
      <c r="AJ418" s="47"/>
      <c r="AK418" s="434"/>
    </row>
    <row r="419" spans="1:37" ht="15.75">
      <c r="A419" s="276"/>
      <c r="B419" s="276"/>
      <c r="C419" s="27" t="s">
        <v>153</v>
      </c>
      <c r="E419" s="216"/>
      <c r="F419" s="216"/>
      <c r="G419" s="253"/>
      <c r="H419" s="216"/>
      <c r="I419" s="216"/>
      <c r="AK419" s="434"/>
    </row>
    <row r="420" spans="1:37" ht="3.75" customHeight="1">
      <c r="A420" s="276"/>
      <c r="B420" s="276"/>
      <c r="E420" s="216"/>
      <c r="F420" s="216"/>
      <c r="G420" s="253"/>
      <c r="H420" s="216"/>
      <c r="I420" s="216"/>
      <c r="AK420" s="434"/>
    </row>
    <row r="421" spans="1:37">
      <c r="A421" s="276"/>
      <c r="B421" s="276"/>
      <c r="C421" s="147" t="s">
        <v>42</v>
      </c>
      <c r="E421" s="252" t="s">
        <v>460</v>
      </c>
      <c r="F421" s="252"/>
      <c r="G421" s="376">
        <v>1</v>
      </c>
      <c r="H421" s="216"/>
      <c r="I421" s="238">
        <f>Linkin!I10</f>
        <v>0</v>
      </c>
      <c r="K421" s="152">
        <f t="shared" ref="K421:K429" si="339">ROUND(VLOOKUP($G421,factors,+K$375,FALSE)*$I421,0)</f>
        <v>0</v>
      </c>
      <c r="M421" s="152">
        <f t="shared" ref="M421:M429" si="340">ROUND(VLOOKUP($G421,factors,+M$375,FALSE)*$I421,0)</f>
        <v>0</v>
      </c>
      <c r="O421" s="152">
        <f t="shared" ref="O421:O429" si="341">ROUND(VLOOKUP($G421,factors,+O$375,FALSE)*$I421,0)</f>
        <v>0</v>
      </c>
      <c r="Q421" s="152">
        <f t="shared" ref="Q421:Q429" si="342">ROUND(VLOOKUP($G421,factors,+Q$375,FALSE)*$I421,0)</f>
        <v>0</v>
      </c>
      <c r="S421" s="152">
        <f t="shared" ref="S421:S429" si="343">ROUND(VLOOKUP($G421,factors,+S$375,FALSE)*$I421,0)</f>
        <v>0</v>
      </c>
      <c r="U421" s="152">
        <f t="shared" ref="U421:U429" si="344">ROUND(VLOOKUP($G421,factors,+U$375,FALSE)*$I421,0)</f>
        <v>0</v>
      </c>
      <c r="W421" s="152">
        <f t="shared" ref="W421:W429" si="345">ROUND(VLOOKUP($G421,factors,+W$375,FALSE)*$I421,0)</f>
        <v>0</v>
      </c>
      <c r="Y421" s="152">
        <f t="shared" ref="Y421:Y429" si="346">ROUND(VLOOKUP($G421,factors,+Y$375,FALSE)*$I421,0)</f>
        <v>0</v>
      </c>
      <c r="AA421" s="152">
        <f t="shared" ref="AA421:AA429" si="347">ROUND(VLOOKUP($G421,factors,+AA$375,FALSE)*$I421,0)</f>
        <v>0</v>
      </c>
      <c r="AC421" s="152">
        <f t="shared" ref="AC421:AC429" si="348">ROUND(VLOOKUP($G421,factors,+AC$375,FALSE)*$I421,0)</f>
        <v>0</v>
      </c>
      <c r="AE421" s="152">
        <f t="shared" ref="AE421:AE429" si="349">ROUND(VLOOKUP($G421,factors,+AE$375,FALSE)*$I421,0)</f>
        <v>0</v>
      </c>
      <c r="AG421" s="152">
        <f t="shared" ref="AG421:AG429" si="350">ROUND(VLOOKUP($G421,factors,+AG$375,FALSE)*$I421,0)</f>
        <v>0</v>
      </c>
      <c r="AK421" s="434"/>
    </row>
    <row r="422" spans="1:37" ht="18" customHeight="1">
      <c r="A422" s="276"/>
      <c r="B422" s="276"/>
      <c r="C422" s="111" t="s">
        <v>378</v>
      </c>
      <c r="E422" s="252" t="s">
        <v>360</v>
      </c>
      <c r="F422" s="252"/>
      <c r="G422" s="376">
        <f>+G27</f>
        <v>1</v>
      </c>
      <c r="H422" s="216"/>
      <c r="I422" s="762">
        <f>Linkin!I15</f>
        <v>0</v>
      </c>
      <c r="K422" s="152">
        <f t="shared" si="339"/>
        <v>0</v>
      </c>
      <c r="M422" s="152">
        <f t="shared" si="340"/>
        <v>0</v>
      </c>
      <c r="O422" s="152">
        <f t="shared" si="341"/>
        <v>0</v>
      </c>
      <c r="Q422" s="152">
        <f t="shared" si="342"/>
        <v>0</v>
      </c>
      <c r="S422" s="152">
        <f t="shared" si="343"/>
        <v>0</v>
      </c>
      <c r="U422" s="152">
        <f t="shared" si="344"/>
        <v>0</v>
      </c>
      <c r="W422" s="152">
        <f t="shared" si="345"/>
        <v>0</v>
      </c>
      <c r="Y422" s="152">
        <f t="shared" si="346"/>
        <v>0</v>
      </c>
      <c r="AA422" s="152">
        <f t="shared" si="347"/>
        <v>0</v>
      </c>
      <c r="AC422" s="152">
        <f t="shared" si="348"/>
        <v>0</v>
      </c>
      <c r="AE422" s="152">
        <f t="shared" si="349"/>
        <v>0</v>
      </c>
      <c r="AG422" s="152">
        <f t="shared" si="350"/>
        <v>0</v>
      </c>
      <c r="AI422" s="153">
        <f t="shared" ref="AI422:AI478" si="351">SUM(K422:AG422)-I422</f>
        <v>0</v>
      </c>
      <c r="AK422" s="434"/>
    </row>
    <row r="423" spans="1:37">
      <c r="A423" s="276"/>
      <c r="B423" s="276"/>
      <c r="C423" s="155" t="s">
        <v>363</v>
      </c>
      <c r="E423" s="252" t="s">
        <v>41</v>
      </c>
      <c r="F423" s="252"/>
      <c r="G423" s="376">
        <f>+G30</f>
        <v>1</v>
      </c>
      <c r="H423" s="216"/>
      <c r="I423" s="254">
        <f>Linkin!I16</f>
        <v>0</v>
      </c>
      <c r="K423" s="152">
        <f t="shared" si="339"/>
        <v>0</v>
      </c>
      <c r="M423" s="152">
        <f t="shared" si="340"/>
        <v>0</v>
      </c>
      <c r="O423" s="152">
        <f t="shared" si="341"/>
        <v>0</v>
      </c>
      <c r="Q423" s="152">
        <f t="shared" si="342"/>
        <v>0</v>
      </c>
      <c r="S423" s="152">
        <f t="shared" si="343"/>
        <v>0</v>
      </c>
      <c r="U423" s="152">
        <f t="shared" si="344"/>
        <v>0</v>
      </c>
      <c r="W423" s="152">
        <f t="shared" si="345"/>
        <v>0</v>
      </c>
      <c r="Y423" s="152">
        <f t="shared" si="346"/>
        <v>0</v>
      </c>
      <c r="AA423" s="152">
        <f t="shared" si="347"/>
        <v>0</v>
      </c>
      <c r="AC423" s="152">
        <f t="shared" si="348"/>
        <v>0</v>
      </c>
      <c r="AE423" s="152">
        <f t="shared" si="349"/>
        <v>0</v>
      </c>
      <c r="AG423" s="152">
        <f t="shared" si="350"/>
        <v>0</v>
      </c>
      <c r="AI423" s="153">
        <f t="shared" si="351"/>
        <v>0</v>
      </c>
      <c r="AK423" s="434"/>
    </row>
    <row r="424" spans="1:37">
      <c r="A424" s="276"/>
      <c r="B424" s="276"/>
      <c r="C424" s="155">
        <v>813</v>
      </c>
      <c r="E424" s="252" t="s">
        <v>224</v>
      </c>
      <c r="F424" s="252"/>
      <c r="G424" s="376">
        <v>1</v>
      </c>
      <c r="H424" s="216"/>
      <c r="I424" s="254">
        <f>Linkin!I32</f>
        <v>0</v>
      </c>
      <c r="K424" s="152">
        <f t="shared" si="339"/>
        <v>0</v>
      </c>
      <c r="M424" s="152">
        <f t="shared" si="340"/>
        <v>0</v>
      </c>
      <c r="O424" s="152">
        <f t="shared" si="341"/>
        <v>0</v>
      </c>
      <c r="Q424" s="152">
        <f t="shared" si="342"/>
        <v>0</v>
      </c>
      <c r="S424" s="152">
        <f t="shared" si="343"/>
        <v>0</v>
      </c>
      <c r="U424" s="152">
        <f t="shared" si="344"/>
        <v>0</v>
      </c>
      <c r="W424" s="152">
        <f t="shared" si="345"/>
        <v>0</v>
      </c>
      <c r="Y424" s="152">
        <f t="shared" si="346"/>
        <v>0</v>
      </c>
      <c r="AA424" s="152">
        <f t="shared" si="347"/>
        <v>0</v>
      </c>
      <c r="AC424" s="152">
        <f t="shared" si="348"/>
        <v>0</v>
      </c>
      <c r="AE424" s="152">
        <f t="shared" si="349"/>
        <v>0</v>
      </c>
      <c r="AG424" s="152">
        <f t="shared" si="350"/>
        <v>0</v>
      </c>
      <c r="AI424" s="153"/>
      <c r="AK424" s="434"/>
    </row>
    <row r="425" spans="1:37">
      <c r="A425" s="276"/>
      <c r="B425" s="276"/>
      <c r="C425" s="155">
        <v>840</v>
      </c>
      <c r="E425" s="252" t="s">
        <v>600</v>
      </c>
      <c r="F425" s="216"/>
      <c r="G425" s="253" t="str">
        <f>+G47</f>
        <v>1A</v>
      </c>
      <c r="H425" s="216"/>
      <c r="I425" s="254">
        <f>+Linkin!I45</f>
        <v>0</v>
      </c>
      <c r="K425" s="152">
        <f t="shared" si="339"/>
        <v>0</v>
      </c>
      <c r="M425" s="152">
        <f t="shared" si="340"/>
        <v>0</v>
      </c>
      <c r="O425" s="152">
        <f t="shared" si="341"/>
        <v>0</v>
      </c>
      <c r="Q425" s="152">
        <f t="shared" si="342"/>
        <v>0</v>
      </c>
      <c r="S425" s="152">
        <f t="shared" si="343"/>
        <v>0</v>
      </c>
      <c r="U425" s="152">
        <f t="shared" si="344"/>
        <v>0</v>
      </c>
      <c r="W425" s="152">
        <f t="shared" si="345"/>
        <v>0</v>
      </c>
      <c r="Y425" s="152">
        <f t="shared" si="346"/>
        <v>0</v>
      </c>
      <c r="AA425" s="152">
        <f t="shared" si="347"/>
        <v>0</v>
      </c>
      <c r="AC425" s="152">
        <f t="shared" si="348"/>
        <v>0</v>
      </c>
      <c r="AE425" s="152">
        <f t="shared" si="349"/>
        <v>0</v>
      </c>
      <c r="AG425" s="152">
        <f t="shared" si="350"/>
        <v>0</v>
      </c>
      <c r="AI425" s="153">
        <f t="shared" ref="AI425:AI426" si="352">SUM(K425:AG425)-I425</f>
        <v>0</v>
      </c>
      <c r="AK425" s="434"/>
    </row>
    <row r="426" spans="1:37">
      <c r="A426" s="276"/>
      <c r="B426" s="276"/>
      <c r="C426" s="123" t="s">
        <v>375</v>
      </c>
      <c r="E426" s="110" t="s">
        <v>368</v>
      </c>
      <c r="F426" s="216"/>
      <c r="G426" s="253">
        <f>+G54</f>
        <v>4</v>
      </c>
      <c r="H426" s="216"/>
      <c r="I426" s="254">
        <f>+Linkin!I60</f>
        <v>0</v>
      </c>
      <c r="K426" s="152">
        <f t="shared" si="339"/>
        <v>0</v>
      </c>
      <c r="M426" s="152">
        <f t="shared" si="340"/>
        <v>0</v>
      </c>
      <c r="O426" s="152">
        <f t="shared" si="341"/>
        <v>0</v>
      </c>
      <c r="Q426" s="152">
        <f t="shared" si="342"/>
        <v>0</v>
      </c>
      <c r="S426" s="152">
        <f t="shared" si="343"/>
        <v>0</v>
      </c>
      <c r="U426" s="152">
        <f t="shared" si="344"/>
        <v>0</v>
      </c>
      <c r="W426" s="152">
        <f t="shared" si="345"/>
        <v>0</v>
      </c>
      <c r="Y426" s="152">
        <f t="shared" si="346"/>
        <v>0</v>
      </c>
      <c r="AA426" s="152">
        <f t="shared" si="347"/>
        <v>0</v>
      </c>
      <c r="AC426" s="152">
        <f t="shared" si="348"/>
        <v>0</v>
      </c>
      <c r="AE426" s="152">
        <f t="shared" si="349"/>
        <v>0</v>
      </c>
      <c r="AG426" s="152">
        <f t="shared" si="350"/>
        <v>0</v>
      </c>
      <c r="AI426" s="153">
        <f t="shared" si="352"/>
        <v>0</v>
      </c>
      <c r="AK426" s="434"/>
    </row>
    <row r="427" spans="1:37">
      <c r="A427" s="276"/>
      <c r="B427" s="276"/>
      <c r="C427" s="123" t="s">
        <v>376</v>
      </c>
      <c r="E427" s="110" t="s">
        <v>369</v>
      </c>
      <c r="F427" s="216"/>
      <c r="G427" s="253">
        <f>+G55</f>
        <v>4</v>
      </c>
      <c r="H427" s="216"/>
      <c r="I427" s="254">
        <f>+Linkin!I61</f>
        <v>0</v>
      </c>
      <c r="K427" s="152">
        <f t="shared" si="339"/>
        <v>0</v>
      </c>
      <c r="M427" s="152">
        <f t="shared" si="340"/>
        <v>0</v>
      </c>
      <c r="O427" s="152">
        <f t="shared" si="341"/>
        <v>0</v>
      </c>
      <c r="Q427" s="152">
        <f t="shared" si="342"/>
        <v>0</v>
      </c>
      <c r="S427" s="152">
        <f t="shared" si="343"/>
        <v>0</v>
      </c>
      <c r="U427" s="152">
        <f t="shared" si="344"/>
        <v>0</v>
      </c>
      <c r="W427" s="152">
        <f t="shared" si="345"/>
        <v>0</v>
      </c>
      <c r="Y427" s="152">
        <f t="shared" si="346"/>
        <v>0</v>
      </c>
      <c r="AA427" s="152">
        <f t="shared" si="347"/>
        <v>0</v>
      </c>
      <c r="AC427" s="152">
        <f t="shared" si="348"/>
        <v>0</v>
      </c>
      <c r="AE427" s="152">
        <f t="shared" si="349"/>
        <v>0</v>
      </c>
      <c r="AG427" s="152">
        <f t="shared" si="350"/>
        <v>0</v>
      </c>
      <c r="AI427" s="153">
        <f t="shared" si="351"/>
        <v>0</v>
      </c>
      <c r="AK427" s="434"/>
    </row>
    <row r="428" spans="1:37">
      <c r="A428" s="276"/>
      <c r="B428" s="276"/>
      <c r="C428" s="121">
        <v>870</v>
      </c>
      <c r="E428" s="110" t="s">
        <v>54</v>
      </c>
      <c r="F428" s="216"/>
      <c r="G428" s="253">
        <f>+G62</f>
        <v>10</v>
      </c>
      <c r="H428" s="216"/>
      <c r="I428" s="254">
        <f>+Linkin!I65</f>
        <v>12449010</v>
      </c>
      <c r="K428" s="152">
        <f t="shared" si="339"/>
        <v>2494782</v>
      </c>
      <c r="M428" s="152">
        <f t="shared" si="340"/>
        <v>1552392</v>
      </c>
      <c r="O428" s="152">
        <f t="shared" si="341"/>
        <v>430736</v>
      </c>
      <c r="Q428" s="152">
        <f t="shared" si="342"/>
        <v>479287</v>
      </c>
      <c r="S428" s="152">
        <f t="shared" si="343"/>
        <v>807941</v>
      </c>
      <c r="U428" s="152">
        <f t="shared" si="344"/>
        <v>326164</v>
      </c>
      <c r="W428" s="152">
        <f t="shared" si="345"/>
        <v>4460480</v>
      </c>
      <c r="Y428" s="152">
        <f t="shared" si="346"/>
        <v>1425412</v>
      </c>
      <c r="AA428" s="152">
        <f t="shared" si="347"/>
        <v>234041</v>
      </c>
      <c r="AC428" s="152">
        <f t="shared" si="348"/>
        <v>134449</v>
      </c>
      <c r="AE428" s="152">
        <f t="shared" si="349"/>
        <v>24898</v>
      </c>
      <c r="AG428" s="152">
        <f t="shared" si="350"/>
        <v>78429</v>
      </c>
      <c r="AI428" s="153">
        <f t="shared" si="351"/>
        <v>1</v>
      </c>
      <c r="AK428" s="434"/>
    </row>
    <row r="429" spans="1:37">
      <c r="A429" s="276"/>
      <c r="B429" s="276"/>
      <c r="C429" s="155">
        <v>871</v>
      </c>
      <c r="E429" s="216" t="s">
        <v>107</v>
      </c>
      <c r="F429" s="216"/>
      <c r="G429" s="253" t="str">
        <f>+G63</f>
        <v>4A</v>
      </c>
      <c r="H429" s="216"/>
      <c r="I429" s="254">
        <f>+Linkin!I66</f>
        <v>288817</v>
      </c>
      <c r="K429" s="152">
        <f t="shared" si="339"/>
        <v>88725</v>
      </c>
      <c r="M429" s="152">
        <f t="shared" si="340"/>
        <v>55308</v>
      </c>
      <c r="O429" s="152">
        <f t="shared" si="341"/>
        <v>15018</v>
      </c>
      <c r="Q429" s="152">
        <f t="shared" si="342"/>
        <v>14816</v>
      </c>
      <c r="S429" s="152">
        <f t="shared" si="343"/>
        <v>92190</v>
      </c>
      <c r="U429" s="152">
        <f t="shared" si="344"/>
        <v>22759</v>
      </c>
      <c r="W429" s="152">
        <f t="shared" si="345"/>
        <v>0</v>
      </c>
      <c r="Y429" s="152">
        <f t="shared" si="346"/>
        <v>0</v>
      </c>
      <c r="AA429" s="152">
        <f t="shared" si="347"/>
        <v>0</v>
      </c>
      <c r="AC429" s="152">
        <f t="shared" si="348"/>
        <v>0</v>
      </c>
      <c r="AE429" s="152">
        <f t="shared" si="349"/>
        <v>0</v>
      </c>
      <c r="AG429" s="152">
        <f t="shared" si="350"/>
        <v>0</v>
      </c>
      <c r="AI429" s="153">
        <f t="shared" si="351"/>
        <v>-1</v>
      </c>
      <c r="AK429" s="434"/>
    </row>
    <row r="430" spans="1:37">
      <c r="A430" s="276"/>
      <c r="B430" s="276"/>
      <c r="C430" s="253">
        <v>874</v>
      </c>
      <c r="D430" s="216"/>
      <c r="E430" s="252" t="s">
        <v>108</v>
      </c>
      <c r="F430" s="252"/>
      <c r="G430" s="376"/>
      <c r="H430" s="216"/>
      <c r="I430" s="254"/>
      <c r="K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I430" s="153">
        <f t="shared" si="351"/>
        <v>0</v>
      </c>
      <c r="AK430" s="434"/>
    </row>
    <row r="431" spans="1:37">
      <c r="A431" s="905">
        <f>+Linkin!I69</f>
        <v>10462265</v>
      </c>
      <c r="B431" s="904"/>
      <c r="C431" s="253" t="s">
        <v>213</v>
      </c>
      <c r="D431" s="216"/>
      <c r="E431" s="252" t="s">
        <v>392</v>
      </c>
      <c r="F431" s="252"/>
      <c r="G431" s="376">
        <f t="shared" ref="G431:G440" si="353">+G67</f>
        <v>5</v>
      </c>
      <c r="H431" s="216"/>
      <c r="I431" s="254">
        <f>ROUND((A$431-I$433)*B67,0)</f>
        <v>1929850</v>
      </c>
      <c r="J431" s="87"/>
      <c r="K431" s="152">
        <f t="shared" ref="K431:K472" si="354">ROUND(VLOOKUP($G431,factors,+K$375,FALSE)*$I431,0)</f>
        <v>923047</v>
      </c>
      <c r="M431" s="152">
        <f t="shared" ref="M431:M472" si="355">ROUND(VLOOKUP($G431,factors,+M$375,FALSE)*$I431,0)</f>
        <v>574516</v>
      </c>
      <c r="N431" s="152"/>
      <c r="O431" s="152">
        <f t="shared" ref="O431:O472" si="356">ROUND(VLOOKUP($G431,factors,+O$375,FALSE)*$I431,0)</f>
        <v>160371</v>
      </c>
      <c r="P431" s="152"/>
      <c r="Q431" s="152">
        <f t="shared" ref="Q431:Q472" si="357">ROUND(VLOOKUP($G431,factors,+Q$375,FALSE)*$I431,0)</f>
        <v>183915</v>
      </c>
      <c r="R431" s="152"/>
      <c r="S431" s="152">
        <f t="shared" ref="S431:S472" si="358">ROUND(VLOOKUP($G431,factors,+S$375,FALSE)*$I431,0)</f>
        <v>0</v>
      </c>
      <c r="T431" s="152"/>
      <c r="U431" s="152">
        <f t="shared" ref="U431:U472" si="359">ROUND(VLOOKUP($G431,factors,+U$375,FALSE)*$I431,0)</f>
        <v>88001</v>
      </c>
      <c r="V431" s="152"/>
      <c r="W431" s="152">
        <f t="shared" ref="W431:W472" si="360">ROUND(VLOOKUP($G431,factors,+W$375,FALSE)*$I431,0)</f>
        <v>0</v>
      </c>
      <c r="X431" s="152"/>
      <c r="Y431" s="152">
        <f t="shared" ref="Y431:Y472" si="361">ROUND(VLOOKUP($G431,factors,+Y$375,FALSE)*$I431,0)</f>
        <v>0</v>
      </c>
      <c r="Z431" s="152"/>
      <c r="AA431" s="152">
        <f t="shared" ref="AA431:AA472" si="362">ROUND(VLOOKUP($G431,factors,+AA$375,FALSE)*$I431,0)</f>
        <v>0</v>
      </c>
      <c r="AB431" s="152"/>
      <c r="AC431" s="152">
        <f t="shared" ref="AC431:AC472" si="363">ROUND(VLOOKUP($G431,factors,+AC$375,FALSE)*$I431,0)</f>
        <v>0</v>
      </c>
      <c r="AD431" s="152"/>
      <c r="AE431" s="152">
        <f t="shared" ref="AE431:AE472" si="364">ROUND(VLOOKUP($G431,factors,+AE$375,FALSE)*$I431,0)</f>
        <v>0</v>
      </c>
      <c r="AF431" s="152"/>
      <c r="AG431" s="152">
        <f t="shared" ref="AG431:AG472" si="365">ROUND(VLOOKUP($G431,factors,+AG$375,FALSE)*$I431,0)</f>
        <v>0</v>
      </c>
      <c r="AI431" s="153">
        <f t="shared" si="351"/>
        <v>0</v>
      </c>
      <c r="AK431" s="434"/>
    </row>
    <row r="432" spans="1:37">
      <c r="A432" s="904"/>
      <c r="B432" s="904"/>
      <c r="C432" s="253"/>
      <c r="D432" s="216"/>
      <c r="E432" s="252" t="s">
        <v>393</v>
      </c>
      <c r="F432" s="252"/>
      <c r="G432" s="376">
        <f t="shared" si="353"/>
        <v>17</v>
      </c>
      <c r="H432" s="216"/>
      <c r="I432" s="254">
        <f>ROUND((A$431-I$433)*B68,0)</f>
        <v>3503285</v>
      </c>
      <c r="J432" s="87"/>
      <c r="K432" s="152">
        <f t="shared" si="354"/>
        <v>1529184</v>
      </c>
      <c r="M432" s="152">
        <f t="shared" si="355"/>
        <v>951492</v>
      </c>
      <c r="N432" s="152"/>
      <c r="O432" s="152">
        <f t="shared" si="356"/>
        <v>265549</v>
      </c>
      <c r="P432" s="152"/>
      <c r="Q432" s="152">
        <f t="shared" si="357"/>
        <v>304786</v>
      </c>
      <c r="R432" s="152"/>
      <c r="S432" s="152">
        <f t="shared" si="358"/>
        <v>305136</v>
      </c>
      <c r="T432" s="152"/>
      <c r="U432" s="152">
        <f t="shared" si="359"/>
        <v>147138</v>
      </c>
      <c r="V432" s="152"/>
      <c r="W432" s="152">
        <f t="shared" si="360"/>
        <v>0</v>
      </c>
      <c r="X432" s="152"/>
      <c r="Y432" s="152">
        <f t="shared" si="361"/>
        <v>0</v>
      </c>
      <c r="Z432" s="152"/>
      <c r="AA432" s="152">
        <f t="shared" si="362"/>
        <v>0</v>
      </c>
      <c r="AB432" s="152"/>
      <c r="AC432" s="152">
        <f t="shared" si="363"/>
        <v>0</v>
      </c>
      <c r="AD432" s="152"/>
      <c r="AE432" s="152">
        <f t="shared" si="364"/>
        <v>0</v>
      </c>
      <c r="AF432" s="152"/>
      <c r="AG432" s="152">
        <f t="shared" si="365"/>
        <v>0</v>
      </c>
      <c r="AI432" s="153">
        <f t="shared" si="351"/>
        <v>0</v>
      </c>
      <c r="AK432" s="434"/>
    </row>
    <row r="433" spans="1:37" s="87" customFormat="1">
      <c r="A433" s="276"/>
      <c r="B433" s="904">
        <f>SUM(I431:I433)</f>
        <v>10462265</v>
      </c>
      <c r="C433" s="376" t="s">
        <v>213</v>
      </c>
      <c r="D433" s="252"/>
      <c r="E433" s="252" t="s">
        <v>298</v>
      </c>
      <c r="F433" s="252"/>
      <c r="G433" s="376" t="str">
        <f t="shared" si="353"/>
        <v>6C</v>
      </c>
      <c r="H433" s="252"/>
      <c r="I433" s="254">
        <f>ROUND(A$431*B69,0)</f>
        <v>5029130</v>
      </c>
      <c r="K433" s="152">
        <f t="shared" si="354"/>
        <v>0</v>
      </c>
      <c r="L433" s="147"/>
      <c r="M433" s="152">
        <f t="shared" si="355"/>
        <v>0</v>
      </c>
      <c r="N433" s="152"/>
      <c r="O433" s="152">
        <f t="shared" si="356"/>
        <v>0</v>
      </c>
      <c r="P433" s="152"/>
      <c r="Q433" s="152">
        <f t="shared" si="357"/>
        <v>0</v>
      </c>
      <c r="R433" s="152"/>
      <c r="S433" s="152">
        <f t="shared" si="358"/>
        <v>0</v>
      </c>
      <c r="T433" s="152"/>
      <c r="U433" s="152">
        <f t="shared" si="359"/>
        <v>0</v>
      </c>
      <c r="V433" s="152"/>
      <c r="W433" s="152">
        <f t="shared" si="360"/>
        <v>4389425</v>
      </c>
      <c r="X433" s="152"/>
      <c r="Y433" s="152">
        <f t="shared" si="361"/>
        <v>595449</v>
      </c>
      <c r="Z433" s="152"/>
      <c r="AA433" s="152">
        <f t="shared" si="362"/>
        <v>23637</v>
      </c>
      <c r="AB433" s="152"/>
      <c r="AC433" s="152">
        <f t="shared" si="363"/>
        <v>11567</v>
      </c>
      <c r="AD433" s="152"/>
      <c r="AE433" s="152">
        <f t="shared" si="364"/>
        <v>1509</v>
      </c>
      <c r="AF433" s="152"/>
      <c r="AG433" s="152">
        <f t="shared" si="365"/>
        <v>7544</v>
      </c>
      <c r="AI433" s="153">
        <f t="shared" si="351"/>
        <v>1</v>
      </c>
      <c r="AK433" s="435"/>
    </row>
    <row r="434" spans="1:37">
      <c r="A434" s="276"/>
      <c r="B434" s="276"/>
      <c r="C434" s="155">
        <v>875</v>
      </c>
      <c r="E434" s="216" t="s">
        <v>109</v>
      </c>
      <c r="F434" s="216"/>
      <c r="G434" s="253" t="str">
        <f t="shared" si="353"/>
        <v>4A</v>
      </c>
      <c r="H434" s="216"/>
      <c r="I434" s="254">
        <f>+Linkin!I70</f>
        <v>1217084</v>
      </c>
      <c r="J434" s="87"/>
      <c r="K434" s="152">
        <f t="shared" si="354"/>
        <v>373888</v>
      </c>
      <c r="M434" s="152">
        <f t="shared" si="355"/>
        <v>233072</v>
      </c>
      <c r="N434" s="152"/>
      <c r="O434" s="152">
        <f t="shared" si="356"/>
        <v>63288</v>
      </c>
      <c r="P434" s="152"/>
      <c r="Q434" s="152">
        <f t="shared" si="357"/>
        <v>62436</v>
      </c>
      <c r="R434" s="152"/>
      <c r="S434" s="152">
        <f t="shared" si="358"/>
        <v>388493</v>
      </c>
      <c r="T434" s="152"/>
      <c r="U434" s="152">
        <f t="shared" si="359"/>
        <v>95906</v>
      </c>
      <c r="V434" s="152"/>
      <c r="W434" s="152">
        <f t="shared" si="360"/>
        <v>0</v>
      </c>
      <c r="X434" s="152"/>
      <c r="Y434" s="152">
        <f t="shared" si="361"/>
        <v>0</v>
      </c>
      <c r="Z434" s="152"/>
      <c r="AA434" s="152">
        <f t="shared" si="362"/>
        <v>0</v>
      </c>
      <c r="AB434" s="152"/>
      <c r="AC434" s="152">
        <f t="shared" si="363"/>
        <v>0</v>
      </c>
      <c r="AD434" s="152"/>
      <c r="AE434" s="152">
        <f t="shared" si="364"/>
        <v>0</v>
      </c>
      <c r="AF434" s="152"/>
      <c r="AG434" s="152">
        <f t="shared" si="365"/>
        <v>0</v>
      </c>
      <c r="AI434" s="153">
        <f t="shared" si="351"/>
        <v>-1</v>
      </c>
      <c r="AK434" s="434"/>
    </row>
    <row r="435" spans="1:37">
      <c r="A435" s="276"/>
      <c r="B435" s="276"/>
      <c r="C435" s="155">
        <v>876</v>
      </c>
      <c r="E435" s="101" t="s">
        <v>58</v>
      </c>
      <c r="F435" s="216"/>
      <c r="G435" s="253" t="str">
        <f t="shared" si="353"/>
        <v>6B</v>
      </c>
      <c r="H435" s="216"/>
      <c r="I435" s="254">
        <f>+Linkin!I71</f>
        <v>16214</v>
      </c>
      <c r="J435" s="87"/>
      <c r="K435" s="152">
        <f t="shared" si="354"/>
        <v>0</v>
      </c>
      <c r="M435" s="152">
        <f t="shared" si="355"/>
        <v>0</v>
      </c>
      <c r="N435" s="152"/>
      <c r="O435" s="152">
        <f t="shared" si="356"/>
        <v>0</v>
      </c>
      <c r="P435" s="152"/>
      <c r="Q435" s="152">
        <f t="shared" si="357"/>
        <v>0</v>
      </c>
      <c r="R435" s="152"/>
      <c r="S435" s="152">
        <f t="shared" si="358"/>
        <v>0</v>
      </c>
      <c r="T435" s="152"/>
      <c r="U435" s="152">
        <f t="shared" si="359"/>
        <v>0</v>
      </c>
      <c r="V435" s="152"/>
      <c r="W435" s="152">
        <f t="shared" si="360"/>
        <v>0</v>
      </c>
      <c r="X435" s="152"/>
      <c r="Y435" s="152">
        <f t="shared" si="361"/>
        <v>0</v>
      </c>
      <c r="Z435" s="152"/>
      <c r="AA435" s="152">
        <f t="shared" si="362"/>
        <v>7995</v>
      </c>
      <c r="AB435" s="152"/>
      <c r="AC435" s="152">
        <f t="shared" si="363"/>
        <v>4632</v>
      </c>
      <c r="AD435" s="152"/>
      <c r="AE435" s="152">
        <f t="shared" si="364"/>
        <v>877</v>
      </c>
      <c r="AF435" s="152"/>
      <c r="AG435" s="152">
        <f t="shared" si="365"/>
        <v>2709</v>
      </c>
      <c r="AI435" s="153">
        <f t="shared" si="351"/>
        <v>-1</v>
      </c>
      <c r="AK435" s="434"/>
    </row>
    <row r="436" spans="1:37">
      <c r="A436" s="276"/>
      <c r="B436" s="276"/>
      <c r="C436" s="155">
        <v>877</v>
      </c>
      <c r="E436" s="101" t="s">
        <v>59</v>
      </c>
      <c r="F436" s="216"/>
      <c r="G436" s="253" t="str">
        <f t="shared" si="353"/>
        <v>4A</v>
      </c>
      <c r="H436" s="216"/>
      <c r="I436" s="254">
        <f>+Linkin!I72</f>
        <v>667826</v>
      </c>
      <c r="J436" s="87"/>
      <c r="K436" s="152">
        <f t="shared" si="354"/>
        <v>205156</v>
      </c>
      <c r="M436" s="152">
        <f t="shared" si="355"/>
        <v>127889</v>
      </c>
      <c r="N436" s="152"/>
      <c r="O436" s="152">
        <f t="shared" si="356"/>
        <v>34727</v>
      </c>
      <c r="P436" s="152"/>
      <c r="Q436" s="152">
        <f t="shared" si="357"/>
        <v>34259</v>
      </c>
      <c r="R436" s="152"/>
      <c r="S436" s="152">
        <f t="shared" si="358"/>
        <v>213170</v>
      </c>
      <c r="T436" s="152"/>
      <c r="U436" s="152">
        <f t="shared" si="359"/>
        <v>52625</v>
      </c>
      <c r="V436" s="152"/>
      <c r="W436" s="152">
        <f t="shared" si="360"/>
        <v>0</v>
      </c>
      <c r="X436" s="152"/>
      <c r="Y436" s="152">
        <f t="shared" si="361"/>
        <v>0</v>
      </c>
      <c r="Z436" s="152"/>
      <c r="AA436" s="152">
        <f t="shared" si="362"/>
        <v>0</v>
      </c>
      <c r="AB436" s="152"/>
      <c r="AC436" s="152">
        <f t="shared" si="363"/>
        <v>0</v>
      </c>
      <c r="AD436" s="152"/>
      <c r="AE436" s="152">
        <f t="shared" si="364"/>
        <v>0</v>
      </c>
      <c r="AF436" s="152"/>
      <c r="AG436" s="152">
        <f t="shared" si="365"/>
        <v>0</v>
      </c>
      <c r="AI436" s="153">
        <f t="shared" si="351"/>
        <v>0</v>
      </c>
      <c r="AK436" s="434"/>
    </row>
    <row r="437" spans="1:37">
      <c r="A437" s="276"/>
      <c r="B437" s="276"/>
      <c r="C437" s="155">
        <v>878</v>
      </c>
      <c r="E437" s="216" t="s">
        <v>111</v>
      </c>
      <c r="F437" s="216"/>
      <c r="G437" s="253">
        <f t="shared" si="353"/>
        <v>6</v>
      </c>
      <c r="H437" s="216"/>
      <c r="I437" s="254">
        <f>+Linkin!I73</f>
        <v>2856754</v>
      </c>
      <c r="J437" s="87"/>
      <c r="K437" s="152">
        <f t="shared" si="354"/>
        <v>0</v>
      </c>
      <c r="M437" s="152">
        <f t="shared" si="355"/>
        <v>0</v>
      </c>
      <c r="N437" s="152"/>
      <c r="O437" s="152">
        <f t="shared" si="356"/>
        <v>0</v>
      </c>
      <c r="P437" s="152"/>
      <c r="Q437" s="152">
        <f t="shared" si="357"/>
        <v>0</v>
      </c>
      <c r="R437" s="152"/>
      <c r="S437" s="152">
        <f t="shared" si="358"/>
        <v>0</v>
      </c>
      <c r="T437" s="152"/>
      <c r="U437" s="152">
        <f t="shared" si="359"/>
        <v>0</v>
      </c>
      <c r="V437" s="152"/>
      <c r="W437" s="152">
        <f t="shared" si="360"/>
        <v>1220691</v>
      </c>
      <c r="X437" s="152"/>
      <c r="Y437" s="152">
        <f t="shared" si="361"/>
        <v>1198123</v>
      </c>
      <c r="Z437" s="152"/>
      <c r="AA437" s="152">
        <f t="shared" si="362"/>
        <v>215971</v>
      </c>
      <c r="AB437" s="152"/>
      <c r="AC437" s="152">
        <f t="shared" si="363"/>
        <v>125126</v>
      </c>
      <c r="AD437" s="152"/>
      <c r="AE437" s="152">
        <f t="shared" si="364"/>
        <v>23711</v>
      </c>
      <c r="AF437" s="152"/>
      <c r="AG437" s="152">
        <f t="shared" si="365"/>
        <v>73133</v>
      </c>
      <c r="AI437" s="153">
        <f t="shared" si="351"/>
        <v>1</v>
      </c>
      <c r="AK437" s="434"/>
    </row>
    <row r="438" spans="1:37">
      <c r="A438" s="276"/>
      <c r="B438" s="276"/>
      <c r="C438" s="155">
        <v>879</v>
      </c>
      <c r="E438" s="216" t="s">
        <v>112</v>
      </c>
      <c r="F438" s="216"/>
      <c r="G438" s="253">
        <f t="shared" si="353"/>
        <v>6</v>
      </c>
      <c r="H438" s="216"/>
      <c r="I438" s="254">
        <f>+Linkin!I74</f>
        <v>1797758</v>
      </c>
      <c r="J438" s="87"/>
      <c r="K438" s="152">
        <f t="shared" si="354"/>
        <v>0</v>
      </c>
      <c r="M438" s="152">
        <f t="shared" si="355"/>
        <v>0</v>
      </c>
      <c r="N438" s="152"/>
      <c r="O438" s="152">
        <f t="shared" si="356"/>
        <v>0</v>
      </c>
      <c r="P438" s="152"/>
      <c r="Q438" s="152">
        <f t="shared" si="357"/>
        <v>0</v>
      </c>
      <c r="R438" s="152"/>
      <c r="S438" s="152">
        <f t="shared" si="358"/>
        <v>0</v>
      </c>
      <c r="T438" s="152"/>
      <c r="U438" s="152">
        <f t="shared" si="359"/>
        <v>0</v>
      </c>
      <c r="V438" s="152"/>
      <c r="W438" s="152">
        <f t="shared" si="360"/>
        <v>768182</v>
      </c>
      <c r="X438" s="152"/>
      <c r="Y438" s="152">
        <f t="shared" si="361"/>
        <v>753980</v>
      </c>
      <c r="Z438" s="152"/>
      <c r="AA438" s="152">
        <f t="shared" si="362"/>
        <v>135911</v>
      </c>
      <c r="AB438" s="152"/>
      <c r="AC438" s="152">
        <f t="shared" si="363"/>
        <v>78742</v>
      </c>
      <c r="AD438" s="152"/>
      <c r="AE438" s="152">
        <f t="shared" si="364"/>
        <v>14921</v>
      </c>
      <c r="AF438" s="152"/>
      <c r="AG438" s="152">
        <f t="shared" si="365"/>
        <v>46023</v>
      </c>
      <c r="AI438" s="153">
        <f t="shared" si="351"/>
        <v>1</v>
      </c>
      <c r="AK438" s="434"/>
    </row>
    <row r="439" spans="1:37">
      <c r="A439" s="276"/>
      <c r="B439" s="276"/>
      <c r="C439" s="155">
        <v>880</v>
      </c>
      <c r="E439" s="216" t="s">
        <v>113</v>
      </c>
      <c r="F439" s="216"/>
      <c r="G439" s="253">
        <f t="shared" si="353"/>
        <v>10</v>
      </c>
      <c r="H439" s="216"/>
      <c r="I439" s="254">
        <f>+Linkin!I75</f>
        <v>2145352</v>
      </c>
      <c r="J439" s="87"/>
      <c r="K439" s="152">
        <f t="shared" si="354"/>
        <v>429929</v>
      </c>
      <c r="M439" s="152">
        <f t="shared" si="355"/>
        <v>267525</v>
      </c>
      <c r="N439" s="152"/>
      <c r="O439" s="152">
        <f t="shared" si="356"/>
        <v>74229</v>
      </c>
      <c r="P439" s="152"/>
      <c r="Q439" s="152">
        <f t="shared" si="357"/>
        <v>82596</v>
      </c>
      <c r="R439" s="152"/>
      <c r="S439" s="152">
        <f t="shared" si="358"/>
        <v>139233</v>
      </c>
      <c r="T439" s="152"/>
      <c r="U439" s="152">
        <f t="shared" si="359"/>
        <v>56208</v>
      </c>
      <c r="V439" s="152"/>
      <c r="W439" s="152">
        <f t="shared" si="360"/>
        <v>768680</v>
      </c>
      <c r="X439" s="152"/>
      <c r="Y439" s="152">
        <f t="shared" si="361"/>
        <v>245643</v>
      </c>
      <c r="Z439" s="152"/>
      <c r="AA439" s="152">
        <f t="shared" si="362"/>
        <v>40333</v>
      </c>
      <c r="AB439" s="152"/>
      <c r="AC439" s="152">
        <f t="shared" si="363"/>
        <v>23170</v>
      </c>
      <c r="AD439" s="152"/>
      <c r="AE439" s="152">
        <f t="shared" si="364"/>
        <v>4291</v>
      </c>
      <c r="AF439" s="152"/>
      <c r="AG439" s="152">
        <f t="shared" si="365"/>
        <v>13516</v>
      </c>
      <c r="AI439" s="153">
        <f t="shared" si="351"/>
        <v>1</v>
      </c>
      <c r="AK439" s="434"/>
    </row>
    <row r="440" spans="1:37">
      <c r="A440" s="276"/>
      <c r="B440" s="276"/>
      <c r="C440" s="155">
        <v>881</v>
      </c>
      <c r="E440" s="216" t="s">
        <v>379</v>
      </c>
      <c r="F440" s="216"/>
      <c r="G440" s="253">
        <f t="shared" si="353"/>
        <v>10</v>
      </c>
      <c r="H440" s="216"/>
      <c r="I440" s="254">
        <f>+Linkin!I76</f>
        <v>3040</v>
      </c>
      <c r="J440" s="87"/>
      <c r="K440" s="152">
        <f t="shared" si="354"/>
        <v>609</v>
      </c>
      <c r="M440" s="152">
        <f t="shared" si="355"/>
        <v>379</v>
      </c>
      <c r="N440" s="152"/>
      <c r="O440" s="152">
        <f t="shared" si="356"/>
        <v>105</v>
      </c>
      <c r="P440" s="152"/>
      <c r="Q440" s="152">
        <f t="shared" si="357"/>
        <v>117</v>
      </c>
      <c r="R440" s="152"/>
      <c r="S440" s="152">
        <f t="shared" si="358"/>
        <v>197</v>
      </c>
      <c r="T440" s="152"/>
      <c r="U440" s="152">
        <f t="shared" si="359"/>
        <v>80</v>
      </c>
      <c r="V440" s="152"/>
      <c r="W440" s="152">
        <f t="shared" si="360"/>
        <v>1089</v>
      </c>
      <c r="X440" s="152"/>
      <c r="Y440" s="152">
        <f t="shared" si="361"/>
        <v>348</v>
      </c>
      <c r="Z440" s="152"/>
      <c r="AA440" s="152">
        <f t="shared" si="362"/>
        <v>57</v>
      </c>
      <c r="AB440" s="152"/>
      <c r="AC440" s="152">
        <f t="shared" si="363"/>
        <v>33</v>
      </c>
      <c r="AD440" s="152"/>
      <c r="AE440" s="152">
        <f t="shared" si="364"/>
        <v>6</v>
      </c>
      <c r="AF440" s="152"/>
      <c r="AG440" s="152">
        <f t="shared" si="365"/>
        <v>19</v>
      </c>
      <c r="AI440" s="153">
        <f t="shared" si="351"/>
        <v>-1</v>
      </c>
      <c r="AK440" s="434"/>
    </row>
    <row r="441" spans="1:37">
      <c r="A441" s="276"/>
      <c r="B441" s="276"/>
      <c r="C441" s="155">
        <v>885</v>
      </c>
      <c r="E441" s="216" t="s">
        <v>165</v>
      </c>
      <c r="F441" s="216"/>
      <c r="G441" s="253">
        <f>+G80</f>
        <v>11</v>
      </c>
      <c r="H441" s="216"/>
      <c r="I441" s="254">
        <f>+Linkin!I80</f>
        <v>3183066</v>
      </c>
      <c r="J441" s="87"/>
      <c r="K441" s="152">
        <f t="shared" si="354"/>
        <v>1188875</v>
      </c>
      <c r="M441" s="152">
        <f t="shared" si="355"/>
        <v>740063</v>
      </c>
      <c r="N441" s="152"/>
      <c r="O441" s="152">
        <f t="shared" si="356"/>
        <v>206263</v>
      </c>
      <c r="P441" s="152"/>
      <c r="Q441" s="152">
        <f t="shared" si="357"/>
        <v>233955</v>
      </c>
      <c r="R441" s="152"/>
      <c r="S441" s="152">
        <f t="shared" si="358"/>
        <v>236183</v>
      </c>
      <c r="T441" s="152"/>
      <c r="U441" s="152">
        <f t="shared" si="359"/>
        <v>129551</v>
      </c>
      <c r="V441" s="152"/>
      <c r="W441" s="152">
        <f t="shared" si="360"/>
        <v>286158</v>
      </c>
      <c r="X441" s="152"/>
      <c r="Y441" s="152">
        <f t="shared" si="361"/>
        <v>94219</v>
      </c>
      <c r="Z441" s="152"/>
      <c r="AA441" s="152">
        <f t="shared" si="362"/>
        <v>33422</v>
      </c>
      <c r="AB441" s="152"/>
      <c r="AC441" s="152">
        <f t="shared" si="363"/>
        <v>19417</v>
      </c>
      <c r="AD441" s="152"/>
      <c r="AE441" s="152">
        <f t="shared" si="364"/>
        <v>3501</v>
      </c>
      <c r="AF441" s="152"/>
      <c r="AG441" s="152">
        <f t="shared" si="365"/>
        <v>11459</v>
      </c>
      <c r="AI441" s="153">
        <f t="shared" si="351"/>
        <v>0</v>
      </c>
      <c r="AK441" s="434"/>
    </row>
    <row r="442" spans="1:37">
      <c r="A442" s="276"/>
      <c r="B442" s="276"/>
      <c r="C442" s="155">
        <v>886</v>
      </c>
      <c r="E442" s="216" t="s">
        <v>114</v>
      </c>
      <c r="F442" s="216"/>
      <c r="G442" s="253">
        <f>+G81</f>
        <v>18</v>
      </c>
      <c r="H442" s="216"/>
      <c r="I442" s="254">
        <f>+Linkin!I81</f>
        <v>325299</v>
      </c>
      <c r="J442" s="87"/>
      <c r="K442" s="152">
        <f t="shared" si="354"/>
        <v>146515</v>
      </c>
      <c r="M442" s="152">
        <f t="shared" si="355"/>
        <v>91214</v>
      </c>
      <c r="N442" s="152"/>
      <c r="O442" s="152">
        <f t="shared" si="356"/>
        <v>25471</v>
      </c>
      <c r="P442" s="152"/>
      <c r="Q442" s="152">
        <f t="shared" si="357"/>
        <v>29179</v>
      </c>
      <c r="R442" s="152"/>
      <c r="S442" s="152">
        <f t="shared" si="358"/>
        <v>18867</v>
      </c>
      <c r="T442" s="152"/>
      <c r="U442" s="152">
        <f t="shared" si="359"/>
        <v>14053</v>
      </c>
      <c r="V442" s="152"/>
      <c r="W442" s="152">
        <f t="shared" si="360"/>
        <v>0</v>
      </c>
      <c r="X442" s="152"/>
      <c r="Y442" s="152">
        <f t="shared" si="361"/>
        <v>0</v>
      </c>
      <c r="Z442" s="152"/>
      <c r="AA442" s="152">
        <f t="shared" si="362"/>
        <v>0</v>
      </c>
      <c r="AB442" s="152"/>
      <c r="AC442" s="152">
        <f t="shared" si="363"/>
        <v>0</v>
      </c>
      <c r="AD442" s="152"/>
      <c r="AE442" s="152">
        <f t="shared" si="364"/>
        <v>0</v>
      </c>
      <c r="AF442" s="152"/>
      <c r="AG442" s="152">
        <f t="shared" si="365"/>
        <v>0</v>
      </c>
      <c r="AI442" s="153">
        <f t="shared" si="351"/>
        <v>0</v>
      </c>
      <c r="AK442" s="434"/>
    </row>
    <row r="443" spans="1:37">
      <c r="A443" s="905">
        <f>+Linkin!I82</f>
        <v>3488097</v>
      </c>
      <c r="B443" s="906"/>
      <c r="C443" s="253">
        <v>887</v>
      </c>
      <c r="D443" s="216"/>
      <c r="E443" s="252" t="s">
        <v>390</v>
      </c>
      <c r="F443" s="252"/>
      <c r="G443" s="253">
        <f>+G82</f>
        <v>5</v>
      </c>
      <c r="H443" s="216"/>
      <c r="I443" s="254">
        <f>ROUND(A443*B67,0)</f>
        <v>1238972</v>
      </c>
      <c r="J443" s="87"/>
      <c r="K443" s="152">
        <f t="shared" si="354"/>
        <v>592600</v>
      </c>
      <c r="M443" s="152">
        <f t="shared" si="355"/>
        <v>368842</v>
      </c>
      <c r="N443" s="152"/>
      <c r="O443" s="152">
        <f t="shared" si="356"/>
        <v>102959</v>
      </c>
      <c r="P443" s="152"/>
      <c r="Q443" s="152">
        <f t="shared" si="357"/>
        <v>118074</v>
      </c>
      <c r="R443" s="152"/>
      <c r="S443" s="152">
        <f t="shared" si="358"/>
        <v>0</v>
      </c>
      <c r="T443" s="152"/>
      <c r="U443" s="152">
        <f t="shared" si="359"/>
        <v>56497</v>
      </c>
      <c r="V443" s="152"/>
      <c r="W443" s="152">
        <f t="shared" si="360"/>
        <v>0</v>
      </c>
      <c r="X443" s="152"/>
      <c r="Y443" s="152">
        <f t="shared" si="361"/>
        <v>0</v>
      </c>
      <c r="Z443" s="152"/>
      <c r="AA443" s="152">
        <f t="shared" si="362"/>
        <v>0</v>
      </c>
      <c r="AB443" s="152"/>
      <c r="AC443" s="152">
        <f t="shared" si="363"/>
        <v>0</v>
      </c>
      <c r="AD443" s="152"/>
      <c r="AE443" s="152">
        <f t="shared" si="364"/>
        <v>0</v>
      </c>
      <c r="AF443" s="152"/>
      <c r="AG443" s="152">
        <f t="shared" si="365"/>
        <v>0</v>
      </c>
      <c r="AI443" s="153">
        <f t="shared" si="351"/>
        <v>0</v>
      </c>
      <c r="AK443" s="434"/>
    </row>
    <row r="444" spans="1:37">
      <c r="A444" s="276"/>
      <c r="B444" s="645">
        <f>+I443+I444</f>
        <v>3488097</v>
      </c>
      <c r="C444" s="253"/>
      <c r="D444" s="216"/>
      <c r="E444" s="252" t="s">
        <v>391</v>
      </c>
      <c r="F444" s="252"/>
      <c r="G444" s="253">
        <f>+G83</f>
        <v>17</v>
      </c>
      <c r="H444" s="216"/>
      <c r="I444" s="254">
        <f>ROUND(A443*B68,0)</f>
        <v>2249125</v>
      </c>
      <c r="J444" s="87"/>
      <c r="K444" s="152">
        <f t="shared" si="354"/>
        <v>981743</v>
      </c>
      <c r="M444" s="152">
        <f t="shared" si="355"/>
        <v>610862</v>
      </c>
      <c r="N444" s="152"/>
      <c r="O444" s="152">
        <f t="shared" si="356"/>
        <v>170484</v>
      </c>
      <c r="P444" s="152"/>
      <c r="Q444" s="152">
        <f t="shared" si="357"/>
        <v>195674</v>
      </c>
      <c r="R444" s="152"/>
      <c r="S444" s="152">
        <f t="shared" si="358"/>
        <v>195899</v>
      </c>
      <c r="T444" s="152"/>
      <c r="U444" s="152">
        <f t="shared" si="359"/>
        <v>94463</v>
      </c>
      <c r="V444" s="152"/>
      <c r="W444" s="152">
        <f t="shared" si="360"/>
        <v>0</v>
      </c>
      <c r="X444" s="152"/>
      <c r="Y444" s="152">
        <f t="shared" si="361"/>
        <v>0</v>
      </c>
      <c r="Z444" s="152"/>
      <c r="AA444" s="152">
        <f t="shared" si="362"/>
        <v>0</v>
      </c>
      <c r="AB444" s="152"/>
      <c r="AC444" s="152">
        <f t="shared" si="363"/>
        <v>0</v>
      </c>
      <c r="AD444" s="152"/>
      <c r="AE444" s="152">
        <f t="shared" si="364"/>
        <v>0</v>
      </c>
      <c r="AF444" s="152"/>
      <c r="AG444" s="152">
        <f t="shared" si="365"/>
        <v>0</v>
      </c>
      <c r="AI444" s="153">
        <f t="shared" si="351"/>
        <v>0</v>
      </c>
      <c r="AK444" s="434"/>
    </row>
    <row r="445" spans="1:37">
      <c r="A445" s="276"/>
      <c r="B445" s="276"/>
      <c r="C445" s="155">
        <v>889</v>
      </c>
      <c r="E445" s="216" t="s">
        <v>115</v>
      </c>
      <c r="F445" s="216"/>
      <c r="G445" s="253" t="str">
        <f t="shared" ref="G445:G450" si="366">+G85</f>
        <v>4A</v>
      </c>
      <c r="H445" s="216"/>
      <c r="I445" s="254">
        <f>+Linkin!I84</f>
        <v>968803</v>
      </c>
      <c r="J445" s="87"/>
      <c r="K445" s="152">
        <f t="shared" si="354"/>
        <v>297616</v>
      </c>
      <c r="M445" s="152">
        <f t="shared" si="355"/>
        <v>185526</v>
      </c>
      <c r="N445" s="152"/>
      <c r="O445" s="152">
        <f t="shared" si="356"/>
        <v>50378</v>
      </c>
      <c r="P445" s="152"/>
      <c r="Q445" s="152">
        <f t="shared" si="357"/>
        <v>49700</v>
      </c>
      <c r="R445" s="152"/>
      <c r="S445" s="152">
        <f t="shared" si="358"/>
        <v>309242</v>
      </c>
      <c r="T445" s="152"/>
      <c r="U445" s="152">
        <f t="shared" si="359"/>
        <v>76342</v>
      </c>
      <c r="V445" s="152"/>
      <c r="W445" s="152">
        <f t="shared" si="360"/>
        <v>0</v>
      </c>
      <c r="X445" s="152"/>
      <c r="Y445" s="152">
        <f t="shared" si="361"/>
        <v>0</v>
      </c>
      <c r="Z445" s="152"/>
      <c r="AA445" s="152">
        <f t="shared" si="362"/>
        <v>0</v>
      </c>
      <c r="AB445" s="152"/>
      <c r="AC445" s="152">
        <f t="shared" si="363"/>
        <v>0</v>
      </c>
      <c r="AD445" s="152"/>
      <c r="AE445" s="152">
        <f t="shared" si="364"/>
        <v>0</v>
      </c>
      <c r="AF445" s="152"/>
      <c r="AG445" s="152">
        <f t="shared" si="365"/>
        <v>0</v>
      </c>
      <c r="AI445" s="153">
        <f t="shared" si="351"/>
        <v>1</v>
      </c>
      <c r="AK445" s="434"/>
    </row>
    <row r="446" spans="1:37">
      <c r="A446" s="276"/>
      <c r="B446" s="276"/>
      <c r="C446" s="155">
        <v>890</v>
      </c>
      <c r="E446" s="216" t="s">
        <v>116</v>
      </c>
      <c r="F446" s="216"/>
      <c r="G446" s="253" t="str">
        <f t="shared" si="366"/>
        <v>6B</v>
      </c>
      <c r="H446" s="216"/>
      <c r="I446" s="254">
        <f>+Linkin!I85</f>
        <v>112487</v>
      </c>
      <c r="J446" s="87"/>
      <c r="K446" s="152">
        <f t="shared" si="354"/>
        <v>0</v>
      </c>
      <c r="M446" s="152">
        <f t="shared" si="355"/>
        <v>0</v>
      </c>
      <c r="N446" s="152"/>
      <c r="O446" s="152">
        <f t="shared" si="356"/>
        <v>0</v>
      </c>
      <c r="P446" s="152"/>
      <c r="Q446" s="152">
        <f t="shared" si="357"/>
        <v>0</v>
      </c>
      <c r="R446" s="152"/>
      <c r="S446" s="152">
        <f t="shared" si="358"/>
        <v>0</v>
      </c>
      <c r="T446" s="152"/>
      <c r="U446" s="152">
        <f t="shared" si="359"/>
        <v>0</v>
      </c>
      <c r="V446" s="152"/>
      <c r="W446" s="152">
        <f t="shared" si="360"/>
        <v>0</v>
      </c>
      <c r="X446" s="152"/>
      <c r="Y446" s="152">
        <f t="shared" si="361"/>
        <v>0</v>
      </c>
      <c r="Z446" s="152"/>
      <c r="AA446" s="152">
        <f t="shared" si="362"/>
        <v>55467</v>
      </c>
      <c r="AB446" s="152"/>
      <c r="AC446" s="152">
        <f t="shared" si="363"/>
        <v>32138</v>
      </c>
      <c r="AD446" s="152"/>
      <c r="AE446" s="152">
        <f t="shared" si="364"/>
        <v>6086</v>
      </c>
      <c r="AF446" s="152"/>
      <c r="AG446" s="152">
        <f t="shared" si="365"/>
        <v>18797</v>
      </c>
      <c r="AI446" s="153">
        <f t="shared" si="351"/>
        <v>1</v>
      </c>
      <c r="AK446" s="434"/>
    </row>
    <row r="447" spans="1:37">
      <c r="A447" s="276"/>
      <c r="B447" s="276"/>
      <c r="C447" s="155">
        <v>891</v>
      </c>
      <c r="E447" s="216" t="s">
        <v>117</v>
      </c>
      <c r="F447" s="216"/>
      <c r="G447" s="253" t="str">
        <f t="shared" si="366"/>
        <v>4A</v>
      </c>
      <c r="H447" s="216"/>
      <c r="I447" s="254">
        <f>+Linkin!I86</f>
        <v>96272</v>
      </c>
      <c r="J447" s="87"/>
      <c r="K447" s="152">
        <f t="shared" si="354"/>
        <v>29575</v>
      </c>
      <c r="M447" s="152">
        <f t="shared" si="355"/>
        <v>18436</v>
      </c>
      <c r="N447" s="152"/>
      <c r="O447" s="152">
        <f t="shared" si="356"/>
        <v>5006</v>
      </c>
      <c r="P447" s="152"/>
      <c r="Q447" s="152">
        <f t="shared" si="357"/>
        <v>4939</v>
      </c>
      <c r="R447" s="152"/>
      <c r="S447" s="152">
        <f t="shared" si="358"/>
        <v>30730</v>
      </c>
      <c r="T447" s="152"/>
      <c r="U447" s="152">
        <f t="shared" si="359"/>
        <v>7586</v>
      </c>
      <c r="V447" s="152"/>
      <c r="W447" s="152">
        <f t="shared" si="360"/>
        <v>0</v>
      </c>
      <c r="X447" s="152"/>
      <c r="Y447" s="152">
        <f t="shared" si="361"/>
        <v>0</v>
      </c>
      <c r="Z447" s="152"/>
      <c r="AA447" s="152">
        <f t="shared" si="362"/>
        <v>0</v>
      </c>
      <c r="AB447" s="152"/>
      <c r="AC447" s="152">
        <f t="shared" si="363"/>
        <v>0</v>
      </c>
      <c r="AD447" s="152"/>
      <c r="AE447" s="152">
        <f t="shared" si="364"/>
        <v>0</v>
      </c>
      <c r="AF447" s="152"/>
      <c r="AG447" s="152">
        <f t="shared" si="365"/>
        <v>0</v>
      </c>
      <c r="AI447" s="153">
        <f t="shared" si="351"/>
        <v>0</v>
      </c>
      <c r="AK447" s="434"/>
    </row>
    <row r="448" spans="1:37">
      <c r="A448" s="276"/>
      <c r="B448" s="276"/>
      <c r="C448" s="155">
        <v>892</v>
      </c>
      <c r="E448" s="216" t="s">
        <v>118</v>
      </c>
      <c r="F448" s="216"/>
      <c r="G448" s="253" t="str">
        <f t="shared" si="366"/>
        <v>6C</v>
      </c>
      <c r="H448" s="216"/>
      <c r="I448" s="254">
        <f>+Linkin!I87</f>
        <v>595875</v>
      </c>
      <c r="J448" s="87"/>
      <c r="K448" s="152">
        <f t="shared" si="354"/>
        <v>0</v>
      </c>
      <c r="M448" s="152">
        <f t="shared" si="355"/>
        <v>0</v>
      </c>
      <c r="N448" s="152"/>
      <c r="O448" s="152">
        <f t="shared" si="356"/>
        <v>0</v>
      </c>
      <c r="P448" s="152"/>
      <c r="Q448" s="152">
        <f t="shared" si="357"/>
        <v>0</v>
      </c>
      <c r="R448" s="152"/>
      <c r="S448" s="152">
        <f t="shared" si="358"/>
        <v>0</v>
      </c>
      <c r="T448" s="152"/>
      <c r="U448" s="152">
        <f t="shared" si="359"/>
        <v>0</v>
      </c>
      <c r="V448" s="152"/>
      <c r="W448" s="152">
        <f t="shared" si="360"/>
        <v>520080</v>
      </c>
      <c r="X448" s="152"/>
      <c r="Y448" s="152">
        <f t="shared" si="361"/>
        <v>70552</v>
      </c>
      <c r="Z448" s="152"/>
      <c r="AA448" s="152">
        <f t="shared" si="362"/>
        <v>2801</v>
      </c>
      <c r="AB448" s="152"/>
      <c r="AC448" s="152">
        <f t="shared" si="363"/>
        <v>1371</v>
      </c>
      <c r="AD448" s="152"/>
      <c r="AE448" s="152">
        <f t="shared" si="364"/>
        <v>179</v>
      </c>
      <c r="AF448" s="152"/>
      <c r="AG448" s="152">
        <f t="shared" si="365"/>
        <v>894</v>
      </c>
      <c r="AI448" s="153">
        <f t="shared" si="351"/>
        <v>2</v>
      </c>
      <c r="AK448" s="434"/>
    </row>
    <row r="449" spans="1:37">
      <c r="A449" s="276"/>
      <c r="B449" s="276"/>
      <c r="C449" s="155">
        <v>893</v>
      </c>
      <c r="E449" s="216" t="s">
        <v>119</v>
      </c>
      <c r="F449" s="216"/>
      <c r="G449" s="253">
        <f t="shared" si="366"/>
        <v>6</v>
      </c>
      <c r="H449" s="216"/>
      <c r="I449" s="254">
        <f>+Linkin!I88</f>
        <v>596888</v>
      </c>
      <c r="J449" s="87"/>
      <c r="K449" s="152">
        <f t="shared" si="354"/>
        <v>0</v>
      </c>
      <c r="M449" s="152">
        <f t="shared" si="355"/>
        <v>0</v>
      </c>
      <c r="N449" s="152"/>
      <c r="O449" s="152">
        <f t="shared" si="356"/>
        <v>0</v>
      </c>
      <c r="P449" s="152"/>
      <c r="Q449" s="152">
        <f t="shared" si="357"/>
        <v>0</v>
      </c>
      <c r="R449" s="152"/>
      <c r="S449" s="152">
        <f t="shared" si="358"/>
        <v>0</v>
      </c>
      <c r="T449" s="152"/>
      <c r="U449" s="152">
        <f t="shared" si="359"/>
        <v>0</v>
      </c>
      <c r="V449" s="152"/>
      <c r="W449" s="152">
        <f t="shared" si="360"/>
        <v>255050</v>
      </c>
      <c r="X449" s="152"/>
      <c r="Y449" s="152">
        <f t="shared" si="361"/>
        <v>250335</v>
      </c>
      <c r="Z449" s="152"/>
      <c r="AA449" s="152">
        <f t="shared" si="362"/>
        <v>45125</v>
      </c>
      <c r="AB449" s="152"/>
      <c r="AC449" s="152">
        <f t="shared" si="363"/>
        <v>26144</v>
      </c>
      <c r="AD449" s="152"/>
      <c r="AE449" s="152">
        <f t="shared" si="364"/>
        <v>4954</v>
      </c>
      <c r="AF449" s="152"/>
      <c r="AG449" s="152">
        <f t="shared" si="365"/>
        <v>15280</v>
      </c>
      <c r="AI449" s="153">
        <f t="shared" si="351"/>
        <v>0</v>
      </c>
      <c r="AK449" s="434"/>
    </row>
    <row r="450" spans="1:37">
      <c r="A450" s="276"/>
      <c r="B450" s="276"/>
      <c r="C450" s="155">
        <v>895</v>
      </c>
      <c r="E450" s="239" t="s">
        <v>166</v>
      </c>
      <c r="F450" s="216"/>
      <c r="G450" s="253">
        <f t="shared" si="366"/>
        <v>11</v>
      </c>
      <c r="H450" s="216"/>
      <c r="I450" s="254">
        <f>+Linkin!I89</f>
        <v>58777</v>
      </c>
      <c r="J450" s="87"/>
      <c r="K450" s="152">
        <f t="shared" si="354"/>
        <v>21953</v>
      </c>
      <c r="M450" s="152">
        <f t="shared" si="355"/>
        <v>13666</v>
      </c>
      <c r="N450" s="152"/>
      <c r="O450" s="152">
        <f t="shared" si="356"/>
        <v>3809</v>
      </c>
      <c r="P450" s="152"/>
      <c r="Q450" s="152">
        <f t="shared" si="357"/>
        <v>4320</v>
      </c>
      <c r="R450" s="152"/>
      <c r="S450" s="152">
        <f t="shared" si="358"/>
        <v>4361</v>
      </c>
      <c r="T450" s="152"/>
      <c r="U450" s="152">
        <f t="shared" si="359"/>
        <v>2392</v>
      </c>
      <c r="V450" s="152"/>
      <c r="W450" s="152">
        <f t="shared" si="360"/>
        <v>5284</v>
      </c>
      <c r="X450" s="152"/>
      <c r="Y450" s="152">
        <f t="shared" si="361"/>
        <v>1740</v>
      </c>
      <c r="Z450" s="152"/>
      <c r="AA450" s="152">
        <f t="shared" si="362"/>
        <v>617</v>
      </c>
      <c r="AB450" s="152"/>
      <c r="AC450" s="152">
        <f t="shared" si="363"/>
        <v>359</v>
      </c>
      <c r="AD450" s="152"/>
      <c r="AE450" s="152">
        <f t="shared" si="364"/>
        <v>65</v>
      </c>
      <c r="AF450" s="152"/>
      <c r="AG450" s="152">
        <f t="shared" si="365"/>
        <v>212</v>
      </c>
      <c r="AI450" s="153">
        <f t="shared" si="351"/>
        <v>1</v>
      </c>
      <c r="AK450" s="434"/>
    </row>
    <row r="451" spans="1:37">
      <c r="A451" s="276"/>
      <c r="B451" s="276"/>
      <c r="C451" s="160">
        <v>894</v>
      </c>
      <c r="D451" s="148"/>
      <c r="E451" s="239" t="s">
        <v>166</v>
      </c>
      <c r="F451" s="216"/>
      <c r="G451" s="253">
        <f>+G90</f>
        <v>11</v>
      </c>
      <c r="H451" s="216"/>
      <c r="I451" s="254">
        <f>+Linkin!I90</f>
        <v>0</v>
      </c>
      <c r="J451" s="87"/>
      <c r="K451" s="152">
        <f t="shared" si="354"/>
        <v>0</v>
      </c>
      <c r="M451" s="152">
        <f t="shared" si="355"/>
        <v>0</v>
      </c>
      <c r="N451" s="152"/>
      <c r="O451" s="152">
        <f t="shared" si="356"/>
        <v>0</v>
      </c>
      <c r="P451" s="152"/>
      <c r="Q451" s="152">
        <f t="shared" si="357"/>
        <v>0</v>
      </c>
      <c r="R451" s="152"/>
      <c r="S451" s="152">
        <f t="shared" si="358"/>
        <v>0</v>
      </c>
      <c r="T451" s="152"/>
      <c r="U451" s="152">
        <f t="shared" si="359"/>
        <v>0</v>
      </c>
      <c r="V451" s="152"/>
      <c r="W451" s="152">
        <f t="shared" si="360"/>
        <v>0</v>
      </c>
      <c r="X451" s="152"/>
      <c r="Y451" s="152">
        <f t="shared" si="361"/>
        <v>0</v>
      </c>
      <c r="Z451" s="152"/>
      <c r="AA451" s="152">
        <f t="shared" si="362"/>
        <v>0</v>
      </c>
      <c r="AB451" s="152"/>
      <c r="AC451" s="152">
        <f t="shared" si="363"/>
        <v>0</v>
      </c>
      <c r="AD451" s="152"/>
      <c r="AE451" s="152">
        <f t="shared" si="364"/>
        <v>0</v>
      </c>
      <c r="AF451" s="152"/>
      <c r="AG451" s="152">
        <f t="shared" si="365"/>
        <v>0</v>
      </c>
      <c r="AI451" s="153">
        <f t="shared" si="351"/>
        <v>0</v>
      </c>
      <c r="AK451" s="434"/>
    </row>
    <row r="452" spans="1:37" s="47" customFormat="1">
      <c r="A452" s="276"/>
      <c r="B452" s="276"/>
      <c r="C452" s="155">
        <v>901</v>
      </c>
      <c r="D452" s="147"/>
      <c r="E452" s="216" t="s">
        <v>164</v>
      </c>
      <c r="F452" s="216"/>
      <c r="G452" s="253">
        <f>+G99</f>
        <v>7</v>
      </c>
      <c r="H452" s="216"/>
      <c r="I452" s="254">
        <f>+Linkin!I96</f>
        <v>0</v>
      </c>
      <c r="J452" s="87"/>
      <c r="K452" s="152">
        <f t="shared" si="354"/>
        <v>0</v>
      </c>
      <c r="L452" s="147"/>
      <c r="M452" s="152">
        <f t="shared" si="355"/>
        <v>0</v>
      </c>
      <c r="N452" s="152"/>
      <c r="O452" s="152">
        <f t="shared" si="356"/>
        <v>0</v>
      </c>
      <c r="P452" s="152"/>
      <c r="Q452" s="152">
        <f t="shared" si="357"/>
        <v>0</v>
      </c>
      <c r="R452" s="152"/>
      <c r="S452" s="152">
        <f t="shared" si="358"/>
        <v>0</v>
      </c>
      <c r="T452" s="152"/>
      <c r="U452" s="152">
        <f t="shared" si="359"/>
        <v>0</v>
      </c>
      <c r="V452" s="152"/>
      <c r="W452" s="152">
        <f t="shared" si="360"/>
        <v>0</v>
      </c>
      <c r="X452" s="152"/>
      <c r="Y452" s="152">
        <f t="shared" si="361"/>
        <v>0</v>
      </c>
      <c r="Z452" s="152"/>
      <c r="AA452" s="152">
        <f t="shared" si="362"/>
        <v>0</v>
      </c>
      <c r="AB452" s="152"/>
      <c r="AC452" s="152">
        <f t="shared" si="363"/>
        <v>0</v>
      </c>
      <c r="AD452" s="152"/>
      <c r="AE452" s="152">
        <f t="shared" si="364"/>
        <v>0</v>
      </c>
      <c r="AF452" s="152"/>
      <c r="AG452" s="152">
        <f t="shared" si="365"/>
        <v>0</v>
      </c>
      <c r="AH452" s="147"/>
      <c r="AI452" s="153">
        <f t="shared" si="351"/>
        <v>0</v>
      </c>
      <c r="AJ452" s="147"/>
      <c r="AK452" s="434"/>
    </row>
    <row r="453" spans="1:37">
      <c r="A453" s="276"/>
      <c r="B453" s="276"/>
      <c r="C453" s="155">
        <v>902</v>
      </c>
      <c r="E453" s="216" t="s">
        <v>120</v>
      </c>
      <c r="F453" s="216"/>
      <c r="G453" s="253">
        <f>+G100</f>
        <v>7</v>
      </c>
      <c r="H453" s="216"/>
      <c r="I453" s="254">
        <f>+Linkin!I97</f>
        <v>2141299</v>
      </c>
      <c r="J453" s="87"/>
      <c r="K453" s="152">
        <f t="shared" si="354"/>
        <v>0</v>
      </c>
      <c r="M453" s="152">
        <f t="shared" si="355"/>
        <v>0</v>
      </c>
      <c r="N453" s="152"/>
      <c r="O453" s="152">
        <f t="shared" si="356"/>
        <v>0</v>
      </c>
      <c r="P453" s="152"/>
      <c r="Q453" s="152">
        <f t="shared" si="357"/>
        <v>0</v>
      </c>
      <c r="R453" s="152"/>
      <c r="S453" s="152">
        <f t="shared" si="358"/>
        <v>0</v>
      </c>
      <c r="T453" s="152"/>
      <c r="U453" s="152">
        <f t="shared" si="359"/>
        <v>0</v>
      </c>
      <c r="V453" s="152"/>
      <c r="W453" s="152">
        <f t="shared" si="360"/>
        <v>1911323</v>
      </c>
      <c r="X453" s="152"/>
      <c r="Y453" s="152">
        <f t="shared" si="361"/>
        <v>221839</v>
      </c>
      <c r="Z453" s="152"/>
      <c r="AA453" s="152">
        <f t="shared" si="362"/>
        <v>4925</v>
      </c>
      <c r="AB453" s="152"/>
      <c r="AC453" s="152">
        <f t="shared" si="363"/>
        <v>1713</v>
      </c>
      <c r="AD453" s="152"/>
      <c r="AE453" s="152">
        <f t="shared" si="364"/>
        <v>214</v>
      </c>
      <c r="AF453" s="152"/>
      <c r="AG453" s="152">
        <f t="shared" si="365"/>
        <v>1285</v>
      </c>
      <c r="AI453" s="153">
        <f t="shared" si="351"/>
        <v>0</v>
      </c>
      <c r="AK453" s="434"/>
    </row>
    <row r="454" spans="1:37">
      <c r="A454" s="276"/>
      <c r="B454" s="276"/>
      <c r="C454" s="155">
        <v>903</v>
      </c>
      <c r="E454" s="216" t="s">
        <v>121</v>
      </c>
      <c r="F454" s="216"/>
      <c r="G454" s="253">
        <f>+G101</f>
        <v>7</v>
      </c>
      <c r="H454" s="216"/>
      <c r="I454" s="254">
        <f>+Linkin!I98</f>
        <v>12283331</v>
      </c>
      <c r="J454" s="87"/>
      <c r="K454" s="152">
        <f t="shared" si="354"/>
        <v>0</v>
      </c>
      <c r="M454" s="152">
        <f t="shared" si="355"/>
        <v>0</v>
      </c>
      <c r="N454" s="152"/>
      <c r="O454" s="152">
        <f t="shared" si="356"/>
        <v>0</v>
      </c>
      <c r="P454" s="152"/>
      <c r="Q454" s="152">
        <f t="shared" si="357"/>
        <v>0</v>
      </c>
      <c r="R454" s="152"/>
      <c r="S454" s="152">
        <f t="shared" si="358"/>
        <v>0</v>
      </c>
      <c r="T454" s="152"/>
      <c r="U454" s="152">
        <f t="shared" si="359"/>
        <v>0</v>
      </c>
      <c r="V454" s="152"/>
      <c r="W454" s="152">
        <f t="shared" si="360"/>
        <v>10964101</v>
      </c>
      <c r="X454" s="152"/>
      <c r="Y454" s="152">
        <f t="shared" si="361"/>
        <v>1272553</v>
      </c>
      <c r="Z454" s="152"/>
      <c r="AA454" s="152">
        <f t="shared" si="362"/>
        <v>28252</v>
      </c>
      <c r="AB454" s="152"/>
      <c r="AC454" s="152">
        <f t="shared" si="363"/>
        <v>9827</v>
      </c>
      <c r="AD454" s="152"/>
      <c r="AE454" s="152">
        <f t="shared" si="364"/>
        <v>1228</v>
      </c>
      <c r="AF454" s="152"/>
      <c r="AG454" s="152">
        <f t="shared" si="365"/>
        <v>7370</v>
      </c>
      <c r="AI454" s="153">
        <f t="shared" si="351"/>
        <v>0</v>
      </c>
      <c r="AK454" s="434"/>
    </row>
    <row r="455" spans="1:37">
      <c r="A455" s="276"/>
      <c r="B455" s="276"/>
      <c r="C455" s="155">
        <v>905</v>
      </c>
      <c r="E455" s="216" t="s">
        <v>307</v>
      </c>
      <c r="F455" s="216"/>
      <c r="G455" s="253">
        <f>+G104</f>
        <v>7</v>
      </c>
      <c r="H455" s="216"/>
      <c r="I455" s="254">
        <f>+Linkin!I100</f>
        <v>1669058</v>
      </c>
      <c r="J455" s="87"/>
      <c r="K455" s="152">
        <f t="shared" si="354"/>
        <v>0</v>
      </c>
      <c r="M455" s="152">
        <f t="shared" si="355"/>
        <v>0</v>
      </c>
      <c r="N455" s="152"/>
      <c r="O455" s="152">
        <f t="shared" si="356"/>
        <v>0</v>
      </c>
      <c r="P455" s="152"/>
      <c r="Q455" s="152">
        <f t="shared" si="357"/>
        <v>0</v>
      </c>
      <c r="R455" s="152"/>
      <c r="S455" s="152">
        <f t="shared" si="358"/>
        <v>0</v>
      </c>
      <c r="T455" s="152"/>
      <c r="U455" s="152">
        <f t="shared" si="359"/>
        <v>0</v>
      </c>
      <c r="V455" s="152"/>
      <c r="W455" s="152">
        <f t="shared" si="360"/>
        <v>1489801</v>
      </c>
      <c r="X455" s="152"/>
      <c r="Y455" s="152">
        <f t="shared" si="361"/>
        <v>172914</v>
      </c>
      <c r="Z455" s="152"/>
      <c r="AA455" s="152">
        <f t="shared" si="362"/>
        <v>3839</v>
      </c>
      <c r="AB455" s="152"/>
      <c r="AC455" s="152">
        <f t="shared" si="363"/>
        <v>1335</v>
      </c>
      <c r="AD455" s="152"/>
      <c r="AE455" s="152">
        <f t="shared" si="364"/>
        <v>167</v>
      </c>
      <c r="AF455" s="152"/>
      <c r="AG455" s="152">
        <f t="shared" si="365"/>
        <v>1001</v>
      </c>
      <c r="AI455" s="153">
        <f t="shared" ref="AI455" si="367">SUM(K455:AG455)-I455</f>
        <v>-1</v>
      </c>
      <c r="AK455" s="434"/>
    </row>
    <row r="456" spans="1:37" s="47" customFormat="1">
      <c r="A456" s="276"/>
      <c r="B456" s="276"/>
      <c r="C456" s="155">
        <v>907</v>
      </c>
      <c r="D456" s="147"/>
      <c r="E456" s="110" t="s">
        <v>164</v>
      </c>
      <c r="F456" s="216"/>
      <c r="G456" s="253">
        <f>+G110</f>
        <v>7</v>
      </c>
      <c r="H456" s="216"/>
      <c r="I456" s="254">
        <f>+Linkin!I104</f>
        <v>202679</v>
      </c>
      <c r="J456" s="87"/>
      <c r="K456" s="152">
        <f t="shared" si="354"/>
        <v>0</v>
      </c>
      <c r="L456" s="147"/>
      <c r="M456" s="152">
        <f t="shared" si="355"/>
        <v>0</v>
      </c>
      <c r="N456" s="152"/>
      <c r="O456" s="152">
        <f t="shared" si="356"/>
        <v>0</v>
      </c>
      <c r="P456" s="152"/>
      <c r="Q456" s="152">
        <f t="shared" si="357"/>
        <v>0</v>
      </c>
      <c r="R456" s="152"/>
      <c r="S456" s="152">
        <f t="shared" si="358"/>
        <v>0</v>
      </c>
      <c r="T456" s="152"/>
      <c r="U456" s="152">
        <f t="shared" si="359"/>
        <v>0</v>
      </c>
      <c r="V456" s="152"/>
      <c r="W456" s="152">
        <f t="shared" si="360"/>
        <v>180911</v>
      </c>
      <c r="X456" s="152"/>
      <c r="Y456" s="152">
        <f t="shared" si="361"/>
        <v>20998</v>
      </c>
      <c r="Z456" s="152"/>
      <c r="AA456" s="152">
        <f t="shared" si="362"/>
        <v>466</v>
      </c>
      <c r="AB456" s="152"/>
      <c r="AC456" s="152">
        <f t="shared" si="363"/>
        <v>162</v>
      </c>
      <c r="AD456" s="152"/>
      <c r="AE456" s="152">
        <f t="shared" si="364"/>
        <v>20</v>
      </c>
      <c r="AF456" s="152"/>
      <c r="AG456" s="152">
        <f t="shared" si="365"/>
        <v>122</v>
      </c>
      <c r="AH456" s="147"/>
      <c r="AI456" s="153">
        <f t="shared" si="351"/>
        <v>0</v>
      </c>
      <c r="AJ456" s="147"/>
      <c r="AK456" s="434"/>
    </row>
    <row r="457" spans="1:37" s="47" customFormat="1">
      <c r="A457" s="276"/>
      <c r="B457" s="276"/>
      <c r="C457" s="155">
        <v>908</v>
      </c>
      <c r="D457" s="147"/>
      <c r="E457" s="216" t="s">
        <v>122</v>
      </c>
      <c r="F457" s="216"/>
      <c r="G457" s="253">
        <f>+G111</f>
        <v>9</v>
      </c>
      <c r="H457" s="216"/>
      <c r="I457" s="254">
        <f>+Linkin!I105</f>
        <v>1243433</v>
      </c>
      <c r="J457" s="87"/>
      <c r="K457" s="152">
        <f t="shared" si="354"/>
        <v>0</v>
      </c>
      <c r="L457" s="147"/>
      <c r="M457" s="152">
        <f t="shared" si="355"/>
        <v>0</v>
      </c>
      <c r="N457" s="152"/>
      <c r="O457" s="152">
        <f t="shared" si="356"/>
        <v>0</v>
      </c>
      <c r="P457" s="152"/>
      <c r="Q457" s="152">
        <f t="shared" si="357"/>
        <v>0</v>
      </c>
      <c r="R457" s="152"/>
      <c r="S457" s="152">
        <f t="shared" si="358"/>
        <v>0</v>
      </c>
      <c r="T457" s="152"/>
      <c r="U457" s="152">
        <f t="shared" si="359"/>
        <v>0</v>
      </c>
      <c r="V457" s="152"/>
      <c r="W457" s="152">
        <f t="shared" si="360"/>
        <v>1243433</v>
      </c>
      <c r="X457" s="152"/>
      <c r="Y457" s="152">
        <f t="shared" si="361"/>
        <v>0</v>
      </c>
      <c r="Z457" s="152"/>
      <c r="AA457" s="152">
        <f t="shared" si="362"/>
        <v>0</v>
      </c>
      <c r="AB457" s="152"/>
      <c r="AC457" s="152">
        <f t="shared" si="363"/>
        <v>0</v>
      </c>
      <c r="AD457" s="152"/>
      <c r="AE457" s="152">
        <f t="shared" si="364"/>
        <v>0</v>
      </c>
      <c r="AF457" s="152"/>
      <c r="AG457" s="152">
        <f t="shared" si="365"/>
        <v>0</v>
      </c>
      <c r="AH457" s="147"/>
      <c r="AI457" s="153">
        <f t="shared" si="351"/>
        <v>0</v>
      </c>
      <c r="AJ457" s="147"/>
      <c r="AK457" s="434"/>
    </row>
    <row r="458" spans="1:37" s="47" customFormat="1">
      <c r="A458" s="276"/>
      <c r="B458" s="276"/>
      <c r="C458" s="155">
        <v>910</v>
      </c>
      <c r="D458" s="147"/>
      <c r="E458" s="404" t="s">
        <v>532</v>
      </c>
      <c r="F458" s="216"/>
      <c r="G458" s="253">
        <f>+G114</f>
        <v>7</v>
      </c>
      <c r="H458" s="216"/>
      <c r="I458" s="254">
        <f>+Linkin!I107</f>
        <v>361781</v>
      </c>
      <c r="J458" s="87"/>
      <c r="K458" s="152">
        <f t="shared" si="354"/>
        <v>0</v>
      </c>
      <c r="L458" s="147"/>
      <c r="M458" s="152">
        <f t="shared" si="355"/>
        <v>0</v>
      </c>
      <c r="N458" s="152"/>
      <c r="O458" s="152">
        <f t="shared" si="356"/>
        <v>0</v>
      </c>
      <c r="P458" s="152"/>
      <c r="Q458" s="152">
        <f t="shared" si="357"/>
        <v>0</v>
      </c>
      <c r="R458" s="152"/>
      <c r="S458" s="152">
        <f t="shared" si="358"/>
        <v>0</v>
      </c>
      <c r="T458" s="152"/>
      <c r="U458" s="152">
        <f t="shared" si="359"/>
        <v>0</v>
      </c>
      <c r="V458" s="152"/>
      <c r="W458" s="152">
        <f t="shared" si="360"/>
        <v>322926</v>
      </c>
      <c r="X458" s="152"/>
      <c r="Y458" s="152">
        <f t="shared" si="361"/>
        <v>37481</v>
      </c>
      <c r="Z458" s="152"/>
      <c r="AA458" s="152">
        <f t="shared" si="362"/>
        <v>832</v>
      </c>
      <c r="AB458" s="152"/>
      <c r="AC458" s="152">
        <f t="shared" si="363"/>
        <v>289</v>
      </c>
      <c r="AD458" s="152"/>
      <c r="AE458" s="152">
        <f t="shared" si="364"/>
        <v>36</v>
      </c>
      <c r="AF458" s="152"/>
      <c r="AG458" s="152">
        <f t="shared" si="365"/>
        <v>217</v>
      </c>
      <c r="AH458" s="147"/>
      <c r="AI458" s="153">
        <f t="shared" si="351"/>
        <v>0</v>
      </c>
      <c r="AJ458" s="147"/>
      <c r="AK458" s="434"/>
    </row>
    <row r="459" spans="1:37" s="47" customFormat="1">
      <c r="A459" s="276"/>
      <c r="B459" s="276"/>
      <c r="C459" s="155">
        <v>911</v>
      </c>
      <c r="D459" s="147"/>
      <c r="E459" s="216" t="s">
        <v>164</v>
      </c>
      <c r="F459" s="216"/>
      <c r="G459" s="253">
        <f>+G120</f>
        <v>8</v>
      </c>
      <c r="H459" s="216"/>
      <c r="I459" s="254">
        <f>+Linkin!I111</f>
        <v>108433</v>
      </c>
      <c r="J459" s="87"/>
      <c r="K459" s="152">
        <f t="shared" si="354"/>
        <v>0</v>
      </c>
      <c r="L459" s="147"/>
      <c r="M459" s="152">
        <f t="shared" si="355"/>
        <v>0</v>
      </c>
      <c r="N459" s="152"/>
      <c r="O459" s="152">
        <f t="shared" si="356"/>
        <v>0</v>
      </c>
      <c r="P459" s="152"/>
      <c r="Q459" s="152">
        <f t="shared" si="357"/>
        <v>0</v>
      </c>
      <c r="R459" s="152"/>
      <c r="S459" s="152">
        <f t="shared" si="358"/>
        <v>0</v>
      </c>
      <c r="T459" s="152"/>
      <c r="U459" s="152">
        <f t="shared" si="359"/>
        <v>0</v>
      </c>
      <c r="V459" s="152"/>
      <c r="W459" s="152">
        <f t="shared" si="360"/>
        <v>97156</v>
      </c>
      <c r="X459" s="152"/>
      <c r="Y459" s="152">
        <f t="shared" si="361"/>
        <v>11277</v>
      </c>
      <c r="Z459" s="152"/>
      <c r="AA459" s="152">
        <f t="shared" si="362"/>
        <v>0</v>
      </c>
      <c r="AB459" s="152"/>
      <c r="AC459" s="152">
        <f t="shared" si="363"/>
        <v>0</v>
      </c>
      <c r="AD459" s="152"/>
      <c r="AE459" s="152">
        <f t="shared" si="364"/>
        <v>0</v>
      </c>
      <c r="AF459" s="152"/>
      <c r="AG459" s="152">
        <f t="shared" si="365"/>
        <v>0</v>
      </c>
      <c r="AH459" s="147"/>
      <c r="AI459" s="153">
        <f t="shared" si="351"/>
        <v>0</v>
      </c>
      <c r="AJ459" s="147"/>
      <c r="AK459" s="434"/>
    </row>
    <row r="460" spans="1:37" s="47" customFormat="1">
      <c r="A460" s="276"/>
      <c r="B460" s="276"/>
      <c r="C460" s="155">
        <v>912</v>
      </c>
      <c r="D460" s="147"/>
      <c r="E460" s="216" t="s">
        <v>123</v>
      </c>
      <c r="F460" s="216"/>
      <c r="G460" s="253">
        <f>+G121</f>
        <v>8</v>
      </c>
      <c r="H460" s="216"/>
      <c r="I460" s="254">
        <f>+Linkin!I112</f>
        <v>672893</v>
      </c>
      <c r="J460" s="87"/>
      <c r="K460" s="152">
        <f t="shared" si="354"/>
        <v>0</v>
      </c>
      <c r="L460" s="147"/>
      <c r="M460" s="152">
        <f t="shared" si="355"/>
        <v>0</v>
      </c>
      <c r="N460" s="152"/>
      <c r="O460" s="152">
        <f t="shared" si="356"/>
        <v>0</v>
      </c>
      <c r="P460" s="152"/>
      <c r="Q460" s="152">
        <f t="shared" si="357"/>
        <v>0</v>
      </c>
      <c r="R460" s="152"/>
      <c r="S460" s="152">
        <f t="shared" si="358"/>
        <v>0</v>
      </c>
      <c r="T460" s="152"/>
      <c r="U460" s="152">
        <f t="shared" si="359"/>
        <v>0</v>
      </c>
      <c r="V460" s="152"/>
      <c r="W460" s="152">
        <f t="shared" si="360"/>
        <v>602912</v>
      </c>
      <c r="X460" s="152"/>
      <c r="Y460" s="152">
        <f t="shared" si="361"/>
        <v>69981</v>
      </c>
      <c r="Z460" s="152"/>
      <c r="AA460" s="152">
        <f t="shared" si="362"/>
        <v>0</v>
      </c>
      <c r="AB460" s="152"/>
      <c r="AC460" s="152">
        <f t="shared" si="363"/>
        <v>0</v>
      </c>
      <c r="AD460" s="152"/>
      <c r="AE460" s="152">
        <f t="shared" si="364"/>
        <v>0</v>
      </c>
      <c r="AF460" s="152"/>
      <c r="AG460" s="152">
        <f t="shared" si="365"/>
        <v>0</v>
      </c>
      <c r="AH460" s="147"/>
      <c r="AI460" s="153">
        <f t="shared" si="351"/>
        <v>0</v>
      </c>
      <c r="AJ460" s="147"/>
      <c r="AK460" s="434"/>
    </row>
    <row r="461" spans="1:37">
      <c r="A461" s="276"/>
      <c r="B461" s="276"/>
      <c r="C461" s="155">
        <v>920</v>
      </c>
      <c r="E461" s="216" t="s">
        <v>124</v>
      </c>
      <c r="F461" s="216"/>
      <c r="G461" s="253">
        <f>+G130</f>
        <v>12</v>
      </c>
      <c r="H461" s="216"/>
      <c r="I461" s="254">
        <f>+Linkin!I121</f>
        <v>21247084</v>
      </c>
      <c r="J461" s="87"/>
      <c r="K461" s="152">
        <f t="shared" si="354"/>
        <v>7011538</v>
      </c>
      <c r="M461" s="152">
        <f t="shared" si="355"/>
        <v>2124708</v>
      </c>
      <c r="N461" s="152"/>
      <c r="O461" s="152">
        <f t="shared" si="356"/>
        <v>531177</v>
      </c>
      <c r="P461" s="152"/>
      <c r="Q461" s="152">
        <f t="shared" si="357"/>
        <v>626789</v>
      </c>
      <c r="R461" s="152"/>
      <c r="S461" s="152">
        <f t="shared" si="358"/>
        <v>807389</v>
      </c>
      <c r="T461" s="152"/>
      <c r="U461" s="152">
        <f t="shared" si="359"/>
        <v>367575</v>
      </c>
      <c r="V461" s="152"/>
      <c r="W461" s="152">
        <f t="shared" si="360"/>
        <v>7867795</v>
      </c>
      <c r="X461" s="152"/>
      <c r="Y461" s="152">
        <f t="shared" si="361"/>
        <v>1455425</v>
      </c>
      <c r="Z461" s="152"/>
      <c r="AA461" s="152">
        <f t="shared" si="362"/>
        <v>220970</v>
      </c>
      <c r="AB461" s="152"/>
      <c r="AC461" s="152">
        <f t="shared" si="363"/>
        <v>123233</v>
      </c>
      <c r="AD461" s="152"/>
      <c r="AE461" s="152">
        <f t="shared" si="364"/>
        <v>36120</v>
      </c>
      <c r="AF461" s="152"/>
      <c r="AG461" s="152">
        <f t="shared" si="365"/>
        <v>74365</v>
      </c>
      <c r="AI461" s="153">
        <f t="shared" si="351"/>
        <v>0</v>
      </c>
      <c r="AK461" s="434"/>
    </row>
    <row r="462" spans="1:37">
      <c r="A462" s="276"/>
      <c r="B462" s="276"/>
      <c r="C462" s="155">
        <v>921</v>
      </c>
      <c r="E462" s="216" t="s">
        <v>125</v>
      </c>
      <c r="F462" s="216"/>
      <c r="G462" s="253">
        <f>+G131</f>
        <v>12</v>
      </c>
      <c r="H462" s="216"/>
      <c r="I462" s="254">
        <f>+Linkin!I122</f>
        <v>342527</v>
      </c>
      <c r="J462" s="87"/>
      <c r="K462" s="152">
        <f t="shared" si="354"/>
        <v>113034</v>
      </c>
      <c r="M462" s="152">
        <f t="shared" si="355"/>
        <v>34253</v>
      </c>
      <c r="N462" s="152"/>
      <c r="O462" s="152">
        <f t="shared" si="356"/>
        <v>8563</v>
      </c>
      <c r="P462" s="152"/>
      <c r="Q462" s="152">
        <f t="shared" si="357"/>
        <v>10105</v>
      </c>
      <c r="R462" s="152"/>
      <c r="S462" s="152">
        <f t="shared" si="358"/>
        <v>13016</v>
      </c>
      <c r="T462" s="152"/>
      <c r="U462" s="152">
        <f t="shared" si="359"/>
        <v>5926</v>
      </c>
      <c r="V462" s="152"/>
      <c r="W462" s="152">
        <f t="shared" si="360"/>
        <v>126838</v>
      </c>
      <c r="X462" s="152"/>
      <c r="Y462" s="152">
        <f t="shared" si="361"/>
        <v>23463</v>
      </c>
      <c r="Z462" s="152"/>
      <c r="AA462" s="152">
        <f t="shared" si="362"/>
        <v>3562</v>
      </c>
      <c r="AB462" s="152"/>
      <c r="AC462" s="152">
        <f t="shared" si="363"/>
        <v>1987</v>
      </c>
      <c r="AD462" s="152"/>
      <c r="AE462" s="152">
        <f t="shared" si="364"/>
        <v>582</v>
      </c>
      <c r="AF462" s="152"/>
      <c r="AG462" s="152">
        <f t="shared" si="365"/>
        <v>1199</v>
      </c>
      <c r="AI462" s="153">
        <f t="shared" si="351"/>
        <v>1</v>
      </c>
      <c r="AK462" s="434"/>
    </row>
    <row r="463" spans="1:37">
      <c r="A463" s="276"/>
      <c r="B463" s="276"/>
      <c r="C463" s="155">
        <v>922</v>
      </c>
      <c r="E463" s="795" t="s">
        <v>761</v>
      </c>
      <c r="F463" s="252"/>
      <c r="G463" s="376">
        <v>12</v>
      </c>
      <c r="H463" s="216"/>
      <c r="I463" s="254">
        <f>+Linkin!I123</f>
        <v>0</v>
      </c>
      <c r="J463" s="87"/>
      <c r="K463" s="152">
        <f t="shared" si="354"/>
        <v>0</v>
      </c>
      <c r="M463" s="152">
        <f t="shared" si="355"/>
        <v>0</v>
      </c>
      <c r="N463" s="152"/>
      <c r="O463" s="152">
        <f t="shared" si="356"/>
        <v>0</v>
      </c>
      <c r="P463" s="152"/>
      <c r="Q463" s="152">
        <f t="shared" si="357"/>
        <v>0</v>
      </c>
      <c r="R463" s="152"/>
      <c r="S463" s="152">
        <f t="shared" si="358"/>
        <v>0</v>
      </c>
      <c r="T463" s="152"/>
      <c r="U463" s="152">
        <f t="shared" si="359"/>
        <v>0</v>
      </c>
      <c r="V463" s="152"/>
      <c r="W463" s="152">
        <f t="shared" si="360"/>
        <v>0</v>
      </c>
      <c r="X463" s="152"/>
      <c r="Y463" s="152">
        <f t="shared" si="361"/>
        <v>0</v>
      </c>
      <c r="Z463" s="152"/>
      <c r="AA463" s="152">
        <f t="shared" si="362"/>
        <v>0</v>
      </c>
      <c r="AB463" s="152"/>
      <c r="AC463" s="152">
        <f t="shared" si="363"/>
        <v>0</v>
      </c>
      <c r="AD463" s="152"/>
      <c r="AE463" s="152">
        <f t="shared" si="364"/>
        <v>0</v>
      </c>
      <c r="AF463" s="152"/>
      <c r="AG463" s="152">
        <f t="shared" si="365"/>
        <v>0</v>
      </c>
      <c r="AI463" s="153"/>
      <c r="AK463" s="434"/>
    </row>
    <row r="464" spans="1:37">
      <c r="C464" s="155">
        <v>923</v>
      </c>
      <c r="E464" s="743" t="s">
        <v>93</v>
      </c>
      <c r="F464" s="252"/>
      <c r="G464" s="376">
        <v>12</v>
      </c>
      <c r="H464" s="216"/>
      <c r="I464" s="254">
        <f>+Linkin!I124</f>
        <v>187478</v>
      </c>
      <c r="J464" s="87"/>
      <c r="K464" s="152">
        <f t="shared" si="354"/>
        <v>61868</v>
      </c>
      <c r="M464" s="152">
        <f t="shared" si="355"/>
        <v>18748</v>
      </c>
      <c r="N464" s="152"/>
      <c r="O464" s="152">
        <f t="shared" si="356"/>
        <v>4687</v>
      </c>
      <c r="P464" s="152"/>
      <c r="Q464" s="152">
        <f t="shared" si="357"/>
        <v>5531</v>
      </c>
      <c r="R464" s="152"/>
      <c r="S464" s="152">
        <f t="shared" si="358"/>
        <v>7124</v>
      </c>
      <c r="T464" s="152"/>
      <c r="U464" s="152">
        <f t="shared" si="359"/>
        <v>3243</v>
      </c>
      <c r="V464" s="152"/>
      <c r="W464" s="152">
        <f t="shared" si="360"/>
        <v>69423</v>
      </c>
      <c r="X464" s="152"/>
      <c r="Y464" s="152">
        <f t="shared" si="361"/>
        <v>12842</v>
      </c>
      <c r="Z464" s="152"/>
      <c r="AA464" s="152">
        <f t="shared" si="362"/>
        <v>1950</v>
      </c>
      <c r="AB464" s="152"/>
      <c r="AC464" s="152">
        <f t="shared" si="363"/>
        <v>1087</v>
      </c>
      <c r="AD464" s="152"/>
      <c r="AE464" s="152">
        <f t="shared" si="364"/>
        <v>319</v>
      </c>
      <c r="AF464" s="152"/>
      <c r="AG464" s="152">
        <f t="shared" si="365"/>
        <v>656</v>
      </c>
      <c r="AI464" s="153"/>
      <c r="AK464" s="434"/>
    </row>
    <row r="465" spans="1:37">
      <c r="C465" s="155">
        <v>924</v>
      </c>
      <c r="E465" s="743" t="s">
        <v>94</v>
      </c>
      <c r="F465" s="252"/>
      <c r="G465" s="376">
        <v>12</v>
      </c>
      <c r="H465" s="216"/>
      <c r="I465" s="254">
        <f>+Linkin!I125</f>
        <v>0</v>
      </c>
      <c r="J465" s="87"/>
      <c r="K465" s="152">
        <f t="shared" si="354"/>
        <v>0</v>
      </c>
      <c r="M465" s="152">
        <f t="shared" si="355"/>
        <v>0</v>
      </c>
      <c r="N465" s="152"/>
      <c r="O465" s="152">
        <f t="shared" si="356"/>
        <v>0</v>
      </c>
      <c r="P465" s="152"/>
      <c r="Q465" s="152">
        <f t="shared" si="357"/>
        <v>0</v>
      </c>
      <c r="R465" s="152"/>
      <c r="S465" s="152">
        <f t="shared" si="358"/>
        <v>0</v>
      </c>
      <c r="T465" s="152"/>
      <c r="U465" s="152">
        <f t="shared" si="359"/>
        <v>0</v>
      </c>
      <c r="V465" s="152"/>
      <c r="W465" s="152">
        <f t="shared" si="360"/>
        <v>0</v>
      </c>
      <c r="X465" s="152"/>
      <c r="Y465" s="152">
        <f t="shared" si="361"/>
        <v>0</v>
      </c>
      <c r="Z465" s="152"/>
      <c r="AA465" s="152">
        <f t="shared" si="362"/>
        <v>0</v>
      </c>
      <c r="AB465" s="152"/>
      <c r="AC465" s="152">
        <f t="shared" si="363"/>
        <v>0</v>
      </c>
      <c r="AD465" s="152"/>
      <c r="AE465" s="152">
        <f t="shared" si="364"/>
        <v>0</v>
      </c>
      <c r="AF465" s="152"/>
      <c r="AG465" s="152">
        <f t="shared" si="365"/>
        <v>0</v>
      </c>
      <c r="AI465" s="153"/>
      <c r="AK465" s="434"/>
    </row>
    <row r="466" spans="1:37">
      <c r="C466" s="155">
        <v>925</v>
      </c>
      <c r="E466" s="743" t="s">
        <v>95</v>
      </c>
      <c r="F466" s="252"/>
      <c r="G466" s="376">
        <v>12</v>
      </c>
      <c r="H466" s="216"/>
      <c r="I466" s="254">
        <f>+Linkin!I126</f>
        <v>1072169</v>
      </c>
      <c r="J466" s="87"/>
      <c r="K466" s="152">
        <f t="shared" si="354"/>
        <v>353816</v>
      </c>
      <c r="M466" s="152">
        <f t="shared" si="355"/>
        <v>107217</v>
      </c>
      <c r="N466" s="152"/>
      <c r="O466" s="152">
        <f t="shared" si="356"/>
        <v>26804</v>
      </c>
      <c r="P466" s="152"/>
      <c r="Q466" s="152">
        <f t="shared" si="357"/>
        <v>31629</v>
      </c>
      <c r="R466" s="152"/>
      <c r="S466" s="152">
        <f t="shared" si="358"/>
        <v>40742</v>
      </c>
      <c r="T466" s="152"/>
      <c r="U466" s="152">
        <f t="shared" si="359"/>
        <v>18549</v>
      </c>
      <c r="V466" s="152"/>
      <c r="W466" s="152">
        <f t="shared" si="360"/>
        <v>397024</v>
      </c>
      <c r="X466" s="152"/>
      <c r="Y466" s="152">
        <f t="shared" si="361"/>
        <v>73444</v>
      </c>
      <c r="Z466" s="152"/>
      <c r="AA466" s="152">
        <f t="shared" si="362"/>
        <v>11151</v>
      </c>
      <c r="AB466" s="152"/>
      <c r="AC466" s="152">
        <f t="shared" si="363"/>
        <v>6219</v>
      </c>
      <c r="AD466" s="152"/>
      <c r="AE466" s="152">
        <f t="shared" si="364"/>
        <v>1823</v>
      </c>
      <c r="AF466" s="152"/>
      <c r="AG466" s="152">
        <f t="shared" si="365"/>
        <v>3753</v>
      </c>
      <c r="AI466" s="153"/>
      <c r="AK466" s="434"/>
    </row>
    <row r="467" spans="1:37">
      <c r="C467" s="155">
        <v>927</v>
      </c>
      <c r="E467" s="743" t="s">
        <v>762</v>
      </c>
      <c r="F467" s="252"/>
      <c r="G467" s="376">
        <v>12</v>
      </c>
      <c r="H467" s="216"/>
      <c r="I467" s="254">
        <f>+Linkin!I128</f>
        <v>0</v>
      </c>
      <c r="J467" s="87"/>
      <c r="K467" s="152">
        <f t="shared" si="354"/>
        <v>0</v>
      </c>
      <c r="M467" s="152">
        <f t="shared" si="355"/>
        <v>0</v>
      </c>
      <c r="N467" s="152"/>
      <c r="O467" s="152">
        <f t="shared" si="356"/>
        <v>0</v>
      </c>
      <c r="P467" s="152"/>
      <c r="Q467" s="152">
        <f t="shared" si="357"/>
        <v>0</v>
      </c>
      <c r="R467" s="152"/>
      <c r="S467" s="152">
        <f t="shared" si="358"/>
        <v>0</v>
      </c>
      <c r="T467" s="152"/>
      <c r="U467" s="152">
        <f t="shared" si="359"/>
        <v>0</v>
      </c>
      <c r="V467" s="152"/>
      <c r="W467" s="152">
        <f t="shared" si="360"/>
        <v>0</v>
      </c>
      <c r="X467" s="152"/>
      <c r="Y467" s="152">
        <f t="shared" si="361"/>
        <v>0</v>
      </c>
      <c r="Z467" s="152"/>
      <c r="AA467" s="152">
        <f t="shared" si="362"/>
        <v>0</v>
      </c>
      <c r="AB467" s="152"/>
      <c r="AC467" s="152">
        <f t="shared" si="363"/>
        <v>0</v>
      </c>
      <c r="AD467" s="152"/>
      <c r="AE467" s="152">
        <f t="shared" si="364"/>
        <v>0</v>
      </c>
      <c r="AF467" s="152"/>
      <c r="AG467" s="152">
        <f t="shared" si="365"/>
        <v>0</v>
      </c>
      <c r="AI467" s="153"/>
      <c r="AK467" s="434"/>
    </row>
    <row r="468" spans="1:37">
      <c r="C468" s="155">
        <v>928</v>
      </c>
      <c r="E468" s="743" t="s">
        <v>97</v>
      </c>
      <c r="F468" s="252"/>
      <c r="G468" s="376">
        <v>12</v>
      </c>
      <c r="H468" s="216"/>
      <c r="I468" s="254">
        <f>+Linkin!I129</f>
        <v>0</v>
      </c>
      <c r="J468" s="87"/>
      <c r="K468" s="152">
        <f t="shared" si="354"/>
        <v>0</v>
      </c>
      <c r="M468" s="152">
        <f t="shared" si="355"/>
        <v>0</v>
      </c>
      <c r="N468" s="152"/>
      <c r="O468" s="152">
        <f t="shared" si="356"/>
        <v>0</v>
      </c>
      <c r="P468" s="152"/>
      <c r="Q468" s="152">
        <f t="shared" si="357"/>
        <v>0</v>
      </c>
      <c r="R468" s="152"/>
      <c r="S468" s="152">
        <f t="shared" si="358"/>
        <v>0</v>
      </c>
      <c r="T468" s="152"/>
      <c r="U468" s="152">
        <f t="shared" si="359"/>
        <v>0</v>
      </c>
      <c r="V468" s="152"/>
      <c r="W468" s="152">
        <f t="shared" si="360"/>
        <v>0</v>
      </c>
      <c r="X468" s="152"/>
      <c r="Y468" s="152">
        <f t="shared" si="361"/>
        <v>0</v>
      </c>
      <c r="Z468" s="152"/>
      <c r="AA468" s="152">
        <f t="shared" si="362"/>
        <v>0</v>
      </c>
      <c r="AB468" s="152"/>
      <c r="AC468" s="152">
        <f t="shared" si="363"/>
        <v>0</v>
      </c>
      <c r="AD468" s="152"/>
      <c r="AE468" s="152">
        <f t="shared" si="364"/>
        <v>0</v>
      </c>
      <c r="AF468" s="152"/>
      <c r="AG468" s="152">
        <f t="shared" si="365"/>
        <v>0</v>
      </c>
      <c r="AI468" s="153"/>
      <c r="AK468" s="434"/>
    </row>
    <row r="469" spans="1:37">
      <c r="C469" s="155">
        <v>929</v>
      </c>
      <c r="E469" s="743" t="s">
        <v>763</v>
      </c>
      <c r="F469" s="252"/>
      <c r="G469" s="376">
        <v>12</v>
      </c>
      <c r="H469" s="216"/>
      <c r="I469" s="254">
        <f>+Linkin!I130</f>
        <v>0</v>
      </c>
      <c r="J469" s="87"/>
      <c r="K469" s="152">
        <f t="shared" si="354"/>
        <v>0</v>
      </c>
      <c r="M469" s="152">
        <f t="shared" si="355"/>
        <v>0</v>
      </c>
      <c r="N469" s="152"/>
      <c r="O469" s="152">
        <f t="shared" si="356"/>
        <v>0</v>
      </c>
      <c r="P469" s="152"/>
      <c r="Q469" s="152">
        <f t="shared" si="357"/>
        <v>0</v>
      </c>
      <c r="R469" s="152"/>
      <c r="S469" s="152">
        <f t="shared" si="358"/>
        <v>0</v>
      </c>
      <c r="T469" s="152"/>
      <c r="U469" s="152">
        <f t="shared" si="359"/>
        <v>0</v>
      </c>
      <c r="V469" s="152"/>
      <c r="W469" s="152">
        <f t="shared" si="360"/>
        <v>0</v>
      </c>
      <c r="X469" s="152"/>
      <c r="Y469" s="152">
        <f t="shared" si="361"/>
        <v>0</v>
      </c>
      <c r="Z469" s="152"/>
      <c r="AA469" s="152">
        <f t="shared" si="362"/>
        <v>0</v>
      </c>
      <c r="AB469" s="152"/>
      <c r="AC469" s="152">
        <f t="shared" si="363"/>
        <v>0</v>
      </c>
      <c r="AD469" s="152"/>
      <c r="AE469" s="152">
        <f t="shared" si="364"/>
        <v>0</v>
      </c>
      <c r="AF469" s="152"/>
      <c r="AG469" s="152">
        <f t="shared" si="365"/>
        <v>0</v>
      </c>
      <c r="AI469" s="153">
        <f t="shared" si="351"/>
        <v>0</v>
      </c>
      <c r="AK469" s="434"/>
    </row>
    <row r="470" spans="1:37">
      <c r="C470" s="155">
        <v>930</v>
      </c>
      <c r="E470" s="743" t="s">
        <v>98</v>
      </c>
      <c r="F470" s="252"/>
      <c r="G470" s="376">
        <v>12</v>
      </c>
      <c r="H470" s="216"/>
      <c r="I470" s="254">
        <f>+Linkin!I131</f>
        <v>0</v>
      </c>
      <c r="J470" s="87"/>
      <c r="K470" s="152">
        <f t="shared" si="354"/>
        <v>0</v>
      </c>
      <c r="M470" s="152">
        <f t="shared" si="355"/>
        <v>0</v>
      </c>
      <c r="N470" s="152"/>
      <c r="O470" s="152">
        <f t="shared" si="356"/>
        <v>0</v>
      </c>
      <c r="P470" s="152"/>
      <c r="Q470" s="152">
        <f t="shared" si="357"/>
        <v>0</v>
      </c>
      <c r="R470" s="152"/>
      <c r="S470" s="152">
        <f t="shared" si="358"/>
        <v>0</v>
      </c>
      <c r="T470" s="152"/>
      <c r="U470" s="152">
        <f t="shared" si="359"/>
        <v>0</v>
      </c>
      <c r="V470" s="152"/>
      <c r="W470" s="152">
        <f t="shared" si="360"/>
        <v>0</v>
      </c>
      <c r="X470" s="152"/>
      <c r="Y470" s="152">
        <f t="shared" si="361"/>
        <v>0</v>
      </c>
      <c r="Z470" s="152"/>
      <c r="AA470" s="152">
        <f t="shared" si="362"/>
        <v>0</v>
      </c>
      <c r="AB470" s="152"/>
      <c r="AC470" s="152">
        <f t="shared" si="363"/>
        <v>0</v>
      </c>
      <c r="AD470" s="152"/>
      <c r="AE470" s="152">
        <f t="shared" si="364"/>
        <v>0</v>
      </c>
      <c r="AF470" s="152"/>
      <c r="AG470" s="152">
        <f t="shared" si="365"/>
        <v>0</v>
      </c>
      <c r="AI470" s="153"/>
      <c r="AK470" s="434"/>
    </row>
    <row r="471" spans="1:37">
      <c r="C471" s="155">
        <v>930</v>
      </c>
      <c r="E471" s="743" t="s">
        <v>99</v>
      </c>
      <c r="F471" s="252"/>
      <c r="G471" s="376">
        <v>12</v>
      </c>
      <c r="H471" s="216"/>
      <c r="I471" s="254">
        <f>+Linkin!I132</f>
        <v>69924</v>
      </c>
      <c r="J471" s="87"/>
      <c r="K471" s="152">
        <f t="shared" si="354"/>
        <v>23075</v>
      </c>
      <c r="M471" s="152">
        <f t="shared" si="355"/>
        <v>6992</v>
      </c>
      <c r="N471" s="152"/>
      <c r="O471" s="152">
        <f t="shared" si="356"/>
        <v>1748</v>
      </c>
      <c r="P471" s="152"/>
      <c r="Q471" s="152">
        <f t="shared" si="357"/>
        <v>2063</v>
      </c>
      <c r="R471" s="152"/>
      <c r="S471" s="152">
        <f t="shared" si="358"/>
        <v>2657</v>
      </c>
      <c r="T471" s="152"/>
      <c r="U471" s="152">
        <f t="shared" si="359"/>
        <v>1210</v>
      </c>
      <c r="V471" s="152"/>
      <c r="W471" s="152">
        <f t="shared" si="360"/>
        <v>25893</v>
      </c>
      <c r="X471" s="152"/>
      <c r="Y471" s="152">
        <f t="shared" si="361"/>
        <v>4790</v>
      </c>
      <c r="Z471" s="152"/>
      <c r="AA471" s="152">
        <f t="shared" si="362"/>
        <v>727</v>
      </c>
      <c r="AB471" s="152"/>
      <c r="AC471" s="152">
        <f t="shared" si="363"/>
        <v>406</v>
      </c>
      <c r="AD471" s="152"/>
      <c r="AE471" s="152">
        <f t="shared" si="364"/>
        <v>119</v>
      </c>
      <c r="AF471" s="152"/>
      <c r="AG471" s="152">
        <f t="shared" si="365"/>
        <v>245</v>
      </c>
      <c r="AI471" s="153"/>
      <c r="AK471" s="434"/>
    </row>
    <row r="472" spans="1:37">
      <c r="C472" s="155">
        <v>932</v>
      </c>
      <c r="E472" s="216" t="s">
        <v>126</v>
      </c>
      <c r="F472" s="216"/>
      <c r="G472" s="253">
        <f>+G146</f>
        <v>12</v>
      </c>
      <c r="H472" s="216"/>
      <c r="I472" s="451">
        <f>+Linkin!I137</f>
        <v>622000</v>
      </c>
      <c r="J472" s="87"/>
      <c r="K472" s="152">
        <f t="shared" si="354"/>
        <v>205260</v>
      </c>
      <c r="M472" s="152">
        <f t="shared" si="355"/>
        <v>62200</v>
      </c>
      <c r="N472" s="152"/>
      <c r="O472" s="152">
        <f t="shared" si="356"/>
        <v>15550</v>
      </c>
      <c r="P472" s="152"/>
      <c r="Q472" s="152">
        <f t="shared" si="357"/>
        <v>18349</v>
      </c>
      <c r="R472" s="152"/>
      <c r="S472" s="152">
        <f t="shared" si="358"/>
        <v>23636</v>
      </c>
      <c r="T472" s="152"/>
      <c r="U472" s="152">
        <f t="shared" si="359"/>
        <v>10761</v>
      </c>
      <c r="V472" s="152"/>
      <c r="W472" s="152">
        <f t="shared" si="360"/>
        <v>230327</v>
      </c>
      <c r="X472" s="152"/>
      <c r="Y472" s="152">
        <f t="shared" si="361"/>
        <v>42607</v>
      </c>
      <c r="Z472" s="152"/>
      <c r="AA472" s="152">
        <f t="shared" si="362"/>
        <v>6469</v>
      </c>
      <c r="AB472" s="152"/>
      <c r="AC472" s="152">
        <f t="shared" si="363"/>
        <v>3608</v>
      </c>
      <c r="AD472" s="152"/>
      <c r="AE472" s="152">
        <f t="shared" si="364"/>
        <v>1057</v>
      </c>
      <c r="AF472" s="152"/>
      <c r="AG472" s="152">
        <f t="shared" si="365"/>
        <v>2177</v>
      </c>
      <c r="AI472" s="153">
        <f t="shared" si="351"/>
        <v>1</v>
      </c>
      <c r="AK472" s="434"/>
    </row>
    <row r="473" spans="1:37">
      <c r="E473" s="216"/>
      <c r="F473" s="216"/>
      <c r="G473" s="253"/>
      <c r="H473" s="216"/>
      <c r="I473" s="239"/>
      <c r="K473" s="995"/>
      <c r="M473" s="995"/>
      <c r="O473" s="995"/>
      <c r="Q473" s="995"/>
      <c r="S473" s="995"/>
      <c r="T473" s="148"/>
      <c r="U473" s="995"/>
      <c r="W473" s="995"/>
      <c r="Y473" s="995"/>
      <c r="AA473" s="995"/>
      <c r="AC473" s="995"/>
      <c r="AE473" s="995"/>
      <c r="AF473" s="148"/>
      <c r="AG473" s="995"/>
      <c r="AI473" s="153">
        <f t="shared" si="351"/>
        <v>0</v>
      </c>
      <c r="AK473" s="434"/>
    </row>
    <row r="474" spans="1:37">
      <c r="E474" s="216" t="s">
        <v>272</v>
      </c>
      <c r="F474" s="216"/>
      <c r="G474" s="253"/>
      <c r="H474" s="216"/>
      <c r="I474" s="1082">
        <f>SUM(I421:I472)</f>
        <v>83553773</v>
      </c>
      <c r="J474" s="1081"/>
      <c r="K474" s="1082">
        <f t="shared" ref="K474:AG474" si="368">SUM(K421:K472)</f>
        <v>17072788</v>
      </c>
      <c r="L474" s="1081"/>
      <c r="M474" s="1082">
        <f t="shared" si="368"/>
        <v>8145300</v>
      </c>
      <c r="N474" s="1081"/>
      <c r="O474" s="1082">
        <f t="shared" si="368"/>
        <v>2196922</v>
      </c>
      <c r="P474" s="1081"/>
      <c r="Q474" s="1082">
        <f t="shared" si="368"/>
        <v>2492519</v>
      </c>
      <c r="R474" s="1081"/>
      <c r="S474" s="1082">
        <f t="shared" si="368"/>
        <v>3636206</v>
      </c>
      <c r="T474" s="1081"/>
      <c r="U474" s="1082">
        <f t="shared" si="368"/>
        <v>1577029</v>
      </c>
      <c r="V474" s="1081"/>
      <c r="W474" s="1082">
        <f t="shared" si="368"/>
        <v>38204982</v>
      </c>
      <c r="X474" s="1081"/>
      <c r="Y474" s="1082">
        <f t="shared" si="368"/>
        <v>8055415</v>
      </c>
      <c r="Z474" s="1081"/>
      <c r="AA474" s="1082">
        <f t="shared" si="368"/>
        <v>1078520</v>
      </c>
      <c r="AB474" s="1081"/>
      <c r="AC474" s="1082">
        <f t="shared" si="368"/>
        <v>607014</v>
      </c>
      <c r="AD474" s="1081"/>
      <c r="AE474" s="1082">
        <f t="shared" si="368"/>
        <v>126683</v>
      </c>
      <c r="AF474" s="1081"/>
      <c r="AG474" s="1082">
        <f t="shared" si="368"/>
        <v>360405</v>
      </c>
      <c r="AI474" s="153">
        <f t="shared" si="351"/>
        <v>10</v>
      </c>
      <c r="AK474" s="434"/>
    </row>
    <row r="475" spans="1:37">
      <c r="E475" s="216"/>
      <c r="F475" s="216"/>
      <c r="G475" s="253"/>
      <c r="H475" s="216"/>
      <c r="I475" s="216"/>
      <c r="AI475" s="153">
        <f t="shared" si="351"/>
        <v>0</v>
      </c>
      <c r="AK475" s="434"/>
    </row>
    <row r="476" spans="1:37" s="104" customFormat="1">
      <c r="A476" s="216"/>
      <c r="B476" s="216"/>
      <c r="C476" s="216"/>
      <c r="D476" s="216"/>
      <c r="E476" s="216"/>
      <c r="F476" s="216"/>
      <c r="G476" s="253"/>
      <c r="H476" s="216"/>
      <c r="J476" s="216"/>
      <c r="K476" s="216"/>
      <c r="L476" s="216"/>
      <c r="M476" s="216"/>
      <c r="N476" s="216"/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  <c r="AA476" s="216"/>
      <c r="AB476" s="216"/>
      <c r="AC476" s="216"/>
      <c r="AD476" s="216"/>
      <c r="AE476" s="216"/>
      <c r="AF476" s="216"/>
      <c r="AG476" s="216"/>
      <c r="AH476" s="216"/>
      <c r="AI476" s="153">
        <f t="shared" si="351"/>
        <v>0</v>
      </c>
      <c r="AJ476" s="216"/>
      <c r="AK476" s="437"/>
    </row>
    <row r="477" spans="1:37" s="104" customFormat="1">
      <c r="A477" s="216"/>
      <c r="B477" s="216"/>
      <c r="C477" s="216"/>
      <c r="D477" s="216"/>
      <c r="E477" s="216"/>
      <c r="F477" s="216"/>
      <c r="G477" s="253"/>
      <c r="H477" s="216"/>
      <c r="I477" s="274"/>
      <c r="J477" s="216"/>
      <c r="K477" s="216"/>
      <c r="L477" s="216"/>
      <c r="M477" s="216"/>
      <c r="N477" s="216"/>
      <c r="O477" s="216"/>
      <c r="P477" s="216"/>
      <c r="Q477" s="216"/>
      <c r="R477" s="216"/>
      <c r="S477" s="216"/>
      <c r="T477" s="216"/>
      <c r="U477" s="216"/>
      <c r="V477" s="216"/>
      <c r="W477" s="216"/>
      <c r="X477" s="216"/>
      <c r="Y477" s="216"/>
      <c r="Z477" s="216"/>
      <c r="AA477" s="216"/>
      <c r="AB477" s="216"/>
      <c r="AC477" s="216"/>
      <c r="AD477" s="216"/>
      <c r="AE477" s="216"/>
      <c r="AF477" s="216"/>
      <c r="AG477" s="216"/>
      <c r="AH477" s="216"/>
      <c r="AI477" s="153">
        <f t="shared" si="351"/>
        <v>0</v>
      </c>
      <c r="AJ477" s="216"/>
      <c r="AK477" s="437"/>
    </row>
    <row r="478" spans="1:37">
      <c r="C478" s="253">
        <v>926</v>
      </c>
      <c r="D478" s="216"/>
      <c r="E478" s="101" t="s">
        <v>411</v>
      </c>
      <c r="F478" s="216"/>
      <c r="G478" s="253">
        <v>13</v>
      </c>
      <c r="H478" s="216"/>
      <c r="I478" s="274">
        <f>+Linkin!I127</f>
        <v>2015638</v>
      </c>
      <c r="K478" s="152">
        <f>ROUND(VLOOKUP($G478,factors,+K$375,FALSE)*$I478,0)</f>
        <v>411795</v>
      </c>
      <c r="M478" s="152">
        <f>ROUND(VLOOKUP($G478,factors,+M$375,FALSE)*$I478,0)</f>
        <v>196525</v>
      </c>
      <c r="N478" s="152"/>
      <c r="O478" s="152">
        <f>ROUND(VLOOKUP($G478,factors,+O$375,FALSE)*$I478,0)</f>
        <v>53011</v>
      </c>
      <c r="P478" s="152"/>
      <c r="Q478" s="152">
        <f>ROUND(VLOOKUP($G478,factors,+Q$375,FALSE)*$I478,0)</f>
        <v>60066</v>
      </c>
      <c r="R478" s="152"/>
      <c r="S478" s="152">
        <f>ROUND(VLOOKUP($G478,factors,+S$375,FALSE)*$I478,0)</f>
        <v>87680</v>
      </c>
      <c r="T478" s="152"/>
      <c r="U478" s="152">
        <f>ROUND(VLOOKUP($G478,factors,+U$375,FALSE)*$I478,0)</f>
        <v>38096</v>
      </c>
      <c r="V478" s="152"/>
      <c r="W478" s="152">
        <f>ROUND(VLOOKUP($G478,factors,+W$375,FALSE)*$I478,0)</f>
        <v>921751</v>
      </c>
      <c r="X478" s="152"/>
      <c r="Y478" s="152">
        <f>ROUND(VLOOKUP($G478,factors,+Y$375,FALSE)*$I478,0)</f>
        <v>194308</v>
      </c>
      <c r="Z478" s="152"/>
      <c r="AA478" s="152">
        <f>ROUND(VLOOKUP($G478,factors,+AA$375,FALSE)*$I478,0)</f>
        <v>26002</v>
      </c>
      <c r="AB478" s="152"/>
      <c r="AC478" s="152">
        <f>ROUND(VLOOKUP($G478,factors,+AC$375,FALSE)*$I478,0)</f>
        <v>14714</v>
      </c>
      <c r="AD478" s="152"/>
      <c r="AE478" s="152">
        <f>ROUND(VLOOKUP($G478,factors,+AE$375,FALSE)*$I478,0)</f>
        <v>3023</v>
      </c>
      <c r="AF478" s="152"/>
      <c r="AG478" s="152">
        <f>ROUND(VLOOKUP($G478,factors,+AG$375,FALSE)*$I478,0)</f>
        <v>8667</v>
      </c>
      <c r="AI478" s="153">
        <f t="shared" si="351"/>
        <v>0</v>
      </c>
      <c r="AK478" s="434"/>
    </row>
    <row r="479" spans="1:37" s="104" customFormat="1">
      <c r="A479" s="216"/>
      <c r="B479" s="216"/>
      <c r="C479" s="253"/>
      <c r="D479" s="216"/>
      <c r="E479" s="216"/>
      <c r="F479" s="216"/>
      <c r="G479" s="253"/>
      <c r="H479" s="216"/>
      <c r="I479" s="274">
        <f>+I478+I474</f>
        <v>85569411</v>
      </c>
      <c r="J479" s="216"/>
      <c r="K479" s="255"/>
      <c r="L479" s="216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  <c r="Y479" s="255"/>
      <c r="Z479" s="255"/>
      <c r="AA479" s="255"/>
      <c r="AB479" s="255"/>
      <c r="AC479" s="255"/>
      <c r="AD479" s="255"/>
      <c r="AE479" s="255"/>
      <c r="AF479" s="255"/>
      <c r="AG479" s="255"/>
      <c r="AH479" s="255"/>
      <c r="AI479" s="275"/>
      <c r="AJ479" s="275"/>
      <c r="AK479" s="437"/>
    </row>
    <row r="480" spans="1:37">
      <c r="E480" s="216"/>
      <c r="F480" s="216"/>
      <c r="G480" s="253"/>
      <c r="H480" s="216"/>
      <c r="I480" s="274"/>
      <c r="AK480" s="434"/>
    </row>
    <row r="481" spans="5:37">
      <c r="F481" s="216"/>
      <c r="G481" s="253"/>
      <c r="H481" s="216"/>
      <c r="I481" s="274"/>
      <c r="AK481" s="434"/>
    </row>
    <row r="482" spans="5:37">
      <c r="E482" s="216"/>
      <c r="F482" s="216"/>
      <c r="G482" s="253"/>
      <c r="H482" s="216"/>
      <c r="I482" s="274"/>
      <c r="AK482" s="434"/>
    </row>
    <row r="483" spans="5:37">
      <c r="G483" s="253"/>
      <c r="I483" s="151"/>
      <c r="AK483" s="434"/>
    </row>
    <row r="484" spans="5:37">
      <c r="G484" s="253"/>
      <c r="I484" s="151"/>
      <c r="AK484" s="434"/>
    </row>
    <row r="485" spans="5:37">
      <c r="G485" s="253"/>
      <c r="I485" s="151"/>
      <c r="AK485" s="434"/>
    </row>
    <row r="486" spans="5:37">
      <c r="G486" s="253"/>
      <c r="I486" s="151"/>
      <c r="AK486" s="434"/>
    </row>
    <row r="487" spans="5:37">
      <c r="G487" s="253"/>
      <c r="I487" s="151"/>
      <c r="AK487" s="434"/>
    </row>
    <row r="488" spans="5:37">
      <c r="G488" s="253"/>
      <c r="I488" s="151"/>
      <c r="AK488" s="434"/>
    </row>
    <row r="489" spans="5:37">
      <c r="G489" s="253"/>
      <c r="I489" s="151"/>
      <c r="AK489" s="434"/>
    </row>
    <row r="490" spans="5:37">
      <c r="G490" s="253"/>
      <c r="I490" s="151"/>
      <c r="AK490" s="434"/>
    </row>
    <row r="491" spans="5:37">
      <c r="G491" s="253"/>
      <c r="I491" s="151"/>
      <c r="AK491" s="434"/>
    </row>
    <row r="492" spans="5:37">
      <c r="G492" s="253"/>
      <c r="I492" s="151"/>
      <c r="P492" s="148"/>
      <c r="Q492" s="148"/>
      <c r="AK492" s="434"/>
    </row>
    <row r="493" spans="5:37">
      <c r="G493" s="253"/>
      <c r="I493" s="151"/>
      <c r="O493" s="148"/>
      <c r="P493" s="148"/>
      <c r="Q493" s="148"/>
      <c r="R493" s="148"/>
      <c r="AK493" s="434"/>
    </row>
    <row r="494" spans="5:37">
      <c r="G494" s="253"/>
      <c r="I494" s="151"/>
      <c r="O494" s="148"/>
      <c r="P494" s="148"/>
      <c r="Q494" s="160"/>
      <c r="R494" s="148"/>
      <c r="AK494" s="434"/>
    </row>
    <row r="495" spans="5:37">
      <c r="G495" s="253"/>
      <c r="I495" s="151"/>
      <c r="O495" s="148"/>
      <c r="P495" s="148"/>
      <c r="Q495" s="243"/>
      <c r="R495" s="148"/>
      <c r="AK495" s="434"/>
    </row>
    <row r="496" spans="5:37">
      <c r="G496" s="253"/>
      <c r="I496" s="151"/>
      <c r="O496" s="148"/>
      <c r="P496" s="148"/>
      <c r="Q496" s="148"/>
      <c r="R496" s="148"/>
      <c r="AK496" s="434"/>
    </row>
    <row r="497" spans="7:37">
      <c r="G497" s="253"/>
      <c r="I497" s="151"/>
      <c r="O497" s="148"/>
      <c r="P497" s="148"/>
      <c r="Q497" s="148"/>
      <c r="R497" s="148"/>
      <c r="AK497" s="434"/>
    </row>
    <row r="498" spans="7:37">
      <c r="G498" s="253"/>
      <c r="I498" s="151"/>
      <c r="O498" s="148"/>
      <c r="P498" s="148"/>
      <c r="Q498" s="244"/>
      <c r="R498" s="148"/>
      <c r="AK498" s="434"/>
    </row>
    <row r="499" spans="7:37">
      <c r="G499" s="253"/>
      <c r="I499" s="151"/>
      <c r="O499" s="148"/>
      <c r="P499" s="148"/>
      <c r="Q499" s="148"/>
      <c r="R499" s="148"/>
      <c r="AK499" s="434"/>
    </row>
    <row r="500" spans="7:37">
      <c r="G500" s="253"/>
      <c r="O500" s="148"/>
      <c r="P500" s="148"/>
      <c r="Q500" s="158"/>
      <c r="R500" s="148"/>
      <c r="AE500" s="151"/>
      <c r="AF500" s="151"/>
      <c r="AG500" s="151"/>
      <c r="AK500" s="434"/>
    </row>
    <row r="501" spans="7:37">
      <c r="G501" s="253"/>
      <c r="O501" s="148"/>
      <c r="P501" s="148"/>
      <c r="Q501" s="148"/>
      <c r="R501" s="148"/>
      <c r="AK501" s="434"/>
    </row>
    <row r="502" spans="7:37">
      <c r="G502" s="253"/>
      <c r="O502" s="148"/>
      <c r="P502" s="148"/>
      <c r="Q502" s="158"/>
      <c r="R502" s="148"/>
      <c r="AK502" s="434"/>
    </row>
    <row r="503" spans="7:37">
      <c r="G503" s="253"/>
      <c r="O503" s="148"/>
      <c r="P503" s="148"/>
      <c r="Q503" s="158"/>
      <c r="R503" s="148"/>
      <c r="AK503" s="434"/>
    </row>
    <row r="504" spans="7:37">
      <c r="G504" s="253"/>
      <c r="O504" s="148"/>
      <c r="P504" s="148"/>
      <c r="Q504" s="158"/>
      <c r="R504" s="148"/>
      <c r="AK504" s="434"/>
    </row>
    <row r="505" spans="7:37">
      <c r="G505" s="253"/>
      <c r="O505" s="148"/>
      <c r="P505" s="148"/>
      <c r="Q505" s="148"/>
      <c r="R505" s="148"/>
      <c r="AK505" s="434"/>
    </row>
    <row r="506" spans="7:37">
      <c r="G506" s="253"/>
      <c r="O506" s="148"/>
      <c r="P506" s="148"/>
      <c r="Q506" s="244"/>
      <c r="R506" s="148"/>
      <c r="AK506" s="434"/>
    </row>
    <row r="507" spans="7:37">
      <c r="G507" s="253"/>
      <c r="P507" s="148"/>
      <c r="Q507" s="148"/>
      <c r="AK507" s="434"/>
    </row>
    <row r="508" spans="7:37">
      <c r="G508" s="253"/>
      <c r="Q508" s="161"/>
      <c r="AK508" s="434"/>
    </row>
    <row r="509" spans="7:37">
      <c r="G509" s="253"/>
      <c r="J509" s="148"/>
      <c r="AK509" s="434"/>
    </row>
    <row r="510" spans="7:37">
      <c r="G510" s="253"/>
      <c r="AK510" s="434"/>
    </row>
    <row r="511" spans="7:37">
      <c r="G511" s="253"/>
      <c r="AK511" s="434"/>
    </row>
    <row r="512" spans="7:37">
      <c r="G512" s="253"/>
      <c r="AK512" s="434"/>
    </row>
    <row r="513" spans="7:37">
      <c r="G513" s="253"/>
      <c r="AK513" s="434"/>
    </row>
    <row r="514" spans="7:37">
      <c r="G514" s="253"/>
      <c r="AK514" s="434"/>
    </row>
    <row r="515" spans="7:37">
      <c r="G515" s="253"/>
      <c r="AK515" s="434"/>
    </row>
    <row r="516" spans="7:37">
      <c r="G516" s="253"/>
      <c r="AK516" s="434"/>
    </row>
    <row r="517" spans="7:37">
      <c r="G517" s="253"/>
      <c r="AK517" s="434"/>
    </row>
    <row r="518" spans="7:37">
      <c r="G518" s="253"/>
      <c r="AK518" s="434"/>
    </row>
    <row r="519" spans="7:37">
      <c r="G519" s="253"/>
      <c r="AK519" s="434"/>
    </row>
    <row r="520" spans="7:37">
      <c r="G520" s="253"/>
      <c r="AK520" s="434"/>
    </row>
    <row r="521" spans="7:37" ht="21.75" customHeight="1">
      <c r="G521" s="253"/>
      <c r="AK521" s="434"/>
    </row>
    <row r="522" spans="7:37">
      <c r="G522" s="253"/>
      <c r="AK522" s="434"/>
    </row>
    <row r="523" spans="7:37">
      <c r="G523" s="253"/>
      <c r="AK523" s="434"/>
    </row>
    <row r="524" spans="7:37">
      <c r="G524" s="253"/>
      <c r="AK524" s="434"/>
    </row>
    <row r="525" spans="7:37">
      <c r="G525" s="253"/>
      <c r="AK525" s="434"/>
    </row>
    <row r="526" spans="7:37">
      <c r="G526" s="253"/>
      <c r="AK526" s="434"/>
    </row>
    <row r="527" spans="7:37">
      <c r="G527" s="253"/>
      <c r="AK527" s="434"/>
    </row>
    <row r="528" spans="7:37">
      <c r="G528" s="253"/>
      <c r="AK528" s="434"/>
    </row>
    <row r="529" spans="7:37">
      <c r="G529" s="253"/>
      <c r="I529" s="151"/>
      <c r="AK529" s="434"/>
    </row>
    <row r="530" spans="7:37">
      <c r="G530" s="253"/>
      <c r="I530" s="151"/>
      <c r="AK530" s="434"/>
    </row>
    <row r="531" spans="7:37">
      <c r="G531" s="253"/>
      <c r="I531" s="165"/>
      <c r="AK531" s="434"/>
    </row>
    <row r="532" spans="7:37">
      <c r="G532" s="253"/>
      <c r="I532" s="151"/>
      <c r="AK532" s="434"/>
    </row>
    <row r="533" spans="7:37">
      <c r="G533" s="253"/>
      <c r="I533" s="151"/>
      <c r="AK533" s="434"/>
    </row>
    <row r="534" spans="7:37">
      <c r="G534" s="253"/>
      <c r="I534" s="151"/>
      <c r="AK534" s="434"/>
    </row>
    <row r="535" spans="7:37">
      <c r="G535" s="253"/>
      <c r="I535" s="151"/>
      <c r="AK535" s="434"/>
    </row>
    <row r="536" spans="7:37">
      <c r="G536" s="253"/>
      <c r="I536" s="151"/>
      <c r="AK536" s="434"/>
    </row>
    <row r="537" spans="7:37">
      <c r="G537" s="253"/>
      <c r="I537" s="151"/>
      <c r="AK537" s="434"/>
    </row>
    <row r="538" spans="7:37">
      <c r="G538" s="253"/>
      <c r="I538" s="151"/>
      <c r="AK538" s="434"/>
    </row>
    <row r="539" spans="7:37">
      <c r="G539" s="253"/>
      <c r="I539" s="151"/>
      <c r="AK539" s="434"/>
    </row>
    <row r="540" spans="7:37">
      <c r="G540" s="253"/>
      <c r="I540" s="151"/>
      <c r="AK540" s="434"/>
    </row>
    <row r="541" spans="7:37">
      <c r="G541" s="253"/>
      <c r="I541" s="151"/>
      <c r="AK541" s="434"/>
    </row>
    <row r="542" spans="7:37">
      <c r="G542" s="253"/>
      <c r="I542" s="151"/>
    </row>
    <row r="543" spans="7:37">
      <c r="G543" s="253"/>
      <c r="I543" s="151"/>
    </row>
    <row r="544" spans="7:37">
      <c r="G544" s="253"/>
      <c r="I544" s="151"/>
    </row>
    <row r="545" spans="7:9">
      <c r="G545" s="253"/>
      <c r="I545" s="151"/>
    </row>
    <row r="546" spans="7:9">
      <c r="G546" s="253"/>
      <c r="I546" s="151"/>
    </row>
    <row r="547" spans="7:9">
      <c r="G547" s="253"/>
      <c r="I547" s="151"/>
    </row>
    <row r="548" spans="7:9">
      <c r="G548" s="253"/>
      <c r="I548" s="151"/>
    </row>
    <row r="549" spans="7:9">
      <c r="G549" s="253"/>
      <c r="I549" s="151"/>
    </row>
    <row r="550" spans="7:9">
      <c r="G550" s="253"/>
      <c r="I550" s="151"/>
    </row>
    <row r="551" spans="7:9">
      <c r="G551" s="253"/>
      <c r="I551" s="151"/>
    </row>
    <row r="552" spans="7:9">
      <c r="G552" s="253"/>
      <c r="I552" s="151"/>
    </row>
    <row r="553" spans="7:9">
      <c r="G553" s="253"/>
      <c r="I553" s="151"/>
    </row>
    <row r="554" spans="7:9">
      <c r="G554" s="253"/>
      <c r="I554" s="151"/>
    </row>
    <row r="555" spans="7:9">
      <c r="G555" s="253"/>
      <c r="I555" s="151"/>
    </row>
    <row r="556" spans="7:9">
      <c r="G556" s="253"/>
      <c r="I556" s="151"/>
    </row>
    <row r="557" spans="7:9">
      <c r="G557" s="253"/>
      <c r="I557" s="151"/>
    </row>
    <row r="558" spans="7:9">
      <c r="G558" s="253"/>
      <c r="I558" s="151"/>
    </row>
    <row r="559" spans="7:9">
      <c r="G559" s="253"/>
      <c r="I559" s="151"/>
    </row>
    <row r="560" spans="7:9">
      <c r="G560" s="253"/>
      <c r="I560" s="151"/>
    </row>
    <row r="561" spans="7:9">
      <c r="G561" s="253"/>
      <c r="I561" s="151"/>
    </row>
    <row r="562" spans="7:9">
      <c r="G562" s="253"/>
      <c r="I562" s="151"/>
    </row>
    <row r="563" spans="7:9">
      <c r="G563" s="253"/>
      <c r="I563" s="151"/>
    </row>
    <row r="564" spans="7:9">
      <c r="G564" s="253"/>
      <c r="I564" s="151"/>
    </row>
    <row r="565" spans="7:9">
      <c r="G565" s="253"/>
      <c r="I565" s="151"/>
    </row>
    <row r="566" spans="7:9">
      <c r="G566" s="253"/>
      <c r="I566" s="151"/>
    </row>
    <row r="567" spans="7:9">
      <c r="I567" s="151"/>
    </row>
    <row r="568" spans="7:9">
      <c r="I568" s="151"/>
    </row>
    <row r="569" spans="7:9">
      <c r="I569" s="151"/>
    </row>
    <row r="570" spans="7:9">
      <c r="I570" s="151"/>
    </row>
    <row r="571" spans="7:9">
      <c r="I571" s="151"/>
    </row>
    <row r="572" spans="7:9">
      <c r="I572" s="151"/>
    </row>
    <row r="573" spans="7:9">
      <c r="I573" s="151"/>
    </row>
    <row r="574" spans="7:9">
      <c r="I574" s="151"/>
    </row>
    <row r="575" spans="7:9">
      <c r="I575" s="151"/>
    </row>
    <row r="576" spans="7:9">
      <c r="I576" s="151"/>
    </row>
    <row r="577" spans="9:9">
      <c r="I577" s="151"/>
    </row>
    <row r="578" spans="9:9">
      <c r="I578" s="151"/>
    </row>
    <row r="579" spans="9:9">
      <c r="I579" s="151"/>
    </row>
    <row r="580" spans="9:9">
      <c r="I580" s="151"/>
    </row>
    <row r="581" spans="9:9">
      <c r="I581" s="151"/>
    </row>
    <row r="582" spans="9:9">
      <c r="I582" s="151"/>
    </row>
    <row r="583" spans="9:9">
      <c r="I583" s="151"/>
    </row>
    <row r="584" spans="9:9">
      <c r="I584" s="151"/>
    </row>
    <row r="585" spans="9:9">
      <c r="I585" s="151"/>
    </row>
    <row r="586" spans="9:9">
      <c r="I586" s="151"/>
    </row>
    <row r="587" spans="9:9">
      <c r="I587" s="151"/>
    </row>
    <row r="588" spans="9:9">
      <c r="I588" s="151"/>
    </row>
    <row r="589" spans="9:9">
      <c r="I589" s="151"/>
    </row>
    <row r="590" spans="9:9">
      <c r="I590" s="151"/>
    </row>
    <row r="591" spans="9:9">
      <c r="I591" s="151"/>
    </row>
    <row r="592" spans="9:9">
      <c r="I592" s="151"/>
    </row>
    <row r="593" spans="9:9">
      <c r="I593" s="151"/>
    </row>
    <row r="594" spans="9:9">
      <c r="I594" s="151"/>
    </row>
    <row r="595" spans="9:9">
      <c r="I595" s="151"/>
    </row>
    <row r="596" spans="9:9">
      <c r="I596" s="151"/>
    </row>
    <row r="597" spans="9:9">
      <c r="I597" s="151"/>
    </row>
    <row r="598" spans="9:9">
      <c r="I598" s="151"/>
    </row>
    <row r="599" spans="9:9">
      <c r="I599" s="151"/>
    </row>
    <row r="600" spans="9:9">
      <c r="I600" s="151"/>
    </row>
    <row r="601" spans="9:9">
      <c r="I601" s="151"/>
    </row>
    <row r="602" spans="9:9">
      <c r="I602" s="151"/>
    </row>
    <row r="603" spans="9:9">
      <c r="I603" s="151"/>
    </row>
    <row r="604" spans="9:9">
      <c r="I604" s="151"/>
    </row>
    <row r="605" spans="9:9">
      <c r="I605" s="151"/>
    </row>
    <row r="606" spans="9:9">
      <c r="I606" s="151"/>
    </row>
    <row r="607" spans="9:9">
      <c r="I607" s="151"/>
    </row>
    <row r="608" spans="9:9">
      <c r="I608" s="151"/>
    </row>
    <row r="609" spans="9:9">
      <c r="I609" s="151"/>
    </row>
    <row r="610" spans="9:9">
      <c r="I610" s="151"/>
    </row>
    <row r="611" spans="9:9">
      <c r="I611" s="151"/>
    </row>
    <row r="612" spans="9:9">
      <c r="I612" s="151"/>
    </row>
    <row r="613" spans="9:9">
      <c r="I613" s="151"/>
    </row>
    <row r="614" spans="9:9">
      <c r="I614" s="151"/>
    </row>
    <row r="615" spans="9:9">
      <c r="I615" s="151"/>
    </row>
    <row r="616" spans="9:9">
      <c r="I616" s="151"/>
    </row>
    <row r="617" spans="9:9">
      <c r="I617" s="151"/>
    </row>
    <row r="618" spans="9:9">
      <c r="I618" s="151"/>
    </row>
    <row r="619" spans="9:9">
      <c r="I619" s="151"/>
    </row>
    <row r="620" spans="9:9">
      <c r="I620" s="151"/>
    </row>
    <row r="621" spans="9:9">
      <c r="I621" s="151"/>
    </row>
    <row r="622" spans="9:9">
      <c r="I622" s="151"/>
    </row>
    <row r="623" spans="9:9">
      <c r="I623" s="151"/>
    </row>
    <row r="624" spans="9:9">
      <c r="I624" s="151"/>
    </row>
    <row r="625" spans="9:9">
      <c r="I625" s="151"/>
    </row>
    <row r="626" spans="9:9">
      <c r="I626" s="151"/>
    </row>
    <row r="627" spans="9:9">
      <c r="I627" s="151"/>
    </row>
    <row r="628" spans="9:9">
      <c r="I628" s="151"/>
    </row>
    <row r="629" spans="9:9">
      <c r="I629" s="151"/>
    </row>
    <row r="630" spans="9:9">
      <c r="I630" s="151"/>
    </row>
    <row r="631" spans="9:9">
      <c r="I631" s="151"/>
    </row>
    <row r="632" spans="9:9">
      <c r="I632" s="151"/>
    </row>
    <row r="633" spans="9:9">
      <c r="I633" s="151"/>
    </row>
    <row r="634" spans="9:9">
      <c r="I634" s="151"/>
    </row>
    <row r="635" spans="9:9">
      <c r="I635" s="151"/>
    </row>
    <row r="636" spans="9:9">
      <c r="I636" s="151"/>
    </row>
    <row r="637" spans="9:9">
      <c r="I637" s="151"/>
    </row>
    <row r="638" spans="9:9">
      <c r="I638" s="151"/>
    </row>
    <row r="639" spans="9:9">
      <c r="I639" s="151"/>
    </row>
    <row r="640" spans="9:9">
      <c r="I640" s="151"/>
    </row>
    <row r="641" spans="9:9">
      <c r="I641" s="151"/>
    </row>
    <row r="642" spans="9:9">
      <c r="I642" s="151"/>
    </row>
    <row r="643" spans="9:9">
      <c r="I643" s="151"/>
    </row>
    <row r="644" spans="9:9">
      <c r="I644" s="151"/>
    </row>
    <row r="645" spans="9:9">
      <c r="I645" s="151"/>
    </row>
    <row r="646" spans="9:9">
      <c r="I646" s="151"/>
    </row>
    <row r="647" spans="9:9">
      <c r="I647" s="151"/>
    </row>
    <row r="648" spans="9:9">
      <c r="I648" s="151"/>
    </row>
    <row r="649" spans="9:9">
      <c r="I649" s="151"/>
    </row>
    <row r="650" spans="9:9">
      <c r="I650" s="151"/>
    </row>
    <row r="651" spans="9:9">
      <c r="I651" s="151"/>
    </row>
    <row r="652" spans="9:9">
      <c r="I652" s="151"/>
    </row>
    <row r="653" spans="9:9">
      <c r="I653" s="151"/>
    </row>
    <row r="654" spans="9:9">
      <c r="I654" s="151"/>
    </row>
    <row r="655" spans="9:9">
      <c r="I655" s="151"/>
    </row>
    <row r="656" spans="9:9">
      <c r="I656" s="151"/>
    </row>
    <row r="657" spans="9:9">
      <c r="I657" s="151"/>
    </row>
    <row r="658" spans="9:9">
      <c r="I658" s="151"/>
    </row>
    <row r="659" spans="9:9">
      <c r="I659" s="151"/>
    </row>
    <row r="660" spans="9:9">
      <c r="I660" s="151"/>
    </row>
    <row r="661" spans="9:9">
      <c r="I661" s="151"/>
    </row>
    <row r="662" spans="9:9">
      <c r="I662" s="151"/>
    </row>
    <row r="663" spans="9:9">
      <c r="I663" s="151"/>
    </row>
    <row r="664" spans="9:9">
      <c r="I664" s="151"/>
    </row>
    <row r="665" spans="9:9">
      <c r="I665" s="151"/>
    </row>
    <row r="666" spans="9:9">
      <c r="I666" s="151"/>
    </row>
    <row r="667" spans="9:9">
      <c r="I667" s="151"/>
    </row>
    <row r="668" spans="9:9">
      <c r="I668" s="151"/>
    </row>
    <row r="669" spans="9:9">
      <c r="I669" s="151"/>
    </row>
    <row r="670" spans="9:9">
      <c r="I670" s="151"/>
    </row>
    <row r="671" spans="9:9">
      <c r="I671" s="151"/>
    </row>
    <row r="672" spans="9:9">
      <c r="I672" s="151"/>
    </row>
    <row r="673" spans="9:9">
      <c r="I673" s="151"/>
    </row>
    <row r="674" spans="9:9">
      <c r="I674" s="151"/>
    </row>
    <row r="675" spans="9:9">
      <c r="I675" s="151"/>
    </row>
    <row r="676" spans="9:9">
      <c r="I676" s="151"/>
    </row>
    <row r="677" spans="9:9">
      <c r="I677" s="151"/>
    </row>
    <row r="678" spans="9:9">
      <c r="I678" s="151"/>
    </row>
    <row r="679" spans="9:9">
      <c r="I679" s="151"/>
    </row>
    <row r="680" spans="9:9">
      <c r="I680" s="151"/>
    </row>
    <row r="681" spans="9:9">
      <c r="I681" s="151"/>
    </row>
    <row r="682" spans="9:9">
      <c r="I682" s="151"/>
    </row>
    <row r="683" spans="9:9">
      <c r="I683" s="151"/>
    </row>
    <row r="684" spans="9:9">
      <c r="I684" s="151"/>
    </row>
    <row r="685" spans="9:9">
      <c r="I685" s="151"/>
    </row>
    <row r="686" spans="9:9">
      <c r="I686" s="151"/>
    </row>
    <row r="687" spans="9:9">
      <c r="I687" s="151"/>
    </row>
    <row r="688" spans="9:9">
      <c r="I688" s="151"/>
    </row>
    <row r="689" spans="9:9">
      <c r="I689" s="151"/>
    </row>
    <row r="690" spans="9:9">
      <c r="I690" s="151"/>
    </row>
    <row r="691" spans="9:9">
      <c r="I691" s="151"/>
    </row>
    <row r="692" spans="9:9">
      <c r="I692" s="151"/>
    </row>
    <row r="693" spans="9:9">
      <c r="I693" s="151"/>
    </row>
    <row r="694" spans="9:9">
      <c r="I694" s="151"/>
    </row>
    <row r="695" spans="9:9">
      <c r="I695" s="151"/>
    </row>
    <row r="696" spans="9:9">
      <c r="I696" s="151"/>
    </row>
    <row r="697" spans="9:9">
      <c r="I697" s="151"/>
    </row>
    <row r="698" spans="9:9">
      <c r="I698" s="151"/>
    </row>
    <row r="699" spans="9:9">
      <c r="I699" s="151"/>
    </row>
    <row r="700" spans="9:9">
      <c r="I700" s="151"/>
    </row>
    <row r="701" spans="9:9">
      <c r="I701" s="151"/>
    </row>
    <row r="702" spans="9:9">
      <c r="I702" s="151"/>
    </row>
    <row r="703" spans="9:9">
      <c r="I703" s="151"/>
    </row>
    <row r="704" spans="9:9">
      <c r="I704" s="151"/>
    </row>
    <row r="705" spans="9:9">
      <c r="I705" s="151"/>
    </row>
    <row r="706" spans="9:9">
      <c r="I706" s="151"/>
    </row>
    <row r="707" spans="9:9">
      <c r="I707" s="151"/>
    </row>
    <row r="708" spans="9:9">
      <c r="I708" s="151"/>
    </row>
    <row r="709" spans="9:9">
      <c r="I709" s="151"/>
    </row>
    <row r="710" spans="9:9">
      <c r="I710" s="151"/>
    </row>
    <row r="711" spans="9:9">
      <c r="I711" s="151"/>
    </row>
    <row r="712" spans="9:9">
      <c r="I712" s="151"/>
    </row>
    <row r="713" spans="9:9">
      <c r="I713" s="151"/>
    </row>
    <row r="714" spans="9:9">
      <c r="I714" s="151"/>
    </row>
    <row r="715" spans="9:9">
      <c r="I715" s="151"/>
    </row>
    <row r="716" spans="9:9">
      <c r="I716" s="151"/>
    </row>
    <row r="717" spans="9:9">
      <c r="I717" s="151"/>
    </row>
    <row r="718" spans="9:9">
      <c r="I718" s="151"/>
    </row>
    <row r="719" spans="9:9">
      <c r="I719" s="151"/>
    </row>
    <row r="720" spans="9:9">
      <c r="I720" s="151"/>
    </row>
    <row r="721" spans="9:9">
      <c r="I721" s="151"/>
    </row>
    <row r="722" spans="9:9">
      <c r="I722" s="151"/>
    </row>
    <row r="723" spans="9:9">
      <c r="I723" s="151"/>
    </row>
    <row r="724" spans="9:9">
      <c r="I724" s="151"/>
    </row>
    <row r="725" spans="9:9">
      <c r="I725" s="151"/>
    </row>
    <row r="726" spans="9:9">
      <c r="I726" s="151"/>
    </row>
    <row r="727" spans="9:9">
      <c r="I727" s="151"/>
    </row>
    <row r="728" spans="9:9">
      <c r="I728" s="151"/>
    </row>
    <row r="729" spans="9:9">
      <c r="I729" s="151"/>
    </row>
    <row r="730" spans="9:9">
      <c r="I730" s="151"/>
    </row>
    <row r="731" spans="9:9">
      <c r="I731" s="151"/>
    </row>
    <row r="732" spans="9:9">
      <c r="I732" s="151"/>
    </row>
    <row r="733" spans="9:9">
      <c r="I733" s="151"/>
    </row>
    <row r="734" spans="9:9">
      <c r="I734" s="151"/>
    </row>
    <row r="735" spans="9:9">
      <c r="I735" s="151"/>
    </row>
    <row r="736" spans="9:9">
      <c r="I736" s="151"/>
    </row>
    <row r="737" spans="9:9">
      <c r="I737" s="151"/>
    </row>
    <row r="738" spans="9:9">
      <c r="I738" s="151"/>
    </row>
    <row r="739" spans="9:9">
      <c r="I739" s="151"/>
    </row>
    <row r="740" spans="9:9">
      <c r="I740" s="151"/>
    </row>
    <row r="741" spans="9:9">
      <c r="I741" s="151"/>
    </row>
    <row r="742" spans="9:9">
      <c r="I742" s="151"/>
    </row>
    <row r="743" spans="9:9">
      <c r="I743" s="151"/>
    </row>
    <row r="744" spans="9:9">
      <c r="I744" s="151"/>
    </row>
    <row r="745" spans="9:9">
      <c r="I745" s="151"/>
    </row>
    <row r="746" spans="9:9">
      <c r="I746" s="151"/>
    </row>
    <row r="747" spans="9:9">
      <c r="I747" s="151"/>
    </row>
    <row r="748" spans="9:9">
      <c r="I748" s="151"/>
    </row>
    <row r="749" spans="9:9">
      <c r="I749" s="151"/>
    </row>
    <row r="750" spans="9:9">
      <c r="I750" s="151"/>
    </row>
    <row r="751" spans="9:9">
      <c r="I751" s="151"/>
    </row>
    <row r="752" spans="9:9">
      <c r="I752" s="151"/>
    </row>
    <row r="753" spans="9:9">
      <c r="I753" s="151"/>
    </row>
    <row r="754" spans="9:9">
      <c r="I754" s="151"/>
    </row>
    <row r="755" spans="9:9">
      <c r="I755" s="151"/>
    </row>
    <row r="756" spans="9:9">
      <c r="I756" s="151"/>
    </row>
    <row r="757" spans="9:9">
      <c r="I757" s="151"/>
    </row>
    <row r="758" spans="9:9">
      <c r="I758" s="151"/>
    </row>
    <row r="759" spans="9:9">
      <c r="I759" s="151"/>
    </row>
    <row r="760" spans="9:9">
      <c r="I760" s="151"/>
    </row>
    <row r="761" spans="9:9">
      <c r="I761" s="151"/>
    </row>
    <row r="762" spans="9:9">
      <c r="I762" s="151"/>
    </row>
    <row r="763" spans="9:9">
      <c r="I763" s="151"/>
    </row>
    <row r="764" spans="9:9">
      <c r="I764" s="151"/>
    </row>
    <row r="765" spans="9:9">
      <c r="I765" s="151"/>
    </row>
    <row r="766" spans="9:9">
      <c r="I766" s="151"/>
    </row>
    <row r="767" spans="9:9">
      <c r="I767" s="151"/>
    </row>
    <row r="768" spans="9:9">
      <c r="I768" s="151"/>
    </row>
    <row r="769" spans="9:9">
      <c r="I769" s="151"/>
    </row>
    <row r="770" spans="9:9">
      <c r="I770" s="151"/>
    </row>
    <row r="771" spans="9:9">
      <c r="I771" s="151"/>
    </row>
    <row r="772" spans="9:9">
      <c r="I772" s="151"/>
    </row>
    <row r="773" spans="9:9">
      <c r="I773" s="151"/>
    </row>
    <row r="774" spans="9:9">
      <c r="I774" s="151"/>
    </row>
    <row r="775" spans="9:9">
      <c r="I775" s="151"/>
    </row>
    <row r="776" spans="9:9">
      <c r="I776" s="151"/>
    </row>
    <row r="777" spans="9:9">
      <c r="I777" s="151"/>
    </row>
    <row r="778" spans="9:9">
      <c r="I778" s="151"/>
    </row>
    <row r="779" spans="9:9">
      <c r="I779" s="151"/>
    </row>
    <row r="780" spans="9:9">
      <c r="I780" s="151"/>
    </row>
    <row r="781" spans="9:9">
      <c r="I781" s="151"/>
    </row>
    <row r="782" spans="9:9">
      <c r="I782" s="151"/>
    </row>
    <row r="783" spans="9:9">
      <c r="I783" s="151"/>
    </row>
    <row r="784" spans="9:9">
      <c r="I784" s="151"/>
    </row>
    <row r="785" spans="9:9">
      <c r="I785" s="151"/>
    </row>
    <row r="786" spans="9:9">
      <c r="I786" s="151"/>
    </row>
    <row r="787" spans="9:9">
      <c r="I787" s="151"/>
    </row>
    <row r="788" spans="9:9">
      <c r="I788" s="151"/>
    </row>
    <row r="789" spans="9:9">
      <c r="I789" s="151"/>
    </row>
    <row r="790" spans="9:9">
      <c r="I790" s="151"/>
    </row>
    <row r="791" spans="9:9">
      <c r="I791" s="151"/>
    </row>
    <row r="792" spans="9:9">
      <c r="I792" s="151"/>
    </row>
    <row r="793" spans="9:9">
      <c r="I793" s="151"/>
    </row>
    <row r="794" spans="9:9">
      <c r="I794" s="151"/>
    </row>
    <row r="795" spans="9:9">
      <c r="I795" s="151"/>
    </row>
    <row r="796" spans="9:9">
      <c r="I796" s="151"/>
    </row>
    <row r="797" spans="9:9">
      <c r="I797" s="151"/>
    </row>
    <row r="798" spans="9:9">
      <c r="I798" s="151"/>
    </row>
    <row r="799" spans="9:9">
      <c r="I799" s="151"/>
    </row>
    <row r="800" spans="9:9">
      <c r="I800" s="151"/>
    </row>
    <row r="801" spans="9:9">
      <c r="I801" s="151"/>
    </row>
    <row r="802" spans="9:9">
      <c r="I802" s="151"/>
    </row>
    <row r="803" spans="9:9">
      <c r="I803" s="151"/>
    </row>
    <row r="804" spans="9:9">
      <c r="I804" s="151"/>
    </row>
    <row r="805" spans="9:9">
      <c r="I805" s="151"/>
    </row>
    <row r="806" spans="9:9">
      <c r="I806" s="151"/>
    </row>
    <row r="807" spans="9:9">
      <c r="I807" s="151"/>
    </row>
    <row r="808" spans="9:9">
      <c r="I808" s="151"/>
    </row>
    <row r="809" spans="9:9">
      <c r="I809" s="151"/>
    </row>
    <row r="810" spans="9:9">
      <c r="I810" s="151"/>
    </row>
    <row r="811" spans="9:9">
      <c r="I811" s="151"/>
    </row>
    <row r="812" spans="9:9">
      <c r="I812" s="151"/>
    </row>
    <row r="813" spans="9:9">
      <c r="I813" s="151"/>
    </row>
    <row r="814" spans="9:9">
      <c r="I814" s="151"/>
    </row>
    <row r="815" spans="9:9">
      <c r="I815" s="151"/>
    </row>
    <row r="816" spans="9:9">
      <c r="I816" s="151"/>
    </row>
    <row r="817" spans="9:9">
      <c r="I817" s="151"/>
    </row>
    <row r="818" spans="9:9">
      <c r="I818" s="151"/>
    </row>
    <row r="819" spans="9:9">
      <c r="I819" s="151"/>
    </row>
    <row r="820" spans="9:9">
      <c r="I820" s="151"/>
    </row>
    <row r="821" spans="9:9">
      <c r="I821" s="151"/>
    </row>
    <row r="822" spans="9:9">
      <c r="I822" s="151"/>
    </row>
    <row r="823" spans="9:9">
      <c r="I823" s="151"/>
    </row>
    <row r="824" spans="9:9">
      <c r="I824" s="151"/>
    </row>
    <row r="825" spans="9:9">
      <c r="I825" s="151"/>
    </row>
    <row r="826" spans="9:9">
      <c r="I826" s="151"/>
    </row>
    <row r="827" spans="9:9">
      <c r="I827" s="151"/>
    </row>
    <row r="828" spans="9:9">
      <c r="I828" s="151"/>
    </row>
    <row r="829" spans="9:9">
      <c r="I829" s="151"/>
    </row>
    <row r="830" spans="9:9">
      <c r="I830" s="151"/>
    </row>
    <row r="831" spans="9:9">
      <c r="I831" s="151"/>
    </row>
    <row r="832" spans="9:9">
      <c r="I832" s="151"/>
    </row>
    <row r="833" spans="9:9">
      <c r="I833" s="151"/>
    </row>
    <row r="834" spans="9:9">
      <c r="I834" s="151"/>
    </row>
    <row r="835" spans="9:9">
      <c r="I835" s="151"/>
    </row>
    <row r="836" spans="9:9">
      <c r="I836" s="151"/>
    </row>
    <row r="837" spans="9:9">
      <c r="I837" s="151"/>
    </row>
    <row r="838" spans="9:9">
      <c r="I838" s="151"/>
    </row>
    <row r="839" spans="9:9">
      <c r="I839" s="151"/>
    </row>
    <row r="840" spans="9:9">
      <c r="I840" s="151"/>
    </row>
    <row r="841" spans="9:9">
      <c r="I841" s="151"/>
    </row>
    <row r="842" spans="9:9">
      <c r="I842" s="151"/>
    </row>
    <row r="843" spans="9:9">
      <c r="I843" s="151"/>
    </row>
    <row r="844" spans="9:9">
      <c r="I844" s="151"/>
    </row>
    <row r="845" spans="9:9">
      <c r="I845" s="151"/>
    </row>
    <row r="846" spans="9:9">
      <c r="I846" s="151"/>
    </row>
    <row r="847" spans="9:9">
      <c r="I847" s="151"/>
    </row>
    <row r="848" spans="9:9">
      <c r="I848" s="151"/>
    </row>
    <row r="849" spans="9:9">
      <c r="I849" s="151"/>
    </row>
    <row r="850" spans="9:9">
      <c r="I850" s="151"/>
    </row>
    <row r="851" spans="9:9">
      <c r="I851" s="151"/>
    </row>
    <row r="852" spans="9:9">
      <c r="I852" s="151"/>
    </row>
    <row r="853" spans="9:9">
      <c r="I853" s="151"/>
    </row>
    <row r="854" spans="9:9">
      <c r="I854" s="151"/>
    </row>
    <row r="855" spans="9:9">
      <c r="I855" s="151"/>
    </row>
    <row r="856" spans="9:9">
      <c r="I856" s="151"/>
    </row>
    <row r="857" spans="9:9">
      <c r="I857" s="151"/>
    </row>
    <row r="858" spans="9:9">
      <c r="I858" s="151"/>
    </row>
    <row r="859" spans="9:9">
      <c r="I859" s="151"/>
    </row>
    <row r="860" spans="9:9">
      <c r="I860" s="151"/>
    </row>
    <row r="861" spans="9:9">
      <c r="I861" s="151"/>
    </row>
    <row r="862" spans="9:9">
      <c r="I862" s="151"/>
    </row>
    <row r="863" spans="9:9">
      <c r="I863" s="151"/>
    </row>
    <row r="864" spans="9:9">
      <c r="I864" s="151"/>
    </row>
    <row r="865" spans="9:9">
      <c r="I865" s="151"/>
    </row>
    <row r="866" spans="9:9">
      <c r="I866" s="151"/>
    </row>
    <row r="867" spans="9:9">
      <c r="I867" s="151"/>
    </row>
    <row r="868" spans="9:9">
      <c r="I868" s="151"/>
    </row>
    <row r="869" spans="9:9">
      <c r="I869" s="151"/>
    </row>
    <row r="870" spans="9:9">
      <c r="I870" s="151"/>
    </row>
    <row r="871" spans="9:9">
      <c r="I871" s="151"/>
    </row>
    <row r="872" spans="9:9">
      <c r="I872" s="151"/>
    </row>
    <row r="873" spans="9:9">
      <c r="I873" s="151"/>
    </row>
    <row r="874" spans="9:9">
      <c r="I874" s="151"/>
    </row>
    <row r="875" spans="9:9">
      <c r="I875" s="151"/>
    </row>
    <row r="876" spans="9:9">
      <c r="I876" s="151"/>
    </row>
    <row r="877" spans="9:9">
      <c r="I877" s="151"/>
    </row>
    <row r="878" spans="9:9">
      <c r="I878" s="151"/>
    </row>
    <row r="879" spans="9:9">
      <c r="I879" s="151"/>
    </row>
    <row r="880" spans="9:9">
      <c r="I880" s="151"/>
    </row>
    <row r="881" spans="9:9">
      <c r="I881" s="151"/>
    </row>
    <row r="882" spans="9:9">
      <c r="I882" s="151"/>
    </row>
    <row r="883" spans="9:9">
      <c r="I883" s="151"/>
    </row>
    <row r="884" spans="9:9">
      <c r="I884" s="151"/>
    </row>
    <row r="885" spans="9:9">
      <c r="I885" s="151"/>
    </row>
    <row r="886" spans="9:9">
      <c r="I886" s="151"/>
    </row>
    <row r="887" spans="9:9">
      <c r="I887" s="151"/>
    </row>
    <row r="888" spans="9:9">
      <c r="I888" s="151"/>
    </row>
    <row r="889" spans="9:9">
      <c r="I889" s="151"/>
    </row>
    <row r="890" spans="9:9">
      <c r="I890" s="151"/>
    </row>
    <row r="891" spans="9:9">
      <c r="I891" s="151"/>
    </row>
    <row r="892" spans="9:9">
      <c r="I892" s="151"/>
    </row>
    <row r="893" spans="9:9">
      <c r="I893" s="151"/>
    </row>
    <row r="894" spans="9:9">
      <c r="I894" s="151"/>
    </row>
    <row r="895" spans="9:9">
      <c r="I895" s="151"/>
    </row>
    <row r="896" spans="9:9">
      <c r="I896" s="151"/>
    </row>
    <row r="897" spans="9:9">
      <c r="I897" s="151"/>
    </row>
    <row r="898" spans="9:9">
      <c r="I898" s="151"/>
    </row>
    <row r="899" spans="9:9">
      <c r="I899" s="151"/>
    </row>
    <row r="900" spans="9:9">
      <c r="I900" s="151"/>
    </row>
    <row r="901" spans="9:9">
      <c r="I901" s="151"/>
    </row>
    <row r="902" spans="9:9">
      <c r="I902" s="151"/>
    </row>
    <row r="903" spans="9:9">
      <c r="I903" s="151"/>
    </row>
    <row r="904" spans="9:9">
      <c r="I904" s="151"/>
    </row>
    <row r="905" spans="9:9">
      <c r="I905" s="151"/>
    </row>
    <row r="906" spans="9:9">
      <c r="I906" s="151"/>
    </row>
    <row r="907" spans="9:9">
      <c r="I907" s="151"/>
    </row>
    <row r="908" spans="9:9">
      <c r="I908" s="151"/>
    </row>
    <row r="909" spans="9:9">
      <c r="I909" s="151"/>
    </row>
    <row r="910" spans="9:9">
      <c r="I910" s="151"/>
    </row>
    <row r="911" spans="9:9">
      <c r="I911" s="151"/>
    </row>
    <row r="912" spans="9:9">
      <c r="I912" s="151"/>
    </row>
    <row r="913" spans="9:9">
      <c r="I913" s="151"/>
    </row>
    <row r="914" spans="9:9">
      <c r="I914" s="151"/>
    </row>
    <row r="915" spans="9:9">
      <c r="I915" s="151"/>
    </row>
    <row r="916" spans="9:9">
      <c r="I916" s="151"/>
    </row>
    <row r="917" spans="9:9">
      <c r="I917" s="151"/>
    </row>
    <row r="918" spans="9:9">
      <c r="I918" s="151"/>
    </row>
    <row r="919" spans="9:9">
      <c r="I919" s="151"/>
    </row>
    <row r="920" spans="9:9">
      <c r="I920" s="151"/>
    </row>
    <row r="921" spans="9:9">
      <c r="I921" s="151"/>
    </row>
    <row r="922" spans="9:9">
      <c r="I922" s="151"/>
    </row>
    <row r="923" spans="9:9">
      <c r="I923" s="151"/>
    </row>
    <row r="924" spans="9:9">
      <c r="I924" s="151"/>
    </row>
    <row r="925" spans="9:9">
      <c r="I925" s="151"/>
    </row>
    <row r="926" spans="9:9">
      <c r="I926" s="151"/>
    </row>
    <row r="927" spans="9:9">
      <c r="I927" s="151"/>
    </row>
    <row r="928" spans="9:9">
      <c r="I928" s="151"/>
    </row>
    <row r="929" spans="9:9">
      <c r="I929" s="151"/>
    </row>
    <row r="930" spans="9:9">
      <c r="I930" s="151"/>
    </row>
    <row r="931" spans="9:9">
      <c r="I931" s="151"/>
    </row>
    <row r="932" spans="9:9">
      <c r="I932" s="151"/>
    </row>
    <row r="933" spans="9:9">
      <c r="I933" s="151"/>
    </row>
    <row r="934" spans="9:9">
      <c r="I934" s="151"/>
    </row>
    <row r="935" spans="9:9">
      <c r="I935" s="151"/>
    </row>
    <row r="936" spans="9:9">
      <c r="I936" s="151"/>
    </row>
    <row r="937" spans="9:9">
      <c r="I937" s="151"/>
    </row>
    <row r="938" spans="9:9">
      <c r="I938" s="151"/>
    </row>
    <row r="939" spans="9:9">
      <c r="I939" s="151"/>
    </row>
    <row r="940" spans="9:9">
      <c r="I940" s="151"/>
    </row>
    <row r="941" spans="9:9">
      <c r="I941" s="151"/>
    </row>
    <row r="942" spans="9:9">
      <c r="I942" s="151"/>
    </row>
    <row r="943" spans="9:9">
      <c r="I943" s="151"/>
    </row>
    <row r="944" spans="9:9">
      <c r="I944" s="151"/>
    </row>
    <row r="945" spans="9:9">
      <c r="I945" s="151"/>
    </row>
    <row r="946" spans="9:9">
      <c r="I946" s="151"/>
    </row>
    <row r="947" spans="9:9">
      <c r="I947" s="151"/>
    </row>
    <row r="948" spans="9:9">
      <c r="I948" s="151"/>
    </row>
    <row r="949" spans="9:9">
      <c r="I949" s="151"/>
    </row>
    <row r="950" spans="9:9">
      <c r="I950" s="151"/>
    </row>
    <row r="951" spans="9:9">
      <c r="I951" s="151"/>
    </row>
    <row r="952" spans="9:9">
      <c r="I952" s="151"/>
    </row>
    <row r="953" spans="9:9">
      <c r="I953" s="151"/>
    </row>
    <row r="954" spans="9:9">
      <c r="I954" s="151"/>
    </row>
    <row r="955" spans="9:9">
      <c r="I955" s="151"/>
    </row>
    <row r="956" spans="9:9">
      <c r="I956" s="151"/>
    </row>
    <row r="957" spans="9:9">
      <c r="I957" s="151"/>
    </row>
    <row r="958" spans="9:9">
      <c r="I958" s="151"/>
    </row>
    <row r="959" spans="9:9">
      <c r="I959" s="151"/>
    </row>
    <row r="960" spans="9:9">
      <c r="I960" s="151"/>
    </row>
    <row r="961" spans="9:9">
      <c r="I961" s="151"/>
    </row>
    <row r="962" spans="9:9">
      <c r="I962" s="151"/>
    </row>
    <row r="963" spans="9:9">
      <c r="I963" s="151"/>
    </row>
    <row r="964" spans="9:9">
      <c r="I964" s="151"/>
    </row>
    <row r="965" spans="9:9">
      <c r="I965" s="151"/>
    </row>
    <row r="966" spans="9:9">
      <c r="I966" s="151"/>
    </row>
    <row r="967" spans="9:9">
      <c r="I967" s="151"/>
    </row>
    <row r="968" spans="9:9">
      <c r="I968" s="151"/>
    </row>
    <row r="969" spans="9:9">
      <c r="I969" s="151"/>
    </row>
    <row r="970" spans="9:9">
      <c r="I970" s="151"/>
    </row>
    <row r="971" spans="9:9">
      <c r="I971" s="151"/>
    </row>
    <row r="972" spans="9:9">
      <c r="I972" s="151"/>
    </row>
    <row r="973" spans="9:9">
      <c r="I973" s="151"/>
    </row>
    <row r="974" spans="9:9">
      <c r="I974" s="151"/>
    </row>
    <row r="975" spans="9:9">
      <c r="I975" s="151"/>
    </row>
    <row r="976" spans="9:9">
      <c r="I976" s="151"/>
    </row>
    <row r="977" spans="9:9">
      <c r="I977" s="151"/>
    </row>
    <row r="978" spans="9:9">
      <c r="I978" s="151"/>
    </row>
    <row r="979" spans="9:9">
      <c r="I979" s="151"/>
    </row>
    <row r="980" spans="9:9">
      <c r="I980" s="151"/>
    </row>
    <row r="981" spans="9:9">
      <c r="I981" s="151"/>
    </row>
    <row r="982" spans="9:9">
      <c r="I982" s="151"/>
    </row>
    <row r="983" spans="9:9">
      <c r="I983" s="151"/>
    </row>
    <row r="984" spans="9:9">
      <c r="I984" s="151"/>
    </row>
    <row r="985" spans="9:9">
      <c r="I985" s="151"/>
    </row>
    <row r="986" spans="9:9">
      <c r="I986" s="151"/>
    </row>
    <row r="987" spans="9:9">
      <c r="I987" s="151"/>
    </row>
    <row r="988" spans="9:9">
      <c r="I988" s="151"/>
    </row>
    <row r="989" spans="9:9">
      <c r="I989" s="151"/>
    </row>
    <row r="990" spans="9:9">
      <c r="I990" s="151"/>
    </row>
    <row r="991" spans="9:9">
      <c r="I991" s="151"/>
    </row>
    <row r="992" spans="9:9">
      <c r="I992" s="151"/>
    </row>
    <row r="993" spans="9:9">
      <c r="I993" s="151"/>
    </row>
    <row r="994" spans="9:9">
      <c r="I994" s="151"/>
    </row>
    <row r="995" spans="9:9">
      <c r="I995" s="151"/>
    </row>
    <row r="996" spans="9:9">
      <c r="I996" s="151"/>
    </row>
    <row r="997" spans="9:9">
      <c r="I997" s="151"/>
    </row>
    <row r="998" spans="9:9">
      <c r="I998" s="151"/>
    </row>
    <row r="999" spans="9:9">
      <c r="I999" s="151"/>
    </row>
    <row r="1000" spans="9:9">
      <c r="I1000" s="151"/>
    </row>
    <row r="1001" spans="9:9">
      <c r="I1001" s="151"/>
    </row>
    <row r="1002" spans="9:9">
      <c r="I1002" s="151"/>
    </row>
    <row r="1003" spans="9:9">
      <c r="I1003" s="151"/>
    </row>
    <row r="1004" spans="9:9">
      <c r="I1004" s="151"/>
    </row>
    <row r="1005" spans="9:9">
      <c r="I1005" s="151"/>
    </row>
    <row r="1006" spans="9:9">
      <c r="I1006" s="151"/>
    </row>
    <row r="1007" spans="9:9">
      <c r="I1007" s="151"/>
    </row>
    <row r="1008" spans="9:9">
      <c r="I1008" s="151"/>
    </row>
    <row r="1009" spans="9:9">
      <c r="I1009" s="151"/>
    </row>
    <row r="1010" spans="9:9">
      <c r="I1010" s="151"/>
    </row>
    <row r="1011" spans="9:9">
      <c r="I1011" s="151"/>
    </row>
    <row r="1012" spans="9:9">
      <c r="I1012" s="151"/>
    </row>
    <row r="1013" spans="9:9">
      <c r="I1013" s="151"/>
    </row>
    <row r="1014" spans="9:9">
      <c r="I1014" s="151"/>
    </row>
    <row r="1015" spans="9:9">
      <c r="I1015" s="151"/>
    </row>
    <row r="1016" spans="9:9">
      <c r="I1016" s="151"/>
    </row>
    <row r="1017" spans="9:9">
      <c r="I1017" s="151"/>
    </row>
    <row r="1018" spans="9:9">
      <c r="I1018" s="151"/>
    </row>
    <row r="1019" spans="9:9">
      <c r="I1019" s="151"/>
    </row>
    <row r="1020" spans="9:9">
      <c r="I1020" s="151"/>
    </row>
    <row r="1021" spans="9:9">
      <c r="I1021" s="151"/>
    </row>
    <row r="1022" spans="9:9">
      <c r="I1022" s="151"/>
    </row>
    <row r="1023" spans="9:9">
      <c r="I1023" s="151"/>
    </row>
    <row r="1024" spans="9:9">
      <c r="I1024" s="151"/>
    </row>
    <row r="1025" spans="9:9">
      <c r="I1025" s="151"/>
    </row>
    <row r="1026" spans="9:9">
      <c r="I1026" s="151"/>
    </row>
    <row r="1027" spans="9:9">
      <c r="I1027" s="151"/>
    </row>
    <row r="1028" spans="9:9">
      <c r="I1028" s="151"/>
    </row>
    <row r="1029" spans="9:9">
      <c r="I1029" s="151"/>
    </row>
    <row r="1030" spans="9:9">
      <c r="I1030" s="151"/>
    </row>
    <row r="1031" spans="9:9">
      <c r="I1031" s="151"/>
    </row>
    <row r="1032" spans="9:9">
      <c r="I1032" s="151"/>
    </row>
    <row r="1033" spans="9:9">
      <c r="I1033" s="151"/>
    </row>
    <row r="1034" spans="9:9">
      <c r="I1034" s="151"/>
    </row>
    <row r="1035" spans="9:9">
      <c r="I1035" s="151"/>
    </row>
    <row r="1036" spans="9:9">
      <c r="I1036" s="151"/>
    </row>
    <row r="1037" spans="9:9">
      <c r="I1037" s="151"/>
    </row>
    <row r="1038" spans="9:9">
      <c r="I1038" s="151"/>
    </row>
    <row r="1039" spans="9:9">
      <c r="I1039" s="151"/>
    </row>
    <row r="1040" spans="9:9">
      <c r="I1040" s="151"/>
    </row>
    <row r="1041" spans="9:9">
      <c r="I1041" s="151"/>
    </row>
    <row r="1042" spans="9:9">
      <c r="I1042" s="151"/>
    </row>
    <row r="1043" spans="9:9">
      <c r="I1043" s="151"/>
    </row>
    <row r="1044" spans="9:9">
      <c r="I1044" s="151"/>
    </row>
    <row r="1045" spans="9:9">
      <c r="I1045" s="151"/>
    </row>
    <row r="1046" spans="9:9">
      <c r="I1046" s="151"/>
    </row>
    <row r="1047" spans="9:9">
      <c r="I1047" s="151"/>
    </row>
    <row r="1048" spans="9:9">
      <c r="I1048" s="151"/>
    </row>
    <row r="1049" spans="9:9">
      <c r="I1049" s="151"/>
    </row>
    <row r="1050" spans="9:9">
      <c r="I1050" s="151"/>
    </row>
    <row r="1051" spans="9:9">
      <c r="I1051" s="151"/>
    </row>
    <row r="1052" spans="9:9">
      <c r="I1052" s="151"/>
    </row>
    <row r="1053" spans="9:9">
      <c r="I1053" s="151"/>
    </row>
    <row r="1054" spans="9:9">
      <c r="I1054" s="151"/>
    </row>
    <row r="1055" spans="9:9">
      <c r="I1055" s="151"/>
    </row>
    <row r="1056" spans="9:9">
      <c r="I1056" s="151"/>
    </row>
    <row r="1057" spans="9:9">
      <c r="I1057" s="151"/>
    </row>
    <row r="1058" spans="9:9">
      <c r="I1058" s="151"/>
    </row>
    <row r="1059" spans="9:9">
      <c r="I1059" s="151"/>
    </row>
    <row r="1060" spans="9:9">
      <c r="I1060" s="151"/>
    </row>
    <row r="1061" spans="9:9">
      <c r="I1061" s="151"/>
    </row>
    <row r="1062" spans="9:9">
      <c r="I1062" s="151"/>
    </row>
    <row r="1063" spans="9:9">
      <c r="I1063" s="151"/>
    </row>
    <row r="1064" spans="9:9">
      <c r="I1064" s="151"/>
    </row>
    <row r="1065" spans="9:9">
      <c r="I1065" s="151"/>
    </row>
    <row r="1066" spans="9:9">
      <c r="I1066" s="151"/>
    </row>
    <row r="1067" spans="9:9">
      <c r="I1067" s="151"/>
    </row>
    <row r="1068" spans="9:9">
      <c r="I1068" s="151"/>
    </row>
    <row r="1069" spans="9:9">
      <c r="I1069" s="151"/>
    </row>
    <row r="1070" spans="9:9">
      <c r="I1070" s="151"/>
    </row>
    <row r="1071" spans="9:9">
      <c r="I1071" s="151"/>
    </row>
    <row r="1072" spans="9:9">
      <c r="I1072" s="151"/>
    </row>
    <row r="1073" spans="9:9">
      <c r="I1073" s="151"/>
    </row>
    <row r="1074" spans="9:9">
      <c r="I1074" s="151"/>
    </row>
    <row r="1075" spans="9:9">
      <c r="I1075" s="151"/>
    </row>
    <row r="1076" spans="9:9">
      <c r="I1076" s="151"/>
    </row>
    <row r="1077" spans="9:9">
      <c r="I1077" s="151"/>
    </row>
    <row r="1078" spans="9:9">
      <c r="I1078" s="151"/>
    </row>
    <row r="1079" spans="9:9">
      <c r="I1079" s="151"/>
    </row>
    <row r="1080" spans="9:9">
      <c r="I1080" s="151"/>
    </row>
    <row r="1081" spans="9:9">
      <c r="I1081" s="151"/>
    </row>
    <row r="1082" spans="9:9">
      <c r="I1082" s="151"/>
    </row>
    <row r="1083" spans="9:9">
      <c r="I1083" s="151"/>
    </row>
    <row r="1084" spans="9:9">
      <c r="I1084" s="151"/>
    </row>
    <row r="1085" spans="9:9">
      <c r="I1085" s="151"/>
    </row>
    <row r="1086" spans="9:9">
      <c r="I1086" s="151"/>
    </row>
    <row r="1087" spans="9:9">
      <c r="I1087" s="151"/>
    </row>
    <row r="1088" spans="9:9">
      <c r="I1088" s="151"/>
    </row>
    <row r="1089" spans="9:9">
      <c r="I1089" s="151"/>
    </row>
    <row r="1090" spans="9:9">
      <c r="I1090" s="151"/>
    </row>
    <row r="1091" spans="9:9">
      <c r="I1091" s="151"/>
    </row>
    <row r="1092" spans="9:9">
      <c r="I1092" s="151"/>
    </row>
    <row r="1093" spans="9:9">
      <c r="I1093" s="151"/>
    </row>
    <row r="1094" spans="9:9">
      <c r="I1094" s="151"/>
    </row>
    <row r="1095" spans="9:9">
      <c r="I1095" s="151"/>
    </row>
    <row r="1096" spans="9:9">
      <c r="I1096" s="151"/>
    </row>
    <row r="1097" spans="9:9">
      <c r="I1097" s="151"/>
    </row>
    <row r="1098" spans="9:9">
      <c r="I1098" s="151"/>
    </row>
    <row r="1099" spans="9:9">
      <c r="I1099" s="151"/>
    </row>
    <row r="1100" spans="9:9">
      <c r="I1100" s="151"/>
    </row>
    <row r="1101" spans="9:9">
      <c r="I1101" s="151"/>
    </row>
    <row r="1102" spans="9:9">
      <c r="I1102" s="151"/>
    </row>
    <row r="1103" spans="9:9">
      <c r="I1103" s="151"/>
    </row>
    <row r="1104" spans="9:9">
      <c r="I1104" s="151"/>
    </row>
    <row r="1105" spans="9:9">
      <c r="I1105" s="151"/>
    </row>
    <row r="1106" spans="9:9">
      <c r="I1106" s="151"/>
    </row>
    <row r="1107" spans="9:9">
      <c r="I1107" s="151"/>
    </row>
    <row r="1108" spans="9:9">
      <c r="I1108" s="151"/>
    </row>
    <row r="1109" spans="9:9">
      <c r="I1109" s="151"/>
    </row>
    <row r="1110" spans="9:9">
      <c r="I1110" s="151"/>
    </row>
    <row r="1111" spans="9:9">
      <c r="I1111" s="151"/>
    </row>
    <row r="1112" spans="9:9">
      <c r="I1112" s="151"/>
    </row>
    <row r="1113" spans="9:9">
      <c r="I1113" s="151"/>
    </row>
    <row r="1114" spans="9:9">
      <c r="I1114" s="151"/>
    </row>
    <row r="1115" spans="9:9">
      <c r="I1115" s="151"/>
    </row>
    <row r="1116" spans="9:9">
      <c r="I1116" s="151"/>
    </row>
    <row r="1117" spans="9:9">
      <c r="I1117" s="151"/>
    </row>
    <row r="1118" spans="9:9">
      <c r="I1118" s="151"/>
    </row>
    <row r="1119" spans="9:9">
      <c r="I1119" s="151"/>
    </row>
    <row r="1120" spans="9:9">
      <c r="I1120" s="151"/>
    </row>
    <row r="1121" spans="9:9">
      <c r="I1121" s="151"/>
    </row>
    <row r="1122" spans="9:9">
      <c r="I1122" s="151"/>
    </row>
    <row r="1123" spans="9:9">
      <c r="I1123" s="151"/>
    </row>
    <row r="1124" spans="9:9">
      <c r="I1124" s="151"/>
    </row>
    <row r="1125" spans="9:9">
      <c r="I1125" s="151"/>
    </row>
    <row r="1126" spans="9:9">
      <c r="I1126" s="151"/>
    </row>
    <row r="1127" spans="9:9">
      <c r="I1127" s="151"/>
    </row>
    <row r="1128" spans="9:9">
      <c r="I1128" s="151"/>
    </row>
    <row r="1129" spans="9:9">
      <c r="I1129" s="151"/>
    </row>
    <row r="1130" spans="9:9">
      <c r="I1130" s="151"/>
    </row>
    <row r="1131" spans="9:9">
      <c r="I1131" s="151"/>
    </row>
    <row r="1132" spans="9:9">
      <c r="I1132" s="151"/>
    </row>
    <row r="1133" spans="9:9">
      <c r="I1133" s="151"/>
    </row>
    <row r="1134" spans="9:9">
      <c r="I1134" s="151"/>
    </row>
    <row r="1135" spans="9:9">
      <c r="I1135" s="151"/>
    </row>
    <row r="1136" spans="9:9">
      <c r="I1136" s="151"/>
    </row>
    <row r="1137" spans="9:9">
      <c r="I1137" s="151"/>
    </row>
    <row r="1138" spans="9:9">
      <c r="I1138" s="151"/>
    </row>
    <row r="1139" spans="9:9">
      <c r="I1139" s="151"/>
    </row>
    <row r="1140" spans="9:9">
      <c r="I1140" s="151"/>
    </row>
    <row r="1141" spans="9:9">
      <c r="I1141" s="151"/>
    </row>
    <row r="1142" spans="9:9">
      <c r="I1142" s="151"/>
    </row>
    <row r="1143" spans="9:9">
      <c r="I1143" s="151"/>
    </row>
    <row r="1144" spans="9:9">
      <c r="I1144" s="151"/>
    </row>
    <row r="1145" spans="9:9">
      <c r="I1145" s="151"/>
    </row>
    <row r="1146" spans="9:9">
      <c r="I1146" s="151"/>
    </row>
    <row r="1147" spans="9:9">
      <c r="I1147" s="151"/>
    </row>
    <row r="1148" spans="9:9">
      <c r="I1148" s="151"/>
    </row>
    <row r="1149" spans="9:9">
      <c r="I1149" s="151"/>
    </row>
    <row r="1150" spans="9:9">
      <c r="I1150" s="151"/>
    </row>
    <row r="1151" spans="9:9">
      <c r="I1151" s="151"/>
    </row>
    <row r="1152" spans="9:9">
      <c r="I1152" s="151"/>
    </row>
    <row r="1153" spans="9:9">
      <c r="I1153" s="151"/>
    </row>
    <row r="1154" spans="9:9">
      <c r="I1154" s="151"/>
    </row>
    <row r="1155" spans="9:9">
      <c r="I1155" s="151"/>
    </row>
    <row r="1156" spans="9:9">
      <c r="I1156" s="151"/>
    </row>
    <row r="1157" spans="9:9">
      <c r="I1157" s="151"/>
    </row>
    <row r="1158" spans="9:9">
      <c r="I1158" s="151"/>
    </row>
    <row r="1159" spans="9:9">
      <c r="I1159" s="151"/>
    </row>
    <row r="1160" spans="9:9">
      <c r="I1160" s="151"/>
    </row>
    <row r="1161" spans="9:9">
      <c r="I1161" s="151"/>
    </row>
    <row r="1162" spans="9:9">
      <c r="I1162" s="151"/>
    </row>
    <row r="1163" spans="9:9">
      <c r="I1163" s="151"/>
    </row>
    <row r="1164" spans="9:9">
      <c r="I1164" s="151"/>
    </row>
    <row r="1165" spans="9:9">
      <c r="I1165" s="151"/>
    </row>
    <row r="1166" spans="9:9">
      <c r="I1166" s="151"/>
    </row>
    <row r="1167" spans="9:9">
      <c r="I1167" s="151"/>
    </row>
    <row r="1168" spans="9:9">
      <c r="I1168" s="151"/>
    </row>
    <row r="1169" spans="9:9">
      <c r="I1169" s="151"/>
    </row>
    <row r="1170" spans="9:9">
      <c r="I1170" s="151"/>
    </row>
    <row r="1171" spans="9:9">
      <c r="I1171" s="151"/>
    </row>
    <row r="1172" spans="9:9">
      <c r="I1172" s="151"/>
    </row>
    <row r="1173" spans="9:9">
      <c r="I1173" s="151"/>
    </row>
    <row r="1174" spans="9:9">
      <c r="I1174" s="151"/>
    </row>
    <row r="1175" spans="9:9">
      <c r="I1175" s="151"/>
    </row>
    <row r="1176" spans="9:9">
      <c r="I1176" s="151"/>
    </row>
    <row r="1177" spans="9:9">
      <c r="I1177" s="151"/>
    </row>
    <row r="1178" spans="9:9">
      <c r="I1178" s="151"/>
    </row>
    <row r="1179" spans="9:9">
      <c r="I1179" s="151"/>
    </row>
    <row r="1180" spans="9:9">
      <c r="I1180" s="151"/>
    </row>
    <row r="1181" spans="9:9">
      <c r="I1181" s="151"/>
    </row>
    <row r="1182" spans="9:9">
      <c r="I1182" s="151"/>
    </row>
    <row r="1183" spans="9:9">
      <c r="I1183" s="151"/>
    </row>
    <row r="1184" spans="9:9">
      <c r="I1184" s="151"/>
    </row>
    <row r="1185" spans="9:9">
      <c r="I1185" s="151"/>
    </row>
    <row r="1186" spans="9:9">
      <c r="I1186" s="151"/>
    </row>
    <row r="1187" spans="9:9">
      <c r="I1187" s="151"/>
    </row>
    <row r="1188" spans="9:9">
      <c r="I1188" s="151"/>
    </row>
    <row r="1189" spans="9:9">
      <c r="I1189" s="151"/>
    </row>
    <row r="1190" spans="9:9">
      <c r="I1190" s="151"/>
    </row>
    <row r="1191" spans="9:9">
      <c r="I1191" s="151"/>
    </row>
    <row r="1192" spans="9:9">
      <c r="I1192" s="151"/>
    </row>
    <row r="1193" spans="9:9">
      <c r="I1193" s="151"/>
    </row>
    <row r="1194" spans="9:9">
      <c r="I1194" s="151"/>
    </row>
    <row r="1195" spans="9:9">
      <c r="I1195" s="151"/>
    </row>
    <row r="1196" spans="9:9">
      <c r="I1196" s="151"/>
    </row>
    <row r="1197" spans="9:9">
      <c r="I1197" s="151"/>
    </row>
    <row r="1198" spans="9:9">
      <c r="I1198" s="151"/>
    </row>
    <row r="1199" spans="9:9">
      <c r="I1199" s="151"/>
    </row>
    <row r="1200" spans="9:9">
      <c r="I1200" s="151"/>
    </row>
    <row r="1201" spans="9:9">
      <c r="I1201" s="151"/>
    </row>
    <row r="1202" spans="9:9">
      <c r="I1202" s="151"/>
    </row>
    <row r="1203" spans="9:9">
      <c r="I1203" s="151"/>
    </row>
    <row r="1204" spans="9:9">
      <c r="I1204" s="151"/>
    </row>
    <row r="1205" spans="9:9">
      <c r="I1205" s="151"/>
    </row>
    <row r="1206" spans="9:9">
      <c r="I1206" s="151"/>
    </row>
    <row r="1207" spans="9:9">
      <c r="I1207" s="151"/>
    </row>
    <row r="1208" spans="9:9">
      <c r="I1208" s="151"/>
    </row>
    <row r="1209" spans="9:9">
      <c r="I1209" s="151"/>
    </row>
    <row r="1210" spans="9:9">
      <c r="I1210" s="151"/>
    </row>
    <row r="1211" spans="9:9">
      <c r="I1211" s="151"/>
    </row>
    <row r="1212" spans="9:9">
      <c r="I1212" s="151"/>
    </row>
    <row r="1213" spans="9:9">
      <c r="I1213" s="151"/>
    </row>
    <row r="1214" spans="9:9">
      <c r="I1214" s="151"/>
    </row>
    <row r="1215" spans="9:9">
      <c r="I1215" s="151"/>
    </row>
    <row r="1216" spans="9:9">
      <c r="I1216" s="151"/>
    </row>
    <row r="1217" spans="9:9">
      <c r="I1217" s="151"/>
    </row>
    <row r="1218" spans="9:9">
      <c r="I1218" s="151"/>
    </row>
    <row r="1219" spans="9:9">
      <c r="I1219" s="151"/>
    </row>
    <row r="1220" spans="9:9">
      <c r="I1220" s="151"/>
    </row>
    <row r="1221" spans="9:9">
      <c r="I1221" s="151"/>
    </row>
    <row r="1222" spans="9:9">
      <c r="I1222" s="151"/>
    </row>
    <row r="1223" spans="9:9">
      <c r="I1223" s="151"/>
    </row>
    <row r="1224" spans="9:9">
      <c r="I1224" s="151"/>
    </row>
    <row r="1225" spans="9:9">
      <c r="I1225" s="151"/>
    </row>
    <row r="1226" spans="9:9">
      <c r="I1226" s="151"/>
    </row>
    <row r="1227" spans="9:9">
      <c r="I1227" s="151"/>
    </row>
    <row r="1228" spans="9:9">
      <c r="I1228" s="151"/>
    </row>
    <row r="1229" spans="9:9">
      <c r="I1229" s="151"/>
    </row>
    <row r="1230" spans="9:9">
      <c r="I1230" s="151"/>
    </row>
    <row r="1231" spans="9:9">
      <c r="I1231" s="151"/>
    </row>
    <row r="1232" spans="9:9">
      <c r="I1232" s="151"/>
    </row>
    <row r="1233" spans="9:9">
      <c r="I1233" s="151"/>
    </row>
    <row r="1234" spans="9:9">
      <c r="I1234" s="151"/>
    </row>
    <row r="1235" spans="9:9">
      <c r="I1235" s="151"/>
    </row>
    <row r="1236" spans="9:9">
      <c r="I1236" s="151"/>
    </row>
    <row r="1237" spans="9:9">
      <c r="I1237" s="151"/>
    </row>
    <row r="1238" spans="9:9">
      <c r="I1238" s="151"/>
    </row>
    <row r="1239" spans="9:9">
      <c r="I1239" s="151"/>
    </row>
    <row r="1240" spans="9:9">
      <c r="I1240" s="151"/>
    </row>
    <row r="1241" spans="9:9">
      <c r="I1241" s="151"/>
    </row>
    <row r="1242" spans="9:9">
      <c r="I1242" s="151"/>
    </row>
    <row r="1243" spans="9:9">
      <c r="I1243" s="151"/>
    </row>
    <row r="1244" spans="9:9">
      <c r="I1244" s="151"/>
    </row>
    <row r="1245" spans="9:9">
      <c r="I1245" s="151"/>
    </row>
    <row r="1246" spans="9:9">
      <c r="I1246" s="151"/>
    </row>
    <row r="1247" spans="9:9">
      <c r="I1247" s="151"/>
    </row>
    <row r="1248" spans="9:9">
      <c r="I1248" s="151"/>
    </row>
    <row r="1249" spans="9:9">
      <c r="I1249" s="151"/>
    </row>
    <row r="1250" spans="9:9">
      <c r="I1250" s="151"/>
    </row>
    <row r="1251" spans="9:9">
      <c r="I1251" s="151"/>
    </row>
    <row r="1252" spans="9:9">
      <c r="I1252" s="151"/>
    </row>
    <row r="1253" spans="9:9">
      <c r="I1253" s="151"/>
    </row>
    <row r="1254" spans="9:9">
      <c r="I1254" s="151"/>
    </row>
    <row r="1255" spans="9:9">
      <c r="I1255" s="151"/>
    </row>
    <row r="1256" spans="9:9">
      <c r="I1256" s="151"/>
    </row>
    <row r="1257" spans="9:9">
      <c r="I1257" s="151"/>
    </row>
    <row r="1258" spans="9:9">
      <c r="I1258" s="151"/>
    </row>
    <row r="1259" spans="9:9">
      <c r="I1259" s="151"/>
    </row>
    <row r="1260" spans="9:9">
      <c r="I1260" s="151"/>
    </row>
    <row r="1261" spans="9:9">
      <c r="I1261" s="151"/>
    </row>
    <row r="1262" spans="9:9">
      <c r="I1262" s="151"/>
    </row>
    <row r="1263" spans="9:9">
      <c r="I1263" s="151"/>
    </row>
    <row r="1264" spans="9:9">
      <c r="I1264" s="151"/>
    </row>
    <row r="1265" spans="9:9">
      <c r="I1265" s="151"/>
    </row>
    <row r="1266" spans="9:9">
      <c r="I1266" s="151"/>
    </row>
    <row r="1267" spans="9:9">
      <c r="I1267" s="151"/>
    </row>
    <row r="1268" spans="9:9">
      <c r="I1268" s="151"/>
    </row>
    <row r="1269" spans="9:9">
      <c r="I1269" s="151"/>
    </row>
    <row r="1270" spans="9:9">
      <c r="I1270" s="151"/>
    </row>
    <row r="1271" spans="9:9">
      <c r="I1271" s="151"/>
    </row>
    <row r="1272" spans="9:9">
      <c r="I1272" s="151"/>
    </row>
    <row r="1273" spans="9:9">
      <c r="I1273" s="151"/>
    </row>
    <row r="1274" spans="9:9">
      <c r="I1274" s="151"/>
    </row>
    <row r="1275" spans="9:9">
      <c r="I1275" s="151"/>
    </row>
    <row r="1276" spans="9:9">
      <c r="I1276" s="151"/>
    </row>
    <row r="1277" spans="9:9">
      <c r="I1277" s="151"/>
    </row>
    <row r="1278" spans="9:9">
      <c r="I1278" s="151"/>
    </row>
    <row r="1279" spans="9:9">
      <c r="I1279" s="151"/>
    </row>
    <row r="1280" spans="9:9">
      <c r="I1280" s="151"/>
    </row>
    <row r="1281" spans="9:9">
      <c r="I1281" s="151"/>
    </row>
    <row r="1282" spans="9:9">
      <c r="I1282" s="151"/>
    </row>
    <row r="1283" spans="9:9">
      <c r="I1283" s="151"/>
    </row>
    <row r="1284" spans="9:9">
      <c r="I1284" s="151"/>
    </row>
    <row r="1285" spans="9:9">
      <c r="I1285" s="151"/>
    </row>
    <row r="1286" spans="9:9">
      <c r="I1286" s="151"/>
    </row>
    <row r="1287" spans="9:9">
      <c r="I1287" s="151"/>
    </row>
    <row r="1288" spans="9:9">
      <c r="I1288" s="151"/>
    </row>
    <row r="1289" spans="9:9">
      <c r="I1289" s="151"/>
    </row>
    <row r="1290" spans="9:9">
      <c r="I1290" s="151"/>
    </row>
    <row r="1291" spans="9:9">
      <c r="I1291" s="151"/>
    </row>
    <row r="1292" spans="9:9">
      <c r="I1292" s="151"/>
    </row>
    <row r="1293" spans="9:9">
      <c r="I1293" s="151"/>
    </row>
    <row r="1294" spans="9:9">
      <c r="I1294" s="151"/>
    </row>
    <row r="1295" spans="9:9">
      <c r="I1295" s="151"/>
    </row>
    <row r="1296" spans="9:9">
      <c r="I1296" s="151"/>
    </row>
    <row r="1297" spans="9:9">
      <c r="I1297" s="151"/>
    </row>
    <row r="1298" spans="9:9">
      <c r="I1298" s="151"/>
    </row>
    <row r="1299" spans="9:9">
      <c r="I1299" s="151"/>
    </row>
    <row r="1300" spans="9:9">
      <c r="I1300" s="151"/>
    </row>
    <row r="1301" spans="9:9">
      <c r="I1301" s="151"/>
    </row>
    <row r="1302" spans="9:9">
      <c r="I1302" s="151"/>
    </row>
    <row r="1303" spans="9:9">
      <c r="I1303" s="151"/>
    </row>
    <row r="1304" spans="9:9">
      <c r="I1304" s="151"/>
    </row>
    <row r="1305" spans="9:9">
      <c r="I1305" s="151"/>
    </row>
    <row r="1306" spans="9:9">
      <c r="I1306" s="151"/>
    </row>
    <row r="1307" spans="9:9">
      <c r="I1307" s="151"/>
    </row>
    <row r="1308" spans="9:9">
      <c r="I1308" s="151"/>
    </row>
    <row r="1309" spans="9:9">
      <c r="I1309" s="151"/>
    </row>
    <row r="1310" spans="9:9">
      <c r="I1310" s="151"/>
    </row>
    <row r="1311" spans="9:9">
      <c r="I1311" s="151"/>
    </row>
    <row r="1312" spans="9:9">
      <c r="I1312" s="151"/>
    </row>
    <row r="1313" spans="9:9">
      <c r="I1313" s="151"/>
    </row>
    <row r="1314" spans="9:9">
      <c r="I1314" s="151"/>
    </row>
    <row r="1315" spans="9:9">
      <c r="I1315" s="151"/>
    </row>
    <row r="1316" spans="9:9">
      <c r="I1316" s="151"/>
    </row>
    <row r="1317" spans="9:9">
      <c r="I1317" s="151"/>
    </row>
    <row r="1318" spans="9:9">
      <c r="I1318" s="151"/>
    </row>
    <row r="1319" spans="9:9">
      <c r="I1319" s="151"/>
    </row>
    <row r="1320" spans="9:9">
      <c r="I1320" s="151"/>
    </row>
    <row r="1321" spans="9:9">
      <c r="I1321" s="151"/>
    </row>
    <row r="1322" spans="9:9">
      <c r="I1322" s="151"/>
    </row>
    <row r="1323" spans="9:9">
      <c r="I1323" s="151"/>
    </row>
    <row r="1324" spans="9:9">
      <c r="I1324" s="151"/>
    </row>
    <row r="1325" spans="9:9">
      <c r="I1325" s="151"/>
    </row>
    <row r="1326" spans="9:9">
      <c r="I1326" s="151"/>
    </row>
    <row r="1327" spans="9:9">
      <c r="I1327" s="151"/>
    </row>
    <row r="1328" spans="9:9">
      <c r="I1328" s="151"/>
    </row>
    <row r="1329" spans="9:9">
      <c r="I1329" s="151"/>
    </row>
    <row r="1330" spans="9:9">
      <c r="I1330" s="151"/>
    </row>
    <row r="1331" spans="9:9">
      <c r="I1331" s="151"/>
    </row>
    <row r="1332" spans="9:9">
      <c r="I1332" s="151"/>
    </row>
    <row r="1333" spans="9:9">
      <c r="I1333" s="151"/>
    </row>
    <row r="1334" spans="9:9">
      <c r="I1334" s="151"/>
    </row>
    <row r="1335" spans="9:9">
      <c r="I1335" s="151"/>
    </row>
    <row r="1336" spans="9:9">
      <c r="I1336" s="151"/>
    </row>
    <row r="1337" spans="9:9">
      <c r="I1337" s="151"/>
    </row>
    <row r="1338" spans="9:9">
      <c r="I1338" s="151"/>
    </row>
    <row r="1339" spans="9:9">
      <c r="I1339" s="151"/>
    </row>
    <row r="1340" spans="9:9">
      <c r="I1340" s="151"/>
    </row>
    <row r="1341" spans="9:9">
      <c r="I1341" s="151"/>
    </row>
    <row r="1342" spans="9:9">
      <c r="I1342" s="151"/>
    </row>
    <row r="1343" spans="9:9">
      <c r="I1343" s="151"/>
    </row>
    <row r="1344" spans="9:9">
      <c r="I1344" s="151"/>
    </row>
    <row r="1345" spans="9:9">
      <c r="I1345" s="151"/>
    </row>
    <row r="1346" spans="9:9">
      <c r="I1346" s="151"/>
    </row>
    <row r="1347" spans="9:9">
      <c r="I1347" s="151"/>
    </row>
    <row r="1348" spans="9:9">
      <c r="I1348" s="151"/>
    </row>
    <row r="1349" spans="9:9">
      <c r="I1349" s="151"/>
    </row>
    <row r="1350" spans="9:9">
      <c r="I1350" s="151"/>
    </row>
    <row r="1351" spans="9:9">
      <c r="I1351" s="151"/>
    </row>
    <row r="1352" spans="9:9">
      <c r="I1352" s="151"/>
    </row>
    <row r="1353" spans="9:9">
      <c r="I1353" s="151"/>
    </row>
    <row r="1354" spans="9:9">
      <c r="I1354" s="151"/>
    </row>
    <row r="1355" spans="9:9">
      <c r="I1355" s="151"/>
    </row>
    <row r="1356" spans="9:9">
      <c r="I1356" s="151"/>
    </row>
    <row r="1357" spans="9:9">
      <c r="I1357" s="151"/>
    </row>
    <row r="1358" spans="9:9">
      <c r="I1358" s="151"/>
    </row>
    <row r="1359" spans="9:9">
      <c r="I1359" s="151"/>
    </row>
    <row r="1360" spans="9:9">
      <c r="I1360" s="151"/>
    </row>
    <row r="1361" spans="9:9">
      <c r="I1361" s="151"/>
    </row>
    <row r="1362" spans="9:9">
      <c r="I1362" s="151"/>
    </row>
    <row r="1363" spans="9:9">
      <c r="I1363" s="151"/>
    </row>
    <row r="1364" spans="9:9">
      <c r="I1364" s="151"/>
    </row>
    <row r="1365" spans="9:9">
      <c r="I1365" s="151"/>
    </row>
    <row r="1366" spans="9:9">
      <c r="I1366" s="151"/>
    </row>
    <row r="1367" spans="9:9">
      <c r="I1367" s="151"/>
    </row>
    <row r="1368" spans="9:9">
      <c r="I1368" s="151"/>
    </row>
    <row r="1369" spans="9:9">
      <c r="I1369" s="151"/>
    </row>
    <row r="1370" spans="9:9">
      <c r="I1370" s="151"/>
    </row>
    <row r="1371" spans="9:9">
      <c r="I1371" s="151"/>
    </row>
    <row r="1372" spans="9:9">
      <c r="I1372" s="151"/>
    </row>
    <row r="1373" spans="9:9">
      <c r="I1373" s="151"/>
    </row>
    <row r="1374" spans="9:9">
      <c r="I1374" s="151"/>
    </row>
    <row r="1375" spans="9:9">
      <c r="I1375" s="151"/>
    </row>
    <row r="1376" spans="9:9">
      <c r="I1376" s="151"/>
    </row>
    <row r="1377" spans="9:9">
      <c r="I1377" s="151"/>
    </row>
    <row r="1378" spans="9:9">
      <c r="I1378" s="151"/>
    </row>
    <row r="1379" spans="9:9">
      <c r="I1379" s="151"/>
    </row>
    <row r="1380" spans="9:9">
      <c r="I1380" s="151"/>
    </row>
    <row r="1381" spans="9:9">
      <c r="I1381" s="151"/>
    </row>
    <row r="1382" spans="9:9">
      <c r="I1382" s="151"/>
    </row>
    <row r="1383" spans="9:9">
      <c r="I1383" s="151"/>
    </row>
    <row r="1384" spans="9:9">
      <c r="I1384" s="151"/>
    </row>
    <row r="1385" spans="9:9">
      <c r="I1385" s="151"/>
    </row>
    <row r="1386" spans="9:9">
      <c r="I1386" s="151"/>
    </row>
    <row r="1387" spans="9:9">
      <c r="I1387" s="151"/>
    </row>
    <row r="1388" spans="9:9">
      <c r="I1388" s="151"/>
    </row>
    <row r="1389" spans="9:9">
      <c r="I1389" s="151"/>
    </row>
    <row r="1390" spans="9:9">
      <c r="I1390" s="151"/>
    </row>
    <row r="1391" spans="9:9">
      <c r="I1391" s="151"/>
    </row>
    <row r="1392" spans="9:9">
      <c r="I1392" s="151"/>
    </row>
    <row r="1393" spans="9:9">
      <c r="I1393" s="151"/>
    </row>
    <row r="1394" spans="9:9">
      <c r="I1394" s="151"/>
    </row>
    <row r="1395" spans="9:9">
      <c r="I1395" s="151"/>
    </row>
    <row r="1396" spans="9:9">
      <c r="I1396" s="151"/>
    </row>
    <row r="1397" spans="9:9">
      <c r="I1397" s="151"/>
    </row>
    <row r="1398" spans="9:9">
      <c r="I1398" s="151"/>
    </row>
    <row r="1399" spans="9:9">
      <c r="I1399" s="151"/>
    </row>
    <row r="1400" spans="9:9">
      <c r="I1400" s="151"/>
    </row>
    <row r="1401" spans="9:9">
      <c r="I1401" s="151"/>
    </row>
    <row r="1402" spans="9:9">
      <c r="I1402" s="151"/>
    </row>
    <row r="1403" spans="9:9">
      <c r="I1403" s="151"/>
    </row>
    <row r="1404" spans="9:9">
      <c r="I1404" s="151"/>
    </row>
    <row r="1405" spans="9:9">
      <c r="I1405" s="151"/>
    </row>
    <row r="1406" spans="9:9">
      <c r="I1406" s="151"/>
    </row>
    <row r="1407" spans="9:9">
      <c r="I1407" s="151"/>
    </row>
    <row r="1408" spans="9:9">
      <c r="I1408" s="151"/>
    </row>
    <row r="1409" spans="9:9">
      <c r="I1409" s="151"/>
    </row>
    <row r="1410" spans="9:9">
      <c r="I1410" s="151"/>
    </row>
    <row r="1411" spans="9:9">
      <c r="I1411" s="151"/>
    </row>
    <row r="1412" spans="9:9">
      <c r="I1412" s="151"/>
    </row>
    <row r="1413" spans="9:9">
      <c r="I1413" s="151"/>
    </row>
    <row r="1414" spans="9:9">
      <c r="I1414" s="151"/>
    </row>
    <row r="1415" spans="9:9">
      <c r="I1415" s="151"/>
    </row>
    <row r="1416" spans="9:9">
      <c r="I1416" s="151"/>
    </row>
    <row r="1417" spans="9:9">
      <c r="I1417" s="151"/>
    </row>
    <row r="1418" spans="9:9">
      <c r="I1418" s="151"/>
    </row>
    <row r="1419" spans="9:9">
      <c r="I1419" s="151"/>
    </row>
    <row r="1420" spans="9:9">
      <c r="I1420" s="151"/>
    </row>
    <row r="1421" spans="9:9">
      <c r="I1421" s="151"/>
    </row>
    <row r="1422" spans="9:9">
      <c r="I1422" s="151"/>
    </row>
    <row r="1423" spans="9:9">
      <c r="I1423" s="151"/>
    </row>
    <row r="1424" spans="9:9">
      <c r="I1424" s="151"/>
    </row>
    <row r="1425" spans="9:9">
      <c r="I1425" s="151"/>
    </row>
    <row r="1426" spans="9:9">
      <c r="I1426" s="151"/>
    </row>
    <row r="1427" spans="9:9">
      <c r="I1427" s="151"/>
    </row>
    <row r="1428" spans="9:9">
      <c r="I1428" s="151"/>
    </row>
    <row r="1429" spans="9:9">
      <c r="I1429" s="151"/>
    </row>
    <row r="1430" spans="9:9">
      <c r="I1430" s="151"/>
    </row>
    <row r="1431" spans="9:9">
      <c r="I1431" s="151"/>
    </row>
    <row r="1432" spans="9:9">
      <c r="I1432" s="151"/>
    </row>
    <row r="1433" spans="9:9">
      <c r="I1433" s="151"/>
    </row>
    <row r="1434" spans="9:9">
      <c r="I1434" s="151"/>
    </row>
    <row r="1435" spans="9:9">
      <c r="I1435" s="151"/>
    </row>
    <row r="1436" spans="9:9">
      <c r="I1436" s="151"/>
    </row>
    <row r="1437" spans="9:9">
      <c r="I1437" s="151"/>
    </row>
    <row r="1438" spans="9:9">
      <c r="I1438" s="151"/>
    </row>
    <row r="1439" spans="9:9">
      <c r="I1439" s="151"/>
    </row>
    <row r="1440" spans="9:9">
      <c r="I1440" s="151"/>
    </row>
    <row r="1441" spans="9:9">
      <c r="I1441" s="151"/>
    </row>
    <row r="1442" spans="9:9">
      <c r="I1442" s="151"/>
    </row>
    <row r="1443" spans="9:9">
      <c r="I1443" s="151"/>
    </row>
    <row r="1444" spans="9:9">
      <c r="I1444" s="151"/>
    </row>
    <row r="1445" spans="9:9">
      <c r="I1445" s="151"/>
    </row>
    <row r="1446" spans="9:9">
      <c r="I1446" s="151"/>
    </row>
    <row r="1447" spans="9:9">
      <c r="I1447" s="151"/>
    </row>
    <row r="1448" spans="9:9">
      <c r="I1448" s="151"/>
    </row>
    <row r="1449" spans="9:9">
      <c r="I1449" s="151"/>
    </row>
    <row r="1450" spans="9:9">
      <c r="I1450" s="151"/>
    </row>
    <row r="1451" spans="9:9">
      <c r="I1451" s="151"/>
    </row>
    <row r="1452" spans="9:9">
      <c r="I1452" s="151"/>
    </row>
    <row r="1453" spans="9:9">
      <c r="I1453" s="151"/>
    </row>
    <row r="1454" spans="9:9">
      <c r="I1454" s="151"/>
    </row>
    <row r="1455" spans="9:9">
      <c r="I1455" s="151"/>
    </row>
    <row r="1456" spans="9:9">
      <c r="I1456" s="151"/>
    </row>
    <row r="1457" spans="9:9">
      <c r="I1457" s="151"/>
    </row>
    <row r="1458" spans="9:9">
      <c r="I1458" s="151"/>
    </row>
    <row r="1459" spans="9:9">
      <c r="I1459" s="151"/>
    </row>
    <row r="1460" spans="9:9">
      <c r="I1460" s="151"/>
    </row>
    <row r="1461" spans="9:9">
      <c r="I1461" s="151"/>
    </row>
    <row r="1462" spans="9:9">
      <c r="I1462" s="151"/>
    </row>
    <row r="1463" spans="9:9">
      <c r="I1463" s="151"/>
    </row>
    <row r="1464" spans="9:9">
      <c r="I1464" s="151"/>
    </row>
    <row r="1465" spans="9:9">
      <c r="I1465" s="151"/>
    </row>
    <row r="1466" spans="9:9">
      <c r="I1466" s="151"/>
    </row>
    <row r="1467" spans="9:9">
      <c r="I1467" s="151"/>
    </row>
    <row r="1468" spans="9:9">
      <c r="I1468" s="151"/>
    </row>
    <row r="1469" spans="9:9">
      <c r="I1469" s="151"/>
    </row>
    <row r="1470" spans="9:9">
      <c r="I1470" s="151"/>
    </row>
    <row r="1471" spans="9:9">
      <c r="I1471" s="151"/>
    </row>
    <row r="1472" spans="9:9">
      <c r="I1472" s="151"/>
    </row>
    <row r="1473" spans="9:9">
      <c r="I1473" s="151"/>
    </row>
    <row r="1474" spans="9:9">
      <c r="I1474" s="151"/>
    </row>
    <row r="1475" spans="9:9">
      <c r="I1475" s="151"/>
    </row>
    <row r="1476" spans="9:9">
      <c r="I1476" s="151"/>
    </row>
    <row r="1477" spans="9:9">
      <c r="I1477" s="151"/>
    </row>
    <row r="1478" spans="9:9">
      <c r="I1478" s="151"/>
    </row>
    <row r="1479" spans="9:9">
      <c r="I1479" s="151"/>
    </row>
    <row r="1480" spans="9:9">
      <c r="I1480" s="151"/>
    </row>
    <row r="1481" spans="9:9">
      <c r="I1481" s="151"/>
    </row>
    <row r="1482" spans="9:9">
      <c r="I1482" s="151"/>
    </row>
    <row r="1483" spans="9:9">
      <c r="I1483" s="151"/>
    </row>
    <row r="1484" spans="9:9">
      <c r="I1484" s="151"/>
    </row>
    <row r="1485" spans="9:9">
      <c r="I1485" s="151"/>
    </row>
    <row r="1486" spans="9:9">
      <c r="I1486" s="151"/>
    </row>
    <row r="1487" spans="9:9">
      <c r="I1487" s="151"/>
    </row>
    <row r="1488" spans="9:9">
      <c r="I1488" s="151"/>
    </row>
    <row r="1489" spans="9:9">
      <c r="I1489" s="151"/>
    </row>
    <row r="1490" spans="9:9">
      <c r="I1490" s="151"/>
    </row>
    <row r="1491" spans="9:9">
      <c r="I1491" s="151"/>
    </row>
    <row r="1492" spans="9:9">
      <c r="I1492" s="151"/>
    </row>
    <row r="1493" spans="9:9">
      <c r="I1493" s="151"/>
    </row>
    <row r="1494" spans="9:9">
      <c r="I1494" s="151"/>
    </row>
    <row r="1495" spans="9:9">
      <c r="I1495" s="151"/>
    </row>
    <row r="1496" spans="9:9">
      <c r="I1496" s="151"/>
    </row>
    <row r="1497" spans="9:9">
      <c r="I1497" s="151"/>
    </row>
    <row r="1498" spans="9:9">
      <c r="I1498" s="151"/>
    </row>
    <row r="1499" spans="9:9">
      <c r="I1499" s="151"/>
    </row>
    <row r="1500" spans="9:9">
      <c r="I1500" s="151"/>
    </row>
    <row r="1501" spans="9:9">
      <c r="I1501" s="151"/>
    </row>
    <row r="1502" spans="9:9">
      <c r="I1502" s="151"/>
    </row>
    <row r="1503" spans="9:9">
      <c r="I1503" s="151"/>
    </row>
    <row r="1504" spans="9:9">
      <c r="I1504" s="151"/>
    </row>
    <row r="1505" spans="9:9">
      <c r="I1505" s="151"/>
    </row>
    <row r="1506" spans="9:9">
      <c r="I1506" s="151"/>
    </row>
    <row r="1507" spans="9:9">
      <c r="I1507" s="151"/>
    </row>
    <row r="1508" spans="9:9">
      <c r="I1508" s="151"/>
    </row>
    <row r="1509" spans="9:9">
      <c r="I1509" s="151"/>
    </row>
    <row r="1510" spans="9:9">
      <c r="I1510" s="151"/>
    </row>
    <row r="1511" spans="9:9">
      <c r="I1511" s="151"/>
    </row>
    <row r="1512" spans="9:9">
      <c r="I1512" s="151"/>
    </row>
    <row r="1513" spans="9:9">
      <c r="I1513" s="151"/>
    </row>
    <row r="1514" spans="9:9">
      <c r="I1514" s="151"/>
    </row>
    <row r="1515" spans="9:9">
      <c r="I1515" s="151"/>
    </row>
    <row r="1516" spans="9:9">
      <c r="I1516" s="151"/>
    </row>
    <row r="1517" spans="9:9">
      <c r="I1517" s="151"/>
    </row>
    <row r="1518" spans="9:9">
      <c r="I1518" s="151"/>
    </row>
    <row r="1519" spans="9:9">
      <c r="I1519" s="151"/>
    </row>
    <row r="1520" spans="9:9">
      <c r="I1520" s="151"/>
    </row>
    <row r="1521" spans="9:9">
      <c r="I1521" s="151"/>
    </row>
    <row r="1522" spans="9:9">
      <c r="I1522" s="151"/>
    </row>
    <row r="1523" spans="9:9">
      <c r="I1523" s="151"/>
    </row>
    <row r="1524" spans="9:9">
      <c r="I1524" s="151"/>
    </row>
    <row r="1525" spans="9:9">
      <c r="I1525" s="151"/>
    </row>
    <row r="1526" spans="9:9">
      <c r="I1526" s="151"/>
    </row>
    <row r="1527" spans="9:9">
      <c r="I1527" s="151"/>
    </row>
    <row r="1528" spans="9:9">
      <c r="I1528" s="151"/>
    </row>
    <row r="1529" spans="9:9">
      <c r="I1529" s="151"/>
    </row>
    <row r="1530" spans="9:9">
      <c r="I1530" s="151"/>
    </row>
    <row r="1531" spans="9:9">
      <c r="I1531" s="151"/>
    </row>
    <row r="1532" spans="9:9">
      <c r="I1532" s="151"/>
    </row>
    <row r="1533" spans="9:9">
      <c r="I1533" s="151"/>
    </row>
    <row r="1534" spans="9:9">
      <c r="I1534" s="151"/>
    </row>
    <row r="1535" spans="9:9">
      <c r="I1535" s="151"/>
    </row>
    <row r="1536" spans="9:9">
      <c r="I1536" s="151"/>
    </row>
    <row r="1537" spans="9:9">
      <c r="I1537" s="151"/>
    </row>
    <row r="1538" spans="9:9">
      <c r="I1538" s="151"/>
    </row>
    <row r="1539" spans="9:9">
      <c r="I1539" s="151"/>
    </row>
    <row r="1540" spans="9:9">
      <c r="I1540" s="151"/>
    </row>
    <row r="1541" spans="9:9">
      <c r="I1541" s="151"/>
    </row>
    <row r="1542" spans="9:9">
      <c r="I1542" s="151"/>
    </row>
    <row r="1543" spans="9:9">
      <c r="I1543" s="151"/>
    </row>
    <row r="1544" spans="9:9">
      <c r="I1544" s="151"/>
    </row>
    <row r="1545" spans="9:9">
      <c r="I1545" s="151"/>
    </row>
    <row r="1546" spans="9:9">
      <c r="I1546" s="151"/>
    </row>
    <row r="1547" spans="9:9">
      <c r="I1547" s="151"/>
    </row>
    <row r="1548" spans="9:9">
      <c r="I1548" s="151"/>
    </row>
    <row r="1549" spans="9:9">
      <c r="I1549" s="151"/>
    </row>
    <row r="1550" spans="9:9">
      <c r="I1550" s="151"/>
    </row>
    <row r="1551" spans="9:9">
      <c r="I1551" s="151"/>
    </row>
    <row r="1552" spans="9:9">
      <c r="I1552" s="151"/>
    </row>
    <row r="1553" spans="9:9">
      <c r="I1553" s="151"/>
    </row>
    <row r="1554" spans="9:9">
      <c r="I1554" s="151"/>
    </row>
    <row r="1555" spans="9:9">
      <c r="I1555" s="151"/>
    </row>
    <row r="1556" spans="9:9">
      <c r="I1556" s="151"/>
    </row>
    <row r="1557" spans="9:9">
      <c r="I1557" s="151"/>
    </row>
    <row r="1558" spans="9:9">
      <c r="I1558" s="151"/>
    </row>
    <row r="1559" spans="9:9">
      <c r="I1559" s="151"/>
    </row>
    <row r="1560" spans="9:9">
      <c r="I1560" s="151"/>
    </row>
    <row r="1561" spans="9:9">
      <c r="I1561" s="151"/>
    </row>
    <row r="1562" spans="9:9">
      <c r="I1562" s="151"/>
    </row>
    <row r="1563" spans="9:9">
      <c r="I1563" s="151"/>
    </row>
    <row r="1564" spans="9:9">
      <c r="I1564" s="151"/>
    </row>
    <row r="1565" spans="9:9">
      <c r="I1565" s="151"/>
    </row>
    <row r="1566" spans="9:9">
      <c r="I1566" s="151"/>
    </row>
    <row r="1567" spans="9:9">
      <c r="I1567" s="151"/>
    </row>
    <row r="1568" spans="9:9">
      <c r="I1568" s="151"/>
    </row>
    <row r="1569" spans="9:9">
      <c r="I1569" s="151"/>
    </row>
    <row r="1570" spans="9:9">
      <c r="I1570" s="151"/>
    </row>
    <row r="1571" spans="9:9">
      <c r="I1571" s="151"/>
    </row>
    <row r="1572" spans="9:9">
      <c r="I1572" s="151"/>
    </row>
    <row r="1573" spans="9:9">
      <c r="I1573" s="151"/>
    </row>
    <row r="1574" spans="9:9">
      <c r="I1574" s="151"/>
    </row>
    <row r="1575" spans="9:9">
      <c r="I1575" s="151"/>
    </row>
    <row r="1576" spans="9:9">
      <c r="I1576" s="151"/>
    </row>
    <row r="1577" spans="9:9">
      <c r="I1577" s="151"/>
    </row>
    <row r="1578" spans="9:9">
      <c r="I1578" s="151"/>
    </row>
    <row r="1579" spans="9:9">
      <c r="I1579" s="151"/>
    </row>
    <row r="1580" spans="9:9">
      <c r="I1580" s="151"/>
    </row>
    <row r="1581" spans="9:9">
      <c r="I1581" s="151"/>
    </row>
    <row r="1582" spans="9:9">
      <c r="I1582" s="151"/>
    </row>
    <row r="1583" spans="9:9">
      <c r="I1583" s="151"/>
    </row>
    <row r="1584" spans="9:9">
      <c r="I1584" s="151"/>
    </row>
    <row r="1585" spans="9:9">
      <c r="I1585" s="151"/>
    </row>
    <row r="1586" spans="9:9">
      <c r="I1586" s="151"/>
    </row>
    <row r="1587" spans="9:9">
      <c r="I1587" s="151"/>
    </row>
    <row r="1588" spans="9:9">
      <c r="I1588" s="151"/>
    </row>
    <row r="1589" spans="9:9">
      <c r="I1589" s="151"/>
    </row>
    <row r="1590" spans="9:9">
      <c r="I1590" s="151"/>
    </row>
    <row r="1591" spans="9:9">
      <c r="I1591" s="151"/>
    </row>
    <row r="1592" spans="9:9">
      <c r="I1592" s="151"/>
    </row>
    <row r="1593" spans="9:9">
      <c r="I1593" s="151"/>
    </row>
    <row r="1594" spans="9:9">
      <c r="I1594" s="151"/>
    </row>
    <row r="1595" spans="9:9">
      <c r="I1595" s="151"/>
    </row>
    <row r="1596" spans="9:9">
      <c r="I1596" s="151"/>
    </row>
    <row r="1597" spans="9:9">
      <c r="I1597" s="151"/>
    </row>
    <row r="1598" spans="9:9">
      <c r="I1598" s="151"/>
    </row>
    <row r="1599" spans="9:9">
      <c r="I1599" s="151"/>
    </row>
    <row r="1600" spans="9:9">
      <c r="I1600" s="151"/>
    </row>
    <row r="1601" spans="9:9">
      <c r="I1601" s="151"/>
    </row>
    <row r="1602" spans="9:9">
      <c r="I1602" s="151"/>
    </row>
    <row r="1603" spans="9:9">
      <c r="I1603" s="151"/>
    </row>
    <row r="1604" spans="9:9">
      <c r="I1604" s="151"/>
    </row>
    <row r="1605" spans="9:9">
      <c r="I1605" s="151"/>
    </row>
    <row r="1606" spans="9:9">
      <c r="I1606" s="151"/>
    </row>
    <row r="1607" spans="9:9">
      <c r="I1607" s="151"/>
    </row>
    <row r="1608" spans="9:9">
      <c r="I1608" s="151"/>
    </row>
    <row r="1609" spans="9:9">
      <c r="I1609" s="151"/>
    </row>
    <row r="1610" spans="9:9">
      <c r="I1610" s="151"/>
    </row>
    <row r="1611" spans="9:9">
      <c r="I1611" s="151"/>
    </row>
    <row r="1612" spans="9:9">
      <c r="I1612" s="151"/>
    </row>
    <row r="1613" spans="9:9">
      <c r="I1613" s="151"/>
    </row>
    <row r="1614" spans="9:9">
      <c r="I1614" s="151"/>
    </row>
    <row r="1615" spans="9:9">
      <c r="I1615" s="151"/>
    </row>
    <row r="1616" spans="9:9">
      <c r="I1616" s="151"/>
    </row>
    <row r="1617" spans="9:9">
      <c r="I1617" s="151"/>
    </row>
    <row r="1618" spans="9:9">
      <c r="I1618" s="151"/>
    </row>
    <row r="1619" spans="9:9">
      <c r="I1619" s="151"/>
    </row>
    <row r="1620" spans="9:9">
      <c r="I1620" s="151"/>
    </row>
    <row r="1621" spans="9:9">
      <c r="I1621" s="151"/>
    </row>
    <row r="1622" spans="9:9">
      <c r="I1622" s="151"/>
    </row>
    <row r="1623" spans="9:9">
      <c r="I1623" s="151"/>
    </row>
    <row r="1624" spans="9:9">
      <c r="I1624" s="151"/>
    </row>
    <row r="1625" spans="9:9">
      <c r="I1625" s="151"/>
    </row>
    <row r="1626" spans="9:9">
      <c r="I1626" s="151"/>
    </row>
    <row r="1627" spans="9:9">
      <c r="I1627" s="151"/>
    </row>
    <row r="1628" spans="9:9">
      <c r="I1628" s="151"/>
    </row>
    <row r="1629" spans="9:9">
      <c r="I1629" s="151"/>
    </row>
    <row r="1630" spans="9:9">
      <c r="I1630" s="151"/>
    </row>
    <row r="1631" spans="9:9">
      <c r="I1631" s="151"/>
    </row>
    <row r="1632" spans="9:9">
      <c r="I1632" s="151"/>
    </row>
    <row r="1633" spans="9:9">
      <c r="I1633" s="151"/>
    </row>
    <row r="1634" spans="9:9">
      <c r="I1634" s="151"/>
    </row>
    <row r="1635" spans="9:9">
      <c r="I1635" s="151"/>
    </row>
    <row r="1636" spans="9:9">
      <c r="I1636" s="151"/>
    </row>
    <row r="1637" spans="9:9">
      <c r="I1637" s="151"/>
    </row>
    <row r="1638" spans="9:9">
      <c r="I1638" s="151"/>
    </row>
    <row r="1639" spans="9:9">
      <c r="I1639" s="151"/>
    </row>
    <row r="1640" spans="9:9">
      <c r="I1640" s="151"/>
    </row>
    <row r="1641" spans="9:9">
      <c r="I1641" s="151"/>
    </row>
    <row r="1642" spans="9:9">
      <c r="I1642" s="151"/>
    </row>
    <row r="1643" spans="9:9">
      <c r="I1643" s="151"/>
    </row>
    <row r="1644" spans="9:9">
      <c r="I1644" s="151"/>
    </row>
    <row r="1645" spans="9:9">
      <c r="I1645" s="151"/>
    </row>
    <row r="1646" spans="9:9">
      <c r="I1646" s="151"/>
    </row>
    <row r="1647" spans="9:9">
      <c r="I1647" s="151"/>
    </row>
    <row r="1648" spans="9:9">
      <c r="I1648" s="151"/>
    </row>
    <row r="1649" spans="9:9">
      <c r="I1649" s="151"/>
    </row>
    <row r="1650" spans="9:9">
      <c r="I1650" s="151"/>
    </row>
    <row r="1651" spans="9:9">
      <c r="I1651" s="151"/>
    </row>
    <row r="1652" spans="9:9">
      <c r="I1652" s="151"/>
    </row>
    <row r="1653" spans="9:9">
      <c r="I1653" s="151"/>
    </row>
    <row r="1654" spans="9:9">
      <c r="I1654" s="151"/>
    </row>
    <row r="1655" spans="9:9">
      <c r="I1655" s="151"/>
    </row>
    <row r="1656" spans="9:9">
      <c r="I1656" s="151"/>
    </row>
    <row r="1657" spans="9:9">
      <c r="I1657" s="151"/>
    </row>
    <row r="1658" spans="9:9">
      <c r="I1658" s="151"/>
    </row>
    <row r="1659" spans="9:9">
      <c r="I1659" s="151"/>
    </row>
    <row r="1660" spans="9:9">
      <c r="I1660" s="151"/>
    </row>
    <row r="1661" spans="9:9">
      <c r="I1661" s="151"/>
    </row>
    <row r="1662" spans="9:9">
      <c r="I1662" s="151"/>
    </row>
    <row r="1663" spans="9:9">
      <c r="I1663" s="151"/>
    </row>
    <row r="1664" spans="9:9">
      <c r="I1664" s="151"/>
    </row>
    <row r="1665" spans="9:9">
      <c r="I1665" s="151"/>
    </row>
    <row r="1666" spans="9:9">
      <c r="I1666" s="151"/>
    </row>
    <row r="1667" spans="9:9">
      <c r="I1667" s="151"/>
    </row>
    <row r="1668" spans="9:9">
      <c r="I1668" s="151"/>
    </row>
    <row r="1669" spans="9:9">
      <c r="I1669" s="151"/>
    </row>
    <row r="1670" spans="9:9">
      <c r="I1670" s="151"/>
    </row>
    <row r="1671" spans="9:9">
      <c r="I1671" s="151"/>
    </row>
    <row r="1672" spans="9:9">
      <c r="I1672" s="151"/>
    </row>
    <row r="1673" spans="9:9">
      <c r="I1673" s="151"/>
    </row>
    <row r="1674" spans="9:9">
      <c r="I1674" s="151"/>
    </row>
    <row r="1675" spans="9:9">
      <c r="I1675" s="151"/>
    </row>
    <row r="1676" spans="9:9">
      <c r="I1676" s="151"/>
    </row>
    <row r="1677" spans="9:9">
      <c r="I1677" s="151"/>
    </row>
    <row r="1678" spans="9:9">
      <c r="I1678" s="151"/>
    </row>
    <row r="1679" spans="9:9">
      <c r="I1679" s="151"/>
    </row>
    <row r="1680" spans="9:9">
      <c r="I1680" s="151"/>
    </row>
    <row r="1681" spans="9:9">
      <c r="I1681" s="151"/>
    </row>
    <row r="1682" spans="9:9">
      <c r="I1682" s="151"/>
    </row>
    <row r="1683" spans="9:9">
      <c r="I1683" s="151"/>
    </row>
    <row r="1684" spans="9:9">
      <c r="I1684" s="151"/>
    </row>
    <row r="1685" spans="9:9">
      <c r="I1685" s="151"/>
    </row>
    <row r="1686" spans="9:9">
      <c r="I1686" s="151"/>
    </row>
    <row r="1687" spans="9:9">
      <c r="I1687" s="151"/>
    </row>
    <row r="1688" spans="9:9">
      <c r="I1688" s="151"/>
    </row>
    <row r="1689" spans="9:9">
      <c r="I1689" s="151"/>
    </row>
    <row r="1690" spans="9:9">
      <c r="I1690" s="151"/>
    </row>
    <row r="1691" spans="9:9">
      <c r="I1691" s="151"/>
    </row>
    <row r="1692" spans="9:9">
      <c r="I1692" s="151"/>
    </row>
    <row r="1693" spans="9:9">
      <c r="I1693" s="151"/>
    </row>
    <row r="1694" spans="9:9">
      <c r="I1694" s="151"/>
    </row>
    <row r="1695" spans="9:9">
      <c r="I1695" s="151"/>
    </row>
    <row r="1696" spans="9:9">
      <c r="I1696" s="151"/>
    </row>
    <row r="1697" spans="9:9">
      <c r="I1697" s="151"/>
    </row>
    <row r="1698" spans="9:9">
      <c r="I1698" s="151"/>
    </row>
    <row r="1699" spans="9:9">
      <c r="I1699" s="151"/>
    </row>
    <row r="1700" spans="9:9">
      <c r="I1700" s="151"/>
    </row>
    <row r="1701" spans="9:9">
      <c r="I1701" s="151"/>
    </row>
    <row r="1702" spans="9:9">
      <c r="I1702" s="151"/>
    </row>
    <row r="1703" spans="9:9">
      <c r="I1703" s="151"/>
    </row>
    <row r="1704" spans="9:9">
      <c r="I1704" s="151"/>
    </row>
    <row r="1705" spans="9:9">
      <c r="I1705" s="151"/>
    </row>
    <row r="1706" spans="9:9">
      <c r="I1706" s="151"/>
    </row>
    <row r="1707" spans="9:9">
      <c r="I1707" s="151"/>
    </row>
    <row r="1708" spans="9:9">
      <c r="I1708" s="151"/>
    </row>
    <row r="1709" spans="9:9">
      <c r="I1709" s="151"/>
    </row>
    <row r="1710" spans="9:9">
      <c r="I1710" s="151"/>
    </row>
    <row r="1711" spans="9:9">
      <c r="I1711" s="151"/>
    </row>
    <row r="1712" spans="9:9">
      <c r="I1712" s="151"/>
    </row>
    <row r="1713" spans="9:9">
      <c r="I1713" s="151"/>
    </row>
    <row r="1714" spans="9:9">
      <c r="I1714" s="151"/>
    </row>
    <row r="1715" spans="9:9">
      <c r="I1715" s="151"/>
    </row>
    <row r="1716" spans="9:9">
      <c r="I1716" s="151"/>
    </row>
    <row r="1717" spans="9:9">
      <c r="I1717" s="151"/>
    </row>
    <row r="1718" spans="9:9">
      <c r="I1718" s="151"/>
    </row>
    <row r="1719" spans="9:9">
      <c r="I1719" s="151"/>
    </row>
    <row r="1720" spans="9:9">
      <c r="I1720" s="151"/>
    </row>
    <row r="1721" spans="9:9">
      <c r="I1721" s="151"/>
    </row>
    <row r="1722" spans="9:9">
      <c r="I1722" s="151"/>
    </row>
    <row r="1723" spans="9:9">
      <c r="I1723" s="151"/>
    </row>
    <row r="1724" spans="9:9">
      <c r="I1724" s="151"/>
    </row>
    <row r="1725" spans="9:9">
      <c r="I1725" s="151"/>
    </row>
    <row r="1726" spans="9:9">
      <c r="I1726" s="151"/>
    </row>
    <row r="1727" spans="9:9">
      <c r="I1727" s="151"/>
    </row>
    <row r="1728" spans="9:9">
      <c r="I1728" s="151"/>
    </row>
    <row r="1729" spans="9:9">
      <c r="I1729" s="151"/>
    </row>
    <row r="1730" spans="9:9">
      <c r="I1730" s="151"/>
    </row>
    <row r="1731" spans="9:9">
      <c r="I1731" s="151"/>
    </row>
    <row r="1732" spans="9:9">
      <c r="I1732" s="151"/>
    </row>
    <row r="1733" spans="9:9">
      <c r="I1733" s="151"/>
    </row>
    <row r="1734" spans="9:9">
      <c r="I1734" s="151"/>
    </row>
    <row r="1735" spans="9:9">
      <c r="I1735" s="151"/>
    </row>
    <row r="1736" spans="9:9">
      <c r="I1736" s="151"/>
    </row>
    <row r="1737" spans="9:9">
      <c r="I1737" s="151"/>
    </row>
    <row r="1738" spans="9:9">
      <c r="I1738" s="151"/>
    </row>
    <row r="1739" spans="9:9">
      <c r="I1739" s="151"/>
    </row>
    <row r="1740" spans="9:9">
      <c r="I1740" s="151"/>
    </row>
    <row r="1741" spans="9:9">
      <c r="I1741" s="151"/>
    </row>
    <row r="1742" spans="9:9">
      <c r="I1742" s="151"/>
    </row>
    <row r="1743" spans="9:9">
      <c r="I1743" s="151"/>
    </row>
    <row r="1744" spans="9:9">
      <c r="I1744" s="151"/>
    </row>
    <row r="1745" spans="9:9">
      <c r="I1745" s="151"/>
    </row>
    <row r="1746" spans="9:9">
      <c r="I1746" s="151"/>
    </row>
    <row r="1747" spans="9:9">
      <c r="I1747" s="151"/>
    </row>
    <row r="1748" spans="9:9">
      <c r="I1748" s="151"/>
    </row>
    <row r="1749" spans="9:9">
      <c r="I1749" s="151"/>
    </row>
    <row r="1750" spans="9:9">
      <c r="I1750" s="151"/>
    </row>
    <row r="1751" spans="9:9">
      <c r="I1751" s="151"/>
    </row>
    <row r="1752" spans="9:9">
      <c r="I1752" s="151"/>
    </row>
    <row r="1753" spans="9:9">
      <c r="I1753" s="151"/>
    </row>
    <row r="1754" spans="9:9">
      <c r="I1754" s="151"/>
    </row>
    <row r="1755" spans="9:9">
      <c r="I1755" s="151"/>
    </row>
    <row r="1756" spans="9:9">
      <c r="I1756" s="151"/>
    </row>
    <row r="1757" spans="9:9">
      <c r="I1757" s="151"/>
    </row>
    <row r="1758" spans="9:9">
      <c r="I1758" s="151"/>
    </row>
    <row r="1759" spans="9:9">
      <c r="I1759" s="151"/>
    </row>
    <row r="1760" spans="9:9">
      <c r="I1760" s="151"/>
    </row>
    <row r="1761" spans="9:9">
      <c r="I1761" s="151"/>
    </row>
    <row r="1762" spans="9:9">
      <c r="I1762" s="151"/>
    </row>
    <row r="1763" spans="9:9">
      <c r="I1763" s="151"/>
    </row>
    <row r="1764" spans="9:9">
      <c r="I1764" s="151"/>
    </row>
    <row r="1765" spans="9:9">
      <c r="I1765" s="151"/>
    </row>
    <row r="1766" spans="9:9">
      <c r="I1766" s="151"/>
    </row>
    <row r="1767" spans="9:9">
      <c r="I1767" s="151"/>
    </row>
    <row r="1768" spans="9:9">
      <c r="I1768" s="151"/>
    </row>
    <row r="1769" spans="9:9">
      <c r="I1769" s="151"/>
    </row>
    <row r="1770" spans="9:9">
      <c r="I1770" s="151"/>
    </row>
    <row r="1771" spans="9:9">
      <c r="I1771" s="151"/>
    </row>
    <row r="1772" spans="9:9">
      <c r="I1772" s="151"/>
    </row>
    <row r="1773" spans="9:9">
      <c r="I1773" s="151"/>
    </row>
    <row r="1774" spans="9:9">
      <c r="I1774" s="151"/>
    </row>
    <row r="1775" spans="9:9">
      <c r="I1775" s="151"/>
    </row>
    <row r="1776" spans="9:9">
      <c r="I1776" s="151"/>
    </row>
    <row r="1777" spans="9:9">
      <c r="I1777" s="151"/>
    </row>
    <row r="1778" spans="9:9">
      <c r="I1778" s="151"/>
    </row>
    <row r="1779" spans="9:9">
      <c r="I1779" s="151"/>
    </row>
    <row r="1780" spans="9:9">
      <c r="I1780" s="151"/>
    </row>
    <row r="1781" spans="9:9">
      <c r="I1781" s="151"/>
    </row>
    <row r="1782" spans="9:9">
      <c r="I1782" s="151"/>
    </row>
    <row r="1783" spans="9:9">
      <c r="I1783" s="151"/>
    </row>
    <row r="1784" spans="9:9">
      <c r="I1784" s="151"/>
    </row>
    <row r="1785" spans="9:9">
      <c r="I1785" s="151"/>
    </row>
    <row r="1786" spans="9:9">
      <c r="I1786" s="151"/>
    </row>
    <row r="1787" spans="9:9">
      <c r="I1787" s="151"/>
    </row>
    <row r="1788" spans="9:9">
      <c r="I1788" s="151"/>
    </row>
    <row r="1789" spans="9:9">
      <c r="I1789" s="151"/>
    </row>
    <row r="1790" spans="9:9">
      <c r="I1790" s="151"/>
    </row>
    <row r="1791" spans="9:9">
      <c r="I1791" s="151"/>
    </row>
    <row r="1792" spans="9:9">
      <c r="I1792" s="151"/>
    </row>
    <row r="1793" spans="9:9">
      <c r="I1793" s="151"/>
    </row>
    <row r="1794" spans="9:9">
      <c r="I1794" s="151"/>
    </row>
    <row r="1795" spans="9:9">
      <c r="I1795" s="151"/>
    </row>
    <row r="1796" spans="9:9">
      <c r="I1796" s="151"/>
    </row>
    <row r="1797" spans="9:9">
      <c r="I1797" s="151"/>
    </row>
    <row r="1798" spans="9:9">
      <c r="I1798" s="151"/>
    </row>
    <row r="1799" spans="9:9">
      <c r="I1799" s="151"/>
    </row>
    <row r="1800" spans="9:9">
      <c r="I1800" s="151"/>
    </row>
    <row r="1801" spans="9:9">
      <c r="I1801" s="151"/>
    </row>
    <row r="1802" spans="9:9">
      <c r="I1802" s="151"/>
    </row>
    <row r="1803" spans="9:9">
      <c r="I1803" s="151"/>
    </row>
    <row r="1804" spans="9:9">
      <c r="I1804" s="151"/>
    </row>
    <row r="1805" spans="9:9">
      <c r="I1805" s="151"/>
    </row>
    <row r="1806" spans="9:9">
      <c r="I1806" s="151"/>
    </row>
    <row r="1807" spans="9:9">
      <c r="I1807" s="151"/>
    </row>
    <row r="1808" spans="9:9">
      <c r="I1808" s="151"/>
    </row>
    <row r="1809" spans="9:9">
      <c r="I1809" s="151"/>
    </row>
    <row r="1810" spans="9:9">
      <c r="I1810" s="151"/>
    </row>
    <row r="1811" spans="9:9">
      <c r="I1811" s="151"/>
    </row>
    <row r="1812" spans="9:9">
      <c r="I1812" s="151"/>
    </row>
    <row r="1813" spans="9:9">
      <c r="I1813" s="151"/>
    </row>
    <row r="1814" spans="9:9">
      <c r="I1814" s="151"/>
    </row>
    <row r="1815" spans="9:9">
      <c r="I1815" s="151"/>
    </row>
    <row r="1816" spans="9:9">
      <c r="I1816" s="151"/>
    </row>
    <row r="1817" spans="9:9">
      <c r="I1817" s="151"/>
    </row>
    <row r="1818" spans="9:9">
      <c r="I1818" s="151"/>
    </row>
    <row r="1819" spans="9:9">
      <c r="I1819" s="151"/>
    </row>
    <row r="1820" spans="9:9">
      <c r="I1820" s="151"/>
    </row>
    <row r="1821" spans="9:9">
      <c r="I1821" s="151"/>
    </row>
    <row r="1822" spans="9:9">
      <c r="I1822" s="151"/>
    </row>
    <row r="1823" spans="9:9">
      <c r="I1823" s="151"/>
    </row>
    <row r="1824" spans="9:9">
      <c r="I1824" s="151"/>
    </row>
    <row r="1825" spans="9:9">
      <c r="I1825" s="151"/>
    </row>
    <row r="1826" spans="9:9">
      <c r="I1826" s="151"/>
    </row>
    <row r="1827" spans="9:9">
      <c r="I1827" s="151"/>
    </row>
    <row r="1828" spans="9:9">
      <c r="I1828" s="151"/>
    </row>
    <row r="1829" spans="9:9">
      <c r="I1829" s="151"/>
    </row>
    <row r="1830" spans="9:9">
      <c r="I1830" s="151"/>
    </row>
    <row r="1831" spans="9:9">
      <c r="I1831" s="151"/>
    </row>
    <row r="1832" spans="9:9">
      <c r="I1832" s="151"/>
    </row>
    <row r="1833" spans="9:9">
      <c r="I1833" s="151"/>
    </row>
    <row r="1834" spans="9:9">
      <c r="I1834" s="151"/>
    </row>
    <row r="1835" spans="9:9">
      <c r="I1835" s="151"/>
    </row>
    <row r="1836" spans="9:9">
      <c r="I1836" s="151"/>
    </row>
    <row r="1837" spans="9:9">
      <c r="I1837" s="151"/>
    </row>
    <row r="1838" spans="9:9">
      <c r="I1838" s="151"/>
    </row>
    <row r="1839" spans="9:9">
      <c r="I1839" s="151"/>
    </row>
    <row r="1840" spans="9:9">
      <c r="I1840" s="151"/>
    </row>
    <row r="1841" spans="9:9">
      <c r="I1841" s="151"/>
    </row>
    <row r="1842" spans="9:9">
      <c r="I1842" s="151"/>
    </row>
    <row r="1843" spans="9:9">
      <c r="I1843" s="151"/>
    </row>
    <row r="1844" spans="9:9">
      <c r="I1844" s="151"/>
    </row>
    <row r="1845" spans="9:9">
      <c r="I1845" s="151"/>
    </row>
    <row r="1846" spans="9:9">
      <c r="I1846" s="151"/>
    </row>
    <row r="1847" spans="9:9">
      <c r="I1847" s="151"/>
    </row>
    <row r="1848" spans="9:9">
      <c r="I1848" s="151"/>
    </row>
    <row r="1849" spans="9:9">
      <c r="I1849" s="151"/>
    </row>
    <row r="1850" spans="9:9">
      <c r="I1850" s="151"/>
    </row>
    <row r="1851" spans="9:9">
      <c r="I1851" s="151"/>
    </row>
    <row r="1852" spans="9:9">
      <c r="I1852" s="151"/>
    </row>
    <row r="1853" spans="9:9">
      <c r="I1853" s="151"/>
    </row>
    <row r="1854" spans="9:9">
      <c r="I1854" s="151"/>
    </row>
    <row r="1855" spans="9:9">
      <c r="I1855" s="151"/>
    </row>
    <row r="1856" spans="9:9">
      <c r="I1856" s="151"/>
    </row>
    <row r="1857" spans="9:9">
      <c r="I1857" s="151"/>
    </row>
    <row r="1858" spans="9:9">
      <c r="I1858" s="151"/>
    </row>
    <row r="1859" spans="9:9">
      <c r="I1859" s="151"/>
    </row>
    <row r="1860" spans="9:9">
      <c r="I1860" s="151"/>
    </row>
    <row r="1861" spans="9:9">
      <c r="I1861" s="151"/>
    </row>
    <row r="1862" spans="9:9">
      <c r="I1862" s="151"/>
    </row>
    <row r="1863" spans="9:9">
      <c r="I1863" s="151"/>
    </row>
    <row r="1864" spans="9:9">
      <c r="I1864" s="151"/>
    </row>
    <row r="1865" spans="9:9">
      <c r="I1865" s="151"/>
    </row>
    <row r="1866" spans="9:9">
      <c r="I1866" s="151"/>
    </row>
    <row r="1867" spans="9:9">
      <c r="I1867" s="151"/>
    </row>
    <row r="1868" spans="9:9">
      <c r="I1868" s="151"/>
    </row>
    <row r="1869" spans="9:9">
      <c r="I1869" s="151"/>
    </row>
    <row r="1870" spans="9:9">
      <c r="I1870" s="151"/>
    </row>
    <row r="1871" spans="9:9">
      <c r="I1871" s="151"/>
    </row>
    <row r="1872" spans="9:9">
      <c r="I1872" s="151"/>
    </row>
    <row r="1873" spans="9:9">
      <c r="I1873" s="151"/>
    </row>
    <row r="1874" spans="9:9">
      <c r="I1874" s="151"/>
    </row>
    <row r="1875" spans="9:9">
      <c r="I1875" s="151"/>
    </row>
    <row r="1876" spans="9:9">
      <c r="I1876" s="151"/>
    </row>
    <row r="1877" spans="9:9">
      <c r="I1877" s="151"/>
    </row>
    <row r="1878" spans="9:9">
      <c r="I1878" s="151"/>
    </row>
    <row r="1879" spans="9:9">
      <c r="I1879" s="151"/>
    </row>
    <row r="1880" spans="9:9">
      <c r="I1880" s="151"/>
    </row>
    <row r="1881" spans="9:9">
      <c r="I1881" s="151"/>
    </row>
    <row r="1882" spans="9:9">
      <c r="I1882" s="151"/>
    </row>
    <row r="1883" spans="9:9">
      <c r="I1883" s="151"/>
    </row>
    <row r="1884" spans="9:9">
      <c r="I1884" s="151"/>
    </row>
    <row r="1885" spans="9:9">
      <c r="I1885" s="151"/>
    </row>
    <row r="1886" spans="9:9">
      <c r="I1886" s="151"/>
    </row>
    <row r="1887" spans="9:9">
      <c r="I1887" s="151"/>
    </row>
    <row r="1888" spans="9:9">
      <c r="I1888" s="151"/>
    </row>
    <row r="1889" spans="9:9">
      <c r="I1889" s="151"/>
    </row>
    <row r="1890" spans="9:9">
      <c r="I1890" s="151"/>
    </row>
    <row r="1891" spans="9:9">
      <c r="I1891" s="151"/>
    </row>
    <row r="1892" spans="9:9">
      <c r="I1892" s="151"/>
    </row>
    <row r="1893" spans="9:9">
      <c r="I1893" s="151"/>
    </row>
    <row r="1894" spans="9:9">
      <c r="I1894" s="151"/>
    </row>
    <row r="1895" spans="9:9">
      <c r="I1895" s="151"/>
    </row>
    <row r="1896" spans="9:9">
      <c r="I1896" s="151"/>
    </row>
    <row r="1897" spans="9:9">
      <c r="I1897" s="151"/>
    </row>
    <row r="1898" spans="9:9">
      <c r="I1898" s="151"/>
    </row>
    <row r="1899" spans="9:9">
      <c r="I1899" s="151"/>
    </row>
    <row r="1900" spans="9:9">
      <c r="I1900" s="151"/>
    </row>
    <row r="1901" spans="9:9">
      <c r="I1901" s="151"/>
    </row>
    <row r="1902" spans="9:9">
      <c r="I1902" s="151"/>
    </row>
    <row r="1903" spans="9:9">
      <c r="I1903" s="151"/>
    </row>
    <row r="1904" spans="9:9">
      <c r="I1904" s="151"/>
    </row>
    <row r="1905" spans="9:9">
      <c r="I1905" s="151"/>
    </row>
    <row r="1906" spans="9:9">
      <c r="I1906" s="151"/>
    </row>
    <row r="1907" spans="9:9">
      <c r="I1907" s="151"/>
    </row>
    <row r="1908" spans="9:9">
      <c r="I1908" s="151"/>
    </row>
    <row r="1909" spans="9:9">
      <c r="I1909" s="151"/>
    </row>
    <row r="1910" spans="9:9">
      <c r="I1910" s="151"/>
    </row>
    <row r="1911" spans="9:9">
      <c r="I1911" s="151"/>
    </row>
    <row r="1912" spans="9:9">
      <c r="I1912" s="151"/>
    </row>
    <row r="1913" spans="9:9">
      <c r="I1913" s="151"/>
    </row>
    <row r="1914" spans="9:9">
      <c r="I1914" s="151"/>
    </row>
    <row r="1915" spans="9:9">
      <c r="I1915" s="151"/>
    </row>
    <row r="1916" spans="9:9">
      <c r="I1916" s="151"/>
    </row>
    <row r="1917" spans="9:9">
      <c r="I1917" s="151"/>
    </row>
    <row r="1918" spans="9:9">
      <c r="I1918" s="151"/>
    </row>
    <row r="1919" spans="9:9">
      <c r="I1919" s="151"/>
    </row>
    <row r="1920" spans="9:9">
      <c r="I1920" s="151"/>
    </row>
    <row r="1921" spans="9:9">
      <c r="I1921" s="151"/>
    </row>
    <row r="1922" spans="9:9">
      <c r="I1922" s="151"/>
    </row>
    <row r="1923" spans="9:9">
      <c r="I1923" s="151"/>
    </row>
    <row r="1924" spans="9:9">
      <c r="I1924" s="151"/>
    </row>
    <row r="1925" spans="9:9">
      <c r="I1925" s="151"/>
    </row>
    <row r="1926" spans="9:9">
      <c r="I1926" s="151"/>
    </row>
    <row r="1927" spans="9:9">
      <c r="I1927" s="151"/>
    </row>
    <row r="1928" spans="9:9">
      <c r="I1928" s="151"/>
    </row>
    <row r="1929" spans="9:9">
      <c r="I1929" s="151"/>
    </row>
    <row r="1930" spans="9:9">
      <c r="I1930" s="151"/>
    </row>
    <row r="1931" spans="9:9">
      <c r="I1931" s="151"/>
    </row>
    <row r="1932" spans="9:9">
      <c r="I1932" s="151"/>
    </row>
    <row r="1933" spans="9:9">
      <c r="I1933" s="151"/>
    </row>
    <row r="1934" spans="9:9">
      <c r="I1934" s="151"/>
    </row>
    <row r="1935" spans="9:9">
      <c r="I1935" s="151"/>
    </row>
    <row r="1936" spans="9:9">
      <c r="I1936" s="151"/>
    </row>
    <row r="1937" spans="9:9">
      <c r="I1937" s="151"/>
    </row>
    <row r="1938" spans="9:9">
      <c r="I1938" s="151"/>
    </row>
    <row r="1939" spans="9:9">
      <c r="I1939" s="151"/>
    </row>
    <row r="1940" spans="9:9">
      <c r="I1940" s="151"/>
    </row>
    <row r="1941" spans="9:9">
      <c r="I1941" s="151"/>
    </row>
    <row r="1942" spans="9:9">
      <c r="I1942" s="151"/>
    </row>
    <row r="1943" spans="9:9">
      <c r="I1943" s="151"/>
    </row>
    <row r="1944" spans="9:9">
      <c r="I1944" s="151"/>
    </row>
    <row r="1945" spans="9:9">
      <c r="I1945" s="151"/>
    </row>
    <row r="1946" spans="9:9">
      <c r="I1946" s="151"/>
    </row>
    <row r="1947" spans="9:9">
      <c r="I1947" s="151"/>
    </row>
    <row r="1948" spans="9:9">
      <c r="I1948" s="151"/>
    </row>
    <row r="1949" spans="9:9">
      <c r="I1949" s="151"/>
    </row>
    <row r="1950" spans="9:9">
      <c r="I1950" s="151"/>
    </row>
    <row r="1951" spans="9:9">
      <c r="I1951" s="151"/>
    </row>
    <row r="1952" spans="9:9">
      <c r="I1952" s="151"/>
    </row>
    <row r="1953" spans="9:9">
      <c r="I1953" s="151"/>
    </row>
    <row r="1954" spans="9:9">
      <c r="I1954" s="151"/>
    </row>
    <row r="1955" spans="9:9">
      <c r="I1955" s="151"/>
    </row>
    <row r="1956" spans="9:9">
      <c r="I1956" s="151"/>
    </row>
    <row r="1957" spans="9:9">
      <c r="I1957" s="151"/>
    </row>
    <row r="1958" spans="9:9">
      <c r="I1958" s="151"/>
    </row>
    <row r="1959" spans="9:9">
      <c r="I1959" s="151"/>
    </row>
    <row r="1960" spans="9:9">
      <c r="I1960" s="151"/>
    </row>
    <row r="1961" spans="9:9">
      <c r="I1961" s="151"/>
    </row>
    <row r="1962" spans="9:9">
      <c r="I1962" s="151"/>
    </row>
    <row r="1963" spans="9:9">
      <c r="I1963" s="151"/>
    </row>
    <row r="1964" spans="9:9">
      <c r="I1964" s="151"/>
    </row>
    <row r="1965" spans="9:9">
      <c r="I1965" s="151"/>
    </row>
    <row r="1966" spans="9:9">
      <c r="I1966" s="151"/>
    </row>
    <row r="1967" spans="9:9">
      <c r="I1967" s="151"/>
    </row>
    <row r="1968" spans="9:9">
      <c r="I1968" s="151"/>
    </row>
    <row r="1969" spans="9:9">
      <c r="I1969" s="151"/>
    </row>
    <row r="1970" spans="9:9">
      <c r="I1970" s="151"/>
    </row>
    <row r="1971" spans="9:9">
      <c r="I1971" s="151"/>
    </row>
    <row r="1972" spans="9:9">
      <c r="I1972" s="151"/>
    </row>
    <row r="1973" spans="9:9">
      <c r="I1973" s="151"/>
    </row>
    <row r="1974" spans="9:9">
      <c r="I1974" s="151"/>
    </row>
    <row r="1975" spans="9:9">
      <c r="I1975" s="151"/>
    </row>
    <row r="1976" spans="9:9">
      <c r="I1976" s="151"/>
    </row>
    <row r="1977" spans="9:9">
      <c r="I1977" s="151"/>
    </row>
    <row r="1978" spans="9:9">
      <c r="I1978" s="151"/>
    </row>
    <row r="1979" spans="9:9">
      <c r="I1979" s="151"/>
    </row>
    <row r="1980" spans="9:9">
      <c r="I1980" s="151"/>
    </row>
    <row r="1981" spans="9:9">
      <c r="I1981" s="151"/>
    </row>
    <row r="1982" spans="9:9">
      <c r="I1982" s="151"/>
    </row>
    <row r="1983" spans="9:9">
      <c r="I1983" s="151"/>
    </row>
    <row r="1984" spans="9:9">
      <c r="I1984" s="151"/>
    </row>
    <row r="1985" spans="9:9">
      <c r="I1985" s="151"/>
    </row>
    <row r="1986" spans="9:9">
      <c r="I1986" s="151"/>
    </row>
    <row r="1987" spans="9:9">
      <c r="I1987" s="151"/>
    </row>
    <row r="1988" spans="9:9">
      <c r="I1988" s="151"/>
    </row>
    <row r="1989" spans="9:9">
      <c r="I1989" s="151"/>
    </row>
    <row r="1990" spans="9:9">
      <c r="I1990" s="151"/>
    </row>
    <row r="1991" spans="9:9">
      <c r="I1991" s="151"/>
    </row>
    <row r="1992" spans="9:9">
      <c r="I1992" s="151"/>
    </row>
    <row r="1993" spans="9:9">
      <c r="I1993" s="151"/>
    </row>
    <row r="1994" spans="9:9">
      <c r="I1994" s="151"/>
    </row>
    <row r="1995" spans="9:9">
      <c r="I1995" s="151"/>
    </row>
    <row r="1996" spans="9:9">
      <c r="I1996" s="151"/>
    </row>
    <row r="1997" spans="9:9">
      <c r="I1997" s="151"/>
    </row>
    <row r="1998" spans="9:9">
      <c r="I1998" s="151"/>
    </row>
    <row r="1999" spans="9:9">
      <c r="I1999" s="151"/>
    </row>
    <row r="2000" spans="9:9">
      <c r="I2000" s="151"/>
    </row>
    <row r="2001" spans="9:9">
      <c r="I2001" s="151"/>
    </row>
    <row r="2002" spans="9:9">
      <c r="I2002" s="151"/>
    </row>
    <row r="2003" spans="9:9">
      <c r="I2003" s="151"/>
    </row>
    <row r="2004" spans="9:9">
      <c r="I2004" s="151"/>
    </row>
    <row r="2005" spans="9:9">
      <c r="I2005" s="151"/>
    </row>
    <row r="2006" spans="9:9">
      <c r="I2006" s="151"/>
    </row>
    <row r="2007" spans="9:9">
      <c r="I2007" s="151"/>
    </row>
    <row r="2008" spans="9:9">
      <c r="I2008" s="151"/>
    </row>
    <row r="2009" spans="9:9">
      <c r="I2009" s="151"/>
    </row>
    <row r="2010" spans="9:9">
      <c r="I2010" s="151"/>
    </row>
    <row r="2011" spans="9:9">
      <c r="I2011" s="151"/>
    </row>
    <row r="2012" spans="9:9">
      <c r="I2012" s="151"/>
    </row>
    <row r="2013" spans="9:9">
      <c r="I2013" s="151"/>
    </row>
    <row r="2014" spans="9:9">
      <c r="I2014" s="151"/>
    </row>
    <row r="2015" spans="9:9">
      <c r="I2015" s="151"/>
    </row>
    <row r="2016" spans="9:9">
      <c r="I2016" s="151"/>
    </row>
    <row r="2017" spans="9:9">
      <c r="I2017" s="151"/>
    </row>
    <row r="2018" spans="9:9">
      <c r="I2018" s="151"/>
    </row>
    <row r="2019" spans="9:9">
      <c r="I2019" s="151"/>
    </row>
    <row r="2020" spans="9:9">
      <c r="I2020" s="151"/>
    </row>
    <row r="2021" spans="9:9">
      <c r="I2021" s="151"/>
    </row>
    <row r="2022" spans="9:9">
      <c r="I2022" s="151"/>
    </row>
    <row r="2023" spans="9:9">
      <c r="I2023" s="151"/>
    </row>
    <row r="2024" spans="9:9">
      <c r="I2024" s="151"/>
    </row>
    <row r="2025" spans="9:9">
      <c r="I2025" s="151"/>
    </row>
    <row r="2026" spans="9:9">
      <c r="I2026" s="151"/>
    </row>
    <row r="2027" spans="9:9">
      <c r="I2027" s="151"/>
    </row>
    <row r="2028" spans="9:9">
      <c r="I2028" s="151"/>
    </row>
    <row r="2029" spans="9:9">
      <c r="I2029" s="151"/>
    </row>
    <row r="2030" spans="9:9">
      <c r="I2030" s="151"/>
    </row>
    <row r="2031" spans="9:9">
      <c r="I2031" s="151"/>
    </row>
    <row r="2032" spans="9:9">
      <c r="I2032" s="151"/>
    </row>
    <row r="2033" spans="9:9">
      <c r="I2033" s="151"/>
    </row>
    <row r="2034" spans="9:9">
      <c r="I2034" s="151"/>
    </row>
    <row r="2035" spans="9:9">
      <c r="I2035" s="151"/>
    </row>
    <row r="2036" spans="9:9">
      <c r="I2036" s="151"/>
    </row>
    <row r="2037" spans="9:9">
      <c r="I2037" s="151"/>
    </row>
    <row r="2038" spans="9:9">
      <c r="I2038" s="151"/>
    </row>
    <row r="2039" spans="9:9">
      <c r="I2039" s="151"/>
    </row>
    <row r="2040" spans="9:9">
      <c r="I2040" s="151"/>
    </row>
    <row r="2041" spans="9:9">
      <c r="I2041" s="151"/>
    </row>
    <row r="2042" spans="9:9">
      <c r="I2042" s="151"/>
    </row>
    <row r="2043" spans="9:9">
      <c r="I2043" s="151"/>
    </row>
    <row r="2044" spans="9:9">
      <c r="I2044" s="151"/>
    </row>
    <row r="2045" spans="9:9">
      <c r="I2045" s="151"/>
    </row>
    <row r="2046" spans="9:9">
      <c r="I2046" s="151"/>
    </row>
    <row r="2047" spans="9:9">
      <c r="I2047" s="151"/>
    </row>
    <row r="2048" spans="9:9">
      <c r="I2048" s="151"/>
    </row>
    <row r="2049" spans="9:9">
      <c r="I2049" s="151"/>
    </row>
    <row r="2050" spans="9:9">
      <c r="I2050" s="151"/>
    </row>
    <row r="2051" spans="9:9">
      <c r="I2051" s="151"/>
    </row>
    <row r="2052" spans="9:9">
      <c r="I2052" s="151"/>
    </row>
    <row r="2053" spans="9:9">
      <c r="I2053" s="151"/>
    </row>
    <row r="2054" spans="9:9">
      <c r="I2054" s="151"/>
    </row>
    <row r="2055" spans="9:9">
      <c r="I2055" s="151"/>
    </row>
    <row r="2056" spans="9:9">
      <c r="I2056" s="151"/>
    </row>
    <row r="2057" spans="9:9">
      <c r="I2057" s="151"/>
    </row>
    <row r="2058" spans="9:9">
      <c r="I2058" s="151"/>
    </row>
    <row r="2059" spans="9:9">
      <c r="I2059" s="151"/>
    </row>
    <row r="2060" spans="9:9">
      <c r="I2060" s="151"/>
    </row>
    <row r="2061" spans="9:9">
      <c r="I2061" s="151"/>
    </row>
    <row r="2062" spans="9:9">
      <c r="I2062" s="151"/>
    </row>
    <row r="2063" spans="9:9">
      <c r="I2063" s="151"/>
    </row>
    <row r="2064" spans="9:9">
      <c r="I2064" s="151"/>
    </row>
    <row r="2065" spans="9:9">
      <c r="I2065" s="151"/>
    </row>
    <row r="2066" spans="9:9">
      <c r="I2066" s="151"/>
    </row>
    <row r="2067" spans="9:9">
      <c r="I2067" s="151"/>
    </row>
    <row r="2068" spans="9:9">
      <c r="I2068" s="151"/>
    </row>
    <row r="2069" spans="9:9">
      <c r="I2069" s="151"/>
    </row>
    <row r="2070" spans="9:9">
      <c r="I2070" s="151"/>
    </row>
    <row r="2071" spans="9:9">
      <c r="I2071" s="151"/>
    </row>
    <row r="2072" spans="9:9">
      <c r="I2072" s="151"/>
    </row>
    <row r="2073" spans="9:9">
      <c r="I2073" s="151"/>
    </row>
    <row r="2074" spans="9:9">
      <c r="I2074" s="151"/>
    </row>
    <row r="2075" spans="9:9">
      <c r="I2075" s="151"/>
    </row>
    <row r="2076" spans="9:9">
      <c r="I2076" s="151"/>
    </row>
    <row r="2077" spans="9:9">
      <c r="I2077" s="151"/>
    </row>
    <row r="2078" spans="9:9">
      <c r="I2078" s="151"/>
    </row>
    <row r="2079" spans="9:9">
      <c r="I2079" s="151"/>
    </row>
    <row r="2080" spans="9:9">
      <c r="I2080" s="151"/>
    </row>
    <row r="2081" spans="9:9">
      <c r="I2081" s="151"/>
    </row>
    <row r="2082" spans="9:9">
      <c r="I2082" s="151"/>
    </row>
    <row r="2083" spans="9:9">
      <c r="I2083" s="151"/>
    </row>
    <row r="2084" spans="9:9">
      <c r="I2084" s="151"/>
    </row>
    <row r="2085" spans="9:9">
      <c r="I2085" s="151"/>
    </row>
    <row r="2086" spans="9:9">
      <c r="I2086" s="151"/>
    </row>
    <row r="2087" spans="9:9">
      <c r="I2087" s="151"/>
    </row>
    <row r="2088" spans="9:9">
      <c r="I2088" s="151"/>
    </row>
    <row r="2089" spans="9:9">
      <c r="I2089" s="151"/>
    </row>
  </sheetData>
  <mergeCells count="3">
    <mergeCell ref="C11:E11"/>
    <mergeCell ref="C12:E12"/>
    <mergeCell ref="K9:U9"/>
  </mergeCells>
  <phoneticPr fontId="9" type="noConversion"/>
  <pageMargins left="0.6" right="0.25" top="1" bottom="0.4" header="0.5" footer="0.5"/>
  <pageSetup scale="44" orientation="landscape" r:id="rId1"/>
  <headerFooter alignWithMargins="0"/>
  <rowBreaks count="5" manualBreakCount="5">
    <brk id="78" min="2" max="32" man="1"/>
    <brk id="144" min="2" max="32" man="1"/>
    <brk id="264" min="2" max="32" man="1"/>
    <brk id="334" min="2" max="32" man="1"/>
    <brk id="418" min="2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T178"/>
  <sheetViews>
    <sheetView workbookViewId="0">
      <selection activeCell="A7" sqref="A7"/>
    </sheetView>
  </sheetViews>
  <sheetFormatPr defaultRowHeight="15"/>
  <cols>
    <col min="1" max="1" width="15.44140625" customWidth="1"/>
    <col min="3" max="3" width="6.109375" customWidth="1"/>
    <col min="4" max="4" width="13.5546875" bestFit="1" customWidth="1"/>
    <col min="5" max="5" width="1.44140625" customWidth="1"/>
    <col min="6" max="6" width="13.5546875" bestFit="1" customWidth="1"/>
    <col min="7" max="7" width="1.33203125" customWidth="1"/>
    <col min="8" max="8" width="13.109375" bestFit="1" customWidth="1"/>
    <col min="9" max="9" width="1.33203125" customWidth="1"/>
    <col min="10" max="10" width="12.21875" bestFit="1" customWidth="1"/>
    <col min="11" max="11" width="1.77734375" customWidth="1"/>
    <col min="12" max="12" width="12.21875" style="29" bestFit="1" customWidth="1"/>
    <col min="13" max="13" width="1.33203125" style="29" customWidth="1"/>
    <col min="14" max="14" width="12.21875" style="29" bestFit="1" customWidth="1"/>
    <col min="15" max="15" width="1.109375" style="29" customWidth="1"/>
    <col min="16" max="16" width="12.21875" style="29" bestFit="1" customWidth="1"/>
    <col min="17" max="17" width="9" bestFit="1" customWidth="1"/>
    <col min="18" max="18" width="9.77734375" bestFit="1" customWidth="1"/>
  </cols>
  <sheetData>
    <row r="1" spans="1:20" ht="16.5" thickBot="1">
      <c r="A1" s="412" t="s">
        <v>549</v>
      </c>
      <c r="B1" s="410"/>
      <c r="C1" s="410"/>
      <c r="D1" s="410"/>
      <c r="E1" s="410"/>
      <c r="F1" s="410"/>
      <c r="G1" s="410"/>
      <c r="H1" s="410"/>
      <c r="I1" s="410"/>
    </row>
    <row r="2" spans="1:20" ht="17.25" thickTop="1" thickBot="1">
      <c r="A2" s="411" t="s">
        <v>550</v>
      </c>
      <c r="B2" s="410"/>
      <c r="C2" s="413">
        <v>2</v>
      </c>
    </row>
    <row r="3" spans="1:20" ht="15.75" thickTop="1"/>
    <row r="4" spans="1:20">
      <c r="A4" s="11" t="s">
        <v>274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30"/>
      <c r="N4" s="67" t="s">
        <v>17</v>
      </c>
      <c r="O4" s="67"/>
      <c r="P4" s="67"/>
      <c r="Q4" s="11"/>
      <c r="R4" s="11"/>
      <c r="S4" s="11"/>
      <c r="T4" s="11"/>
    </row>
    <row r="5" spans="1:20">
      <c r="A5" s="52">
        <f ca="1">NOW()</f>
        <v>43851.450296643518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0"/>
      <c r="N5" s="11"/>
      <c r="O5" s="11"/>
      <c r="P5" s="11"/>
      <c r="Q5" s="11"/>
      <c r="R5" s="11"/>
      <c r="S5" s="11"/>
      <c r="T5" s="11"/>
    </row>
    <row r="6" spans="1:20" ht="15.75">
      <c r="A6" s="92" t="str">
        <f>IF($C$2=1,"make sure cell C2 = 2 for Proposed ROR", "OK")</f>
        <v>OK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30"/>
      <c r="N6" s="11"/>
      <c r="O6" s="11"/>
      <c r="P6" s="11"/>
      <c r="Q6" s="11"/>
      <c r="R6" s="11"/>
      <c r="S6" s="11"/>
      <c r="T6" s="11"/>
    </row>
    <row r="7" spans="1:20">
      <c r="A7" s="55" t="s">
        <v>826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92"/>
      <c r="N7" s="54"/>
      <c r="O7" s="54"/>
      <c r="P7" s="54"/>
      <c r="Q7" s="11"/>
      <c r="R7" s="11"/>
      <c r="S7" s="11"/>
      <c r="T7" s="11"/>
    </row>
    <row r="8" spans="1:20" ht="15.75">
      <c r="A8" s="96"/>
      <c r="B8" s="54"/>
      <c r="C8" s="54"/>
      <c r="D8" s="54"/>
      <c r="E8" s="54"/>
      <c r="F8" s="54"/>
      <c r="G8" s="54"/>
      <c r="H8" s="54"/>
      <c r="I8" s="54"/>
      <c r="J8" s="54"/>
      <c r="K8" s="97"/>
      <c r="L8" s="54"/>
      <c r="M8" s="192"/>
      <c r="N8" s="54"/>
      <c r="O8" s="54"/>
      <c r="P8" s="54"/>
      <c r="Q8" s="11"/>
      <c r="R8" s="11"/>
      <c r="S8" s="11" t="s">
        <v>832</v>
      </c>
      <c r="T8" s="11"/>
    </row>
    <row r="9" spans="1:20">
      <c r="A9" s="55" t="s">
        <v>18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91"/>
      <c r="N9" s="55"/>
      <c r="O9" s="55"/>
      <c r="P9" s="55"/>
      <c r="Q9" s="11"/>
      <c r="R9" s="11"/>
      <c r="S9" s="11"/>
      <c r="T9" s="11"/>
    </row>
    <row r="10" spans="1:20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191"/>
      <c r="N10" s="55"/>
      <c r="O10" s="55"/>
      <c r="P10" s="55"/>
      <c r="Q10" s="11"/>
      <c r="R10" s="11"/>
      <c r="S10" s="11"/>
      <c r="T10" s="11"/>
    </row>
    <row r="11" spans="1:20">
      <c r="A11" s="232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191"/>
      <c r="N11" s="55"/>
      <c r="O11" s="55"/>
      <c r="P11" s="55"/>
      <c r="Q11" s="11"/>
      <c r="R11" s="11"/>
      <c r="S11" s="11"/>
      <c r="T11" s="11"/>
    </row>
    <row r="12" spans="1:20">
      <c r="A12" s="34"/>
      <c r="B12" s="34"/>
      <c r="C12" s="34"/>
      <c r="D12" s="34"/>
      <c r="E12" s="34"/>
      <c r="F12" s="34"/>
      <c r="G12" s="34"/>
      <c r="H12" s="60"/>
      <c r="I12" s="34"/>
      <c r="J12" s="60"/>
      <c r="K12" s="34"/>
      <c r="L12" s="60"/>
      <c r="M12" s="128"/>
      <c r="N12" s="60"/>
      <c r="O12" s="397"/>
      <c r="P12" s="384"/>
      <c r="Q12" s="11"/>
      <c r="R12" s="11"/>
      <c r="S12" s="11"/>
      <c r="T12" s="11"/>
    </row>
    <row r="13" spans="1:20">
      <c r="A13" s="34"/>
      <c r="B13" s="34"/>
      <c r="C13" s="34"/>
      <c r="D13" s="60" t="s">
        <v>211</v>
      </c>
      <c r="E13" s="34"/>
      <c r="F13" s="60"/>
      <c r="G13" s="34"/>
      <c r="H13" s="60"/>
      <c r="I13" s="34"/>
      <c r="J13" s="60"/>
      <c r="K13" s="34"/>
      <c r="L13" s="60"/>
      <c r="M13" s="128"/>
      <c r="N13" s="60"/>
      <c r="O13" s="397"/>
      <c r="P13" s="384"/>
      <c r="Q13" s="11"/>
      <c r="R13" s="11"/>
      <c r="S13" s="11"/>
      <c r="T13" s="11"/>
    </row>
    <row r="14" spans="1:20">
      <c r="A14" s="55" t="s">
        <v>20</v>
      </c>
      <c r="B14" s="55"/>
      <c r="C14" s="34"/>
      <c r="D14" s="60" t="s">
        <v>168</v>
      </c>
      <c r="E14" s="34"/>
      <c r="F14" s="60" t="s">
        <v>314</v>
      </c>
      <c r="G14" s="34"/>
      <c r="H14" s="60" t="s">
        <v>310</v>
      </c>
      <c r="I14" s="34"/>
      <c r="J14" s="60" t="s">
        <v>311</v>
      </c>
      <c r="K14" s="34"/>
      <c r="L14" s="60" t="s">
        <v>312</v>
      </c>
      <c r="M14" s="128"/>
      <c r="N14" s="60" t="s">
        <v>453</v>
      </c>
      <c r="O14" s="397"/>
      <c r="P14" s="384" t="s">
        <v>414</v>
      </c>
      <c r="Q14" s="11"/>
      <c r="R14" s="11"/>
      <c r="S14" s="11"/>
      <c r="T14" s="11"/>
    </row>
    <row r="15" spans="1:20">
      <c r="A15" s="56" t="s">
        <v>170</v>
      </c>
      <c r="B15" s="56"/>
      <c r="C15" s="34"/>
      <c r="D15" s="59" t="s">
        <v>178</v>
      </c>
      <c r="E15" s="34"/>
      <c r="F15" s="59" t="s">
        <v>191</v>
      </c>
      <c r="G15" s="34"/>
      <c r="H15" s="59" t="s">
        <v>187</v>
      </c>
      <c r="I15" s="34"/>
      <c r="J15" s="59" t="s">
        <v>198</v>
      </c>
      <c r="K15" s="34"/>
      <c r="L15" s="59" t="s">
        <v>194</v>
      </c>
      <c r="M15" s="128"/>
      <c r="N15" s="82">
        <f>+L15-1</f>
        <v>-7</v>
      </c>
      <c r="O15" s="82"/>
      <c r="P15" s="82">
        <v>-8</v>
      </c>
      <c r="Q15" s="11"/>
      <c r="R15" s="11"/>
      <c r="S15" s="11"/>
      <c r="T15" s="11"/>
    </row>
    <row r="16" spans="1:20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42"/>
      <c r="N16" s="34"/>
      <c r="O16" s="34"/>
      <c r="P16" s="34"/>
      <c r="Q16" s="11"/>
      <c r="R16" s="11"/>
      <c r="S16" s="11"/>
      <c r="T16" s="11"/>
    </row>
    <row r="17" spans="1:20">
      <c r="A17" s="34" t="s">
        <v>148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42"/>
      <c r="N17" s="34"/>
      <c r="O17" s="34"/>
      <c r="P17" s="34"/>
      <c r="Q17" s="11"/>
      <c r="R17" s="11"/>
      <c r="S17" s="11"/>
      <c r="T17" s="11"/>
    </row>
    <row r="18" spans="1:20">
      <c r="A18" s="34" t="s">
        <v>21</v>
      </c>
      <c r="B18" s="34"/>
      <c r="C18" s="34"/>
      <c r="D18" s="299">
        <f>SUM(F18:P18)</f>
        <v>656483418.32098985</v>
      </c>
      <c r="E18" s="34"/>
      <c r="F18" s="84">
        <f>+Sched.A!L16</f>
        <v>388362568.62332052</v>
      </c>
      <c r="G18" s="34"/>
      <c r="H18" s="84">
        <f>+Sched.A!L18</f>
        <v>141876205.84222966</v>
      </c>
      <c r="I18" s="34"/>
      <c r="J18" s="84">
        <f>+Sched.A!L20</f>
        <v>34595077.278633557</v>
      </c>
      <c r="K18" s="34"/>
      <c r="L18" s="84">
        <f>+Sched.A!L22</f>
        <v>38351108.576806046</v>
      </c>
      <c r="M18" s="34"/>
      <c r="N18" s="84">
        <f>+Sched.A!L24</f>
        <v>29856105</v>
      </c>
      <c r="O18" s="84"/>
      <c r="P18" s="84">
        <f>+Sched.A!L26</f>
        <v>23442353</v>
      </c>
      <c r="Q18" s="11">
        <f t="shared" ref="Q18:Q36" si="0">+D18-SUM(F18:P18)</f>
        <v>0</v>
      </c>
      <c r="R18" s="11"/>
      <c r="S18" s="11"/>
      <c r="T18" s="11"/>
    </row>
    <row r="19" spans="1:20">
      <c r="A19" s="34" t="s">
        <v>22</v>
      </c>
      <c r="B19" s="34"/>
      <c r="C19" s="34"/>
      <c r="D19" s="25">
        <f>SUM(F19:P19)</f>
        <v>6297000</v>
      </c>
      <c r="E19" s="25"/>
      <c r="F19" s="25">
        <f>+Alloc!K258+Alloc!W258</f>
        <v>4056374</v>
      </c>
      <c r="G19" s="25"/>
      <c r="H19" s="25">
        <f>+Alloc!M258+Alloc!Y258</f>
        <v>1513424</v>
      </c>
      <c r="I19" s="25"/>
      <c r="J19" s="25">
        <f>+Alloc!O258+Alloc!AA258</f>
        <v>245086</v>
      </c>
      <c r="K19" s="25"/>
      <c r="L19" s="25">
        <f>+Alloc!Q258+Alloc!AC258</f>
        <v>208031</v>
      </c>
      <c r="M19" s="25"/>
      <c r="N19" s="25">
        <f>+Alloc!S258+Alloc!AE258</f>
        <v>115693</v>
      </c>
      <c r="O19" s="25"/>
      <c r="P19" s="205">
        <f>+Alloc!U258+Alloc!AG258</f>
        <v>158392</v>
      </c>
      <c r="Q19" s="11">
        <f t="shared" si="0"/>
        <v>0</v>
      </c>
      <c r="R19" s="11"/>
      <c r="S19" s="11"/>
      <c r="T19" s="11"/>
    </row>
    <row r="20" spans="1:20">
      <c r="A20" s="34"/>
      <c r="B20" s="34"/>
      <c r="C20" s="34"/>
      <c r="D20" s="83"/>
      <c r="E20" s="25"/>
      <c r="F20" s="83"/>
      <c r="G20" s="25"/>
      <c r="H20" s="83"/>
      <c r="I20" s="25"/>
      <c r="J20" s="83"/>
      <c r="K20" s="25"/>
      <c r="L20" s="83"/>
      <c r="M20" s="199"/>
      <c r="N20" s="83"/>
      <c r="O20" s="199"/>
      <c r="P20" s="199"/>
      <c r="Q20" s="11">
        <f t="shared" si="0"/>
        <v>0</v>
      </c>
      <c r="R20" s="11"/>
      <c r="S20" s="11"/>
      <c r="T20" s="11"/>
    </row>
    <row r="21" spans="1:20">
      <c r="A21" s="34" t="s">
        <v>23</v>
      </c>
      <c r="B21" s="34"/>
      <c r="C21" s="34"/>
      <c r="D21" s="25">
        <f>D19+D18</f>
        <v>662780418.32098985</v>
      </c>
      <c r="E21" s="25"/>
      <c r="F21" s="25">
        <f>F19+F18</f>
        <v>392418942.62332052</v>
      </c>
      <c r="G21" s="25"/>
      <c r="H21" s="25">
        <f>H19+H18</f>
        <v>143389629.84222966</v>
      </c>
      <c r="I21" s="25"/>
      <c r="J21" s="25">
        <f>J19+J18</f>
        <v>34840163.278633557</v>
      </c>
      <c r="K21" s="25"/>
      <c r="L21" s="25">
        <f>L19+L18</f>
        <v>38559139.576806046</v>
      </c>
      <c r="M21" s="25"/>
      <c r="N21" s="25">
        <f>N19+N18</f>
        <v>29971798</v>
      </c>
      <c r="O21" s="25"/>
      <c r="P21" s="25">
        <f t="shared" ref="P21" si="1">P19+P18</f>
        <v>23600745</v>
      </c>
      <c r="Q21" s="11">
        <f t="shared" si="0"/>
        <v>0</v>
      </c>
      <c r="R21" s="11"/>
      <c r="S21" s="11"/>
      <c r="T21" s="11"/>
    </row>
    <row r="22" spans="1:20">
      <c r="A22" s="34"/>
      <c r="B22" s="34"/>
      <c r="C22" s="34"/>
      <c r="D22" s="25"/>
      <c r="E22" s="25"/>
      <c r="F22" s="25"/>
      <c r="G22" s="25"/>
      <c r="H22" s="25"/>
      <c r="I22" s="25"/>
      <c r="J22" s="25"/>
      <c r="K22" s="25"/>
      <c r="L22" s="25"/>
      <c r="M22" s="199"/>
      <c r="N22" s="25"/>
      <c r="O22" s="25"/>
      <c r="P22" s="25"/>
      <c r="Q22" s="11">
        <f t="shared" si="0"/>
        <v>0</v>
      </c>
      <c r="R22" s="11"/>
      <c r="S22" s="11"/>
      <c r="T22" s="11"/>
    </row>
    <row r="23" spans="1:20">
      <c r="A23" s="34" t="s">
        <v>24</v>
      </c>
      <c r="B23" s="34"/>
      <c r="C23" s="34"/>
      <c r="D23" s="25">
        <f>SUM(F23:P23)</f>
        <v>405205955.59304434</v>
      </c>
      <c r="E23" s="25"/>
      <c r="F23" s="25">
        <f>+Alloc!K$244+Alloc!W$244</f>
        <v>276897209.23524535</v>
      </c>
      <c r="G23" s="25"/>
      <c r="H23" s="25">
        <f>+Alloc!M244+Alloc!Y244</f>
        <v>74755983.706806019</v>
      </c>
      <c r="I23" s="25"/>
      <c r="J23" s="25">
        <f>+Alloc!O244+Alloc!AA244</f>
        <v>15083059.971979631</v>
      </c>
      <c r="K23" s="25"/>
      <c r="L23" s="25">
        <f>+Alloc!Q244+Alloc!AC244</f>
        <v>15117285.679013364</v>
      </c>
      <c r="M23" s="25"/>
      <c r="N23" s="25">
        <f>+Alloc!S244+Alloc!AE244</f>
        <v>14803792</v>
      </c>
      <c r="O23" s="25"/>
      <c r="P23" s="205">
        <f>+Alloc!U244+Alloc!AG244</f>
        <v>8548625</v>
      </c>
      <c r="Q23" s="11">
        <f t="shared" si="0"/>
        <v>0</v>
      </c>
      <c r="R23" s="11"/>
      <c r="S23" s="11"/>
      <c r="T23" s="11"/>
    </row>
    <row r="24" spans="1:20">
      <c r="A24" s="34"/>
      <c r="B24" s="34"/>
      <c r="C24" s="34"/>
      <c r="D24" s="83"/>
      <c r="E24" s="25"/>
      <c r="F24" s="83"/>
      <c r="G24" s="25"/>
      <c r="H24" s="83"/>
      <c r="I24" s="25"/>
      <c r="J24" s="83"/>
      <c r="K24" s="25"/>
      <c r="L24" s="83"/>
      <c r="M24" s="199"/>
      <c r="N24" s="83"/>
      <c r="O24" s="83"/>
      <c r="P24" s="199"/>
      <c r="Q24" s="11">
        <f t="shared" si="0"/>
        <v>0</v>
      </c>
      <c r="R24" s="11"/>
      <c r="S24" s="11"/>
      <c r="T24" s="11"/>
    </row>
    <row r="25" spans="1:20">
      <c r="A25" s="34" t="s">
        <v>25</v>
      </c>
      <c r="B25" s="34"/>
      <c r="C25" s="34"/>
      <c r="D25" s="25">
        <f>D21-D23</f>
        <v>257574462.72794551</v>
      </c>
      <c r="E25" s="34"/>
      <c r="F25" s="25">
        <f>F21-F23</f>
        <v>115521733.38807517</v>
      </c>
      <c r="G25" s="34"/>
      <c r="H25" s="25">
        <f>H21-H23</f>
        <v>68633646.135423645</v>
      </c>
      <c r="I25" s="34"/>
      <c r="J25" s="25">
        <f>J21-J23</f>
        <v>19757103.306653924</v>
      </c>
      <c r="K25" s="34"/>
      <c r="L25" s="25">
        <f>L21-L23</f>
        <v>23441853.897792682</v>
      </c>
      <c r="M25" s="34"/>
      <c r="N25" s="25">
        <f>N21-N23</f>
        <v>15168006</v>
      </c>
      <c r="O25" s="25"/>
      <c r="P25" s="25">
        <f t="shared" ref="P25" si="2">P21-P23</f>
        <v>15052120</v>
      </c>
      <c r="Q25" s="11">
        <f t="shared" si="0"/>
        <v>0</v>
      </c>
      <c r="R25" s="11"/>
      <c r="S25" s="11"/>
      <c r="T25" s="11"/>
    </row>
    <row r="26" spans="1:20">
      <c r="A26" s="34"/>
      <c r="B26" s="34"/>
      <c r="C26" s="34"/>
      <c r="D26" s="25"/>
      <c r="E26" s="25"/>
      <c r="F26" s="25"/>
      <c r="G26" s="25"/>
      <c r="H26" s="25"/>
      <c r="I26" s="25"/>
      <c r="J26" s="25"/>
      <c r="K26" s="25"/>
      <c r="L26" s="25"/>
      <c r="M26" s="199"/>
      <c r="N26" s="25"/>
      <c r="O26" s="25"/>
      <c r="P26" s="25"/>
      <c r="Q26" s="11">
        <f t="shared" si="0"/>
        <v>0</v>
      </c>
      <c r="R26" s="11"/>
      <c r="S26" s="11"/>
      <c r="T26" s="11"/>
    </row>
    <row r="27" spans="1:20" s="104" customFormat="1">
      <c r="A27" s="217" t="s">
        <v>26</v>
      </c>
      <c r="B27" s="217"/>
      <c r="C27" s="217"/>
      <c r="D27" s="215">
        <f>-'[2]D-33'!$M$17*1000</f>
        <v>55213000</v>
      </c>
      <c r="E27" s="215"/>
      <c r="F27" s="215">
        <f>ROUND(F43*$D27,0)</f>
        <v>33105715</v>
      </c>
      <c r="G27" s="215"/>
      <c r="H27" s="215">
        <f>ROUND(H43*$D27,0)</f>
        <v>12594085</v>
      </c>
      <c r="I27" s="215"/>
      <c r="J27" s="215">
        <f>ROUND(J43*$D27,0)</f>
        <v>2871076</v>
      </c>
      <c r="K27" s="215"/>
      <c r="L27" s="215">
        <f>ROUND(L43*$D27,0)</f>
        <v>3097449</v>
      </c>
      <c r="M27" s="215"/>
      <c r="N27" s="215">
        <f>ROUND(N43*$D27,0)</f>
        <v>2009753</v>
      </c>
      <c r="O27" s="215"/>
      <c r="P27" s="215">
        <f t="shared" ref="P27" si="3">ROUND(P43*$D27,0)</f>
        <v>1534921</v>
      </c>
      <c r="Q27" s="11">
        <f t="shared" si="0"/>
        <v>1</v>
      </c>
      <c r="R27" s="222"/>
      <c r="S27" s="222" t="s">
        <v>809</v>
      </c>
      <c r="T27" s="222"/>
    </row>
    <row r="28" spans="1:20">
      <c r="A28" s="34"/>
      <c r="B28" s="34"/>
      <c r="C28" s="34"/>
      <c r="D28" s="83"/>
      <c r="E28" s="25"/>
      <c r="F28" s="83"/>
      <c r="G28" s="25"/>
      <c r="H28" s="83"/>
      <c r="I28" s="25"/>
      <c r="J28" s="83"/>
      <c r="K28" s="25"/>
      <c r="L28" s="83"/>
      <c r="M28" s="199"/>
      <c r="N28" s="83"/>
      <c r="O28" s="83"/>
      <c r="P28" s="83"/>
      <c r="Q28" s="11">
        <f t="shared" si="0"/>
        <v>0</v>
      </c>
      <c r="R28" s="11"/>
      <c r="S28" s="11"/>
      <c r="T28" s="11"/>
    </row>
    <row r="29" spans="1:20">
      <c r="A29" s="34" t="s">
        <v>27</v>
      </c>
      <c r="B29" s="34"/>
      <c r="C29" s="34"/>
      <c r="D29" s="25">
        <f>D25-D27</f>
        <v>202361462.72794551</v>
      </c>
      <c r="E29" s="25"/>
      <c r="F29" s="25">
        <f>F25-F27</f>
        <v>82416018.388075173</v>
      </c>
      <c r="G29" s="25"/>
      <c r="H29" s="25">
        <f>H25-H27</f>
        <v>56039561.135423645</v>
      </c>
      <c r="I29" s="25"/>
      <c r="J29" s="25">
        <f>J25-J27</f>
        <v>16886027.306653924</v>
      </c>
      <c r="K29" s="25"/>
      <c r="L29" s="25">
        <f>L25-L27</f>
        <v>20344404.897792682</v>
      </c>
      <c r="M29" s="25"/>
      <c r="N29" s="25">
        <f>N25-N27</f>
        <v>13158253</v>
      </c>
      <c r="O29" s="25"/>
      <c r="P29" s="25">
        <f t="shared" ref="P29" si="4">P25-P27</f>
        <v>13517199</v>
      </c>
      <c r="Q29" s="11">
        <f t="shared" si="0"/>
        <v>-0.99999994039535522</v>
      </c>
      <c r="R29" s="11"/>
      <c r="S29" s="11"/>
      <c r="T29" s="11"/>
    </row>
    <row r="30" spans="1:20">
      <c r="A30" s="34"/>
      <c r="B30" s="34"/>
      <c r="C30" s="3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1">
        <f t="shared" si="0"/>
        <v>0</v>
      </c>
      <c r="R30" s="11"/>
      <c r="S30" s="11"/>
      <c r="T30" s="11"/>
    </row>
    <row r="31" spans="1:20">
      <c r="A31" s="34" t="s">
        <v>28</v>
      </c>
      <c r="B31" s="34"/>
      <c r="C31" s="34"/>
      <c r="D31" s="25">
        <f>+Alloc!B246*1000</f>
        <v>49616000</v>
      </c>
      <c r="E31" s="25"/>
      <c r="F31" s="25">
        <f>ROUND(+F44*$D31,0)</f>
        <v>20213558</v>
      </c>
      <c r="G31" s="25"/>
      <c r="H31" s="85">
        <f>ROUND(+H44*$D31,0)</f>
        <v>13738670</v>
      </c>
      <c r="I31" s="25"/>
      <c r="J31" s="25">
        <f>ROUND(+J44*$D31,0)</f>
        <v>4137974</v>
      </c>
      <c r="K31" s="25"/>
      <c r="L31" s="25">
        <f>ROUND(+L44*$D31,0)</f>
        <v>4986408</v>
      </c>
      <c r="M31" s="25"/>
      <c r="N31" s="25">
        <f>ROUND(+N44*$D31,0)</f>
        <v>3225040</v>
      </c>
      <c r="O31" s="25"/>
      <c r="P31" s="25">
        <f t="shared" ref="P31" si="5">ROUND(+P44*$D31,0)</f>
        <v>3314349</v>
      </c>
      <c r="Q31" s="11">
        <f t="shared" si="0"/>
        <v>1</v>
      </c>
      <c r="R31" s="11"/>
      <c r="S31" s="11"/>
      <c r="T31" s="11"/>
    </row>
    <row r="32" spans="1:20">
      <c r="A32" s="34"/>
      <c r="B32" s="34"/>
      <c r="C32" s="34"/>
      <c r="D32" s="23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11">
        <f t="shared" si="0"/>
        <v>0</v>
      </c>
      <c r="R32" s="11"/>
      <c r="S32" s="11"/>
      <c r="T32" s="11"/>
    </row>
    <row r="33" spans="1:20">
      <c r="A33" s="34" t="s">
        <v>29</v>
      </c>
      <c r="B33" s="34"/>
      <c r="C33" s="34"/>
      <c r="D33" s="25">
        <f>D25-D31</f>
        <v>207958462.72794551</v>
      </c>
      <c r="E33" s="25"/>
      <c r="F33" s="25">
        <f>F25-F31</f>
        <v>95308175.388075173</v>
      </c>
      <c r="G33" s="25"/>
      <c r="H33" s="25">
        <f>H25-H31</f>
        <v>54894976.135423645</v>
      </c>
      <c r="I33" s="25"/>
      <c r="J33" s="25">
        <f>J25-J31</f>
        <v>15619129.306653924</v>
      </c>
      <c r="K33" s="25"/>
      <c r="L33" s="25">
        <f>L25-L31</f>
        <v>18455445.897792682</v>
      </c>
      <c r="M33" s="25"/>
      <c r="N33" s="25">
        <f>N25-N31</f>
        <v>11942966</v>
      </c>
      <c r="O33" s="25"/>
      <c r="P33" s="25">
        <f t="shared" ref="P33" si="6">P25-P31</f>
        <v>11737771</v>
      </c>
      <c r="Q33" s="11">
        <f t="shared" si="0"/>
        <v>-0.99999994039535522</v>
      </c>
      <c r="R33" s="11"/>
      <c r="S33" s="11"/>
      <c r="T33" s="11"/>
    </row>
    <row r="34" spans="1:20">
      <c r="A34" s="34"/>
      <c r="B34" s="34"/>
      <c r="C34" s="34"/>
      <c r="D34" s="25"/>
      <c r="E34" s="25"/>
      <c r="F34" s="25"/>
      <c r="G34" s="25"/>
      <c r="H34" s="25"/>
      <c r="I34" s="25"/>
      <c r="J34" s="25"/>
      <c r="K34" s="25"/>
      <c r="L34" s="25"/>
      <c r="M34" s="199"/>
      <c r="N34" s="25"/>
      <c r="O34" s="25"/>
      <c r="P34" s="25"/>
      <c r="Q34" s="11">
        <f t="shared" si="0"/>
        <v>0</v>
      </c>
      <c r="R34" s="11"/>
      <c r="S34" s="11"/>
      <c r="T34" s="11"/>
    </row>
    <row r="35" spans="1:20">
      <c r="A35" s="34" t="s">
        <v>30</v>
      </c>
      <c r="B35" s="34"/>
      <c r="C35" s="34"/>
      <c r="D35" s="25"/>
      <c r="E35" s="25"/>
      <c r="F35" s="25"/>
      <c r="G35" s="25"/>
      <c r="H35" s="25"/>
      <c r="I35" s="25"/>
      <c r="J35" s="25"/>
      <c r="K35" s="25"/>
      <c r="L35" s="25"/>
      <c r="M35" s="199"/>
      <c r="N35" s="25"/>
      <c r="O35" s="25"/>
      <c r="P35" s="25"/>
      <c r="Q35" s="11">
        <f t="shared" si="0"/>
        <v>0</v>
      </c>
      <c r="R35" s="11"/>
      <c r="S35" s="11"/>
      <c r="T35" s="11"/>
    </row>
    <row r="36" spans="1:20">
      <c r="A36" s="34" t="s">
        <v>31</v>
      </c>
      <c r="B36" s="34"/>
      <c r="C36" s="34"/>
      <c r="D36" s="25">
        <f>SUM(F36:P36)</f>
        <v>2616718905</v>
      </c>
      <c r="E36" s="25"/>
      <c r="F36" s="25">
        <f>+Alloc!K371+Alloc!W371</f>
        <v>1569076401</v>
      </c>
      <c r="G36" s="25"/>
      <c r="H36" s="25">
        <f>+Alloc!M371+Alloc!Y371</f>
        <v>596798602</v>
      </c>
      <c r="I36" s="25"/>
      <c r="J36" s="25">
        <f>+Alloc!O371+Alloc!AA371</f>
        <v>136120966</v>
      </c>
      <c r="K36" s="25"/>
      <c r="L36" s="25">
        <f>+Alloc!Q371+Alloc!AC371</f>
        <v>146716455</v>
      </c>
      <c r="M36" s="25"/>
      <c r="N36" s="25">
        <f>+Alloc!S371+Alloc!AE371</f>
        <v>95203775</v>
      </c>
      <c r="O36" s="25"/>
      <c r="P36" s="25">
        <f>+Alloc!U371+Alloc!AG371</f>
        <v>72802706</v>
      </c>
      <c r="Q36" s="11">
        <f t="shared" si="0"/>
        <v>0</v>
      </c>
      <c r="R36" s="11"/>
      <c r="S36" s="11"/>
      <c r="T36" s="11"/>
    </row>
    <row r="37" spans="1:20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142"/>
      <c r="N37" s="34"/>
      <c r="O37" s="34"/>
      <c r="P37" s="34"/>
      <c r="Q37" s="11"/>
      <c r="R37" s="11"/>
      <c r="S37" s="11"/>
      <c r="T37" s="11"/>
    </row>
    <row r="38" spans="1:20">
      <c r="A38" s="34" t="s">
        <v>32</v>
      </c>
      <c r="B38" s="34"/>
      <c r="C38" s="34"/>
      <c r="D38" s="76">
        <f>D33/D36</f>
        <v>7.9472985168785454E-2</v>
      </c>
      <c r="E38" s="34"/>
      <c r="F38" s="76">
        <f>F33/F36</f>
        <v>6.0741577228064607E-2</v>
      </c>
      <c r="G38" s="34"/>
      <c r="H38" s="76">
        <f>H33/H36</f>
        <v>9.1982414086525702E-2</v>
      </c>
      <c r="I38" s="34"/>
      <c r="J38" s="76">
        <f>J33/J36</f>
        <v>0.11474447886781765</v>
      </c>
      <c r="K38" s="34"/>
      <c r="L38" s="76">
        <f>L33/L36</f>
        <v>0.12578988428934357</v>
      </c>
      <c r="M38" s="200"/>
      <c r="N38" s="76">
        <f>N33/N36</f>
        <v>0.12544634915999917</v>
      </c>
      <c r="O38" s="76"/>
      <c r="P38" s="76">
        <f t="shared" ref="P38" si="7">P33/P36</f>
        <v>0.16122712526647018</v>
      </c>
      <c r="Q38" s="11"/>
      <c r="R38" s="11"/>
      <c r="S38" s="11"/>
      <c r="T38" s="11"/>
    </row>
    <row r="39" spans="1:20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142"/>
      <c r="N39" s="34"/>
      <c r="O39" s="34"/>
      <c r="P39" s="34"/>
      <c r="Q39" s="11"/>
      <c r="R39" s="11"/>
      <c r="S39" s="11"/>
      <c r="T39" s="11"/>
    </row>
    <row r="40" spans="1:20">
      <c r="A40" s="34" t="s">
        <v>33</v>
      </c>
      <c r="B40" s="34"/>
      <c r="C40" s="34"/>
      <c r="D40" s="77">
        <f>D38/$D$38</f>
        <v>1</v>
      </c>
      <c r="E40" s="34"/>
      <c r="F40" s="77">
        <f>F38/$D$38</f>
        <v>0.76430471435118597</v>
      </c>
      <c r="G40" s="34"/>
      <c r="H40" s="77">
        <f>H38/$D$38</f>
        <v>1.1574047947383959</v>
      </c>
      <c r="I40" s="34"/>
      <c r="J40" s="77">
        <f>J38/$D$38</f>
        <v>1.4438174006440336</v>
      </c>
      <c r="K40" s="34"/>
      <c r="L40" s="77">
        <f>L38/$D$38</f>
        <v>1.5828005456469247</v>
      </c>
      <c r="M40" s="201"/>
      <c r="N40" s="77">
        <f>N38/$D$38</f>
        <v>1.57847788016991</v>
      </c>
      <c r="O40" s="77"/>
      <c r="P40" s="77">
        <f>P38/$D$38</f>
        <v>2.0287035264128375</v>
      </c>
      <c r="Q40" s="11"/>
      <c r="R40" s="11"/>
      <c r="S40" s="11"/>
      <c r="T40" s="11"/>
    </row>
    <row r="41" spans="1:20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142"/>
      <c r="N41" s="34"/>
      <c r="O41" s="34"/>
      <c r="P41" s="34"/>
      <c r="Q41" s="11"/>
      <c r="R41" s="11"/>
      <c r="S41" s="11"/>
      <c r="T41" s="11"/>
    </row>
    <row r="42" spans="1:20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142"/>
      <c r="N42" s="34"/>
      <c r="O42" s="34"/>
      <c r="P42" s="34"/>
      <c r="Q42" s="11"/>
      <c r="R42" s="11"/>
      <c r="S42" s="11"/>
      <c r="T42" s="11"/>
    </row>
    <row r="43" spans="1:20">
      <c r="A43" s="75" t="s">
        <v>34</v>
      </c>
      <c r="B43" s="34"/>
      <c r="C43" s="34"/>
      <c r="D43" s="34"/>
      <c r="E43" s="34"/>
      <c r="F43" s="78">
        <f>ROUND(+F36/$D36,4)</f>
        <v>0.59960000000000002</v>
      </c>
      <c r="G43" s="34"/>
      <c r="H43" s="78">
        <f>ROUND(+H36/$D36,4)</f>
        <v>0.2281</v>
      </c>
      <c r="I43" s="34"/>
      <c r="J43" s="78">
        <f>ROUND(+J36/$D36,4)</f>
        <v>5.1999999999999998E-2</v>
      </c>
      <c r="K43" s="34"/>
      <c r="L43" s="78">
        <f>ROUND(+L36/$D36,4)</f>
        <v>5.6099999999999997E-2</v>
      </c>
      <c r="M43" s="34"/>
      <c r="N43" s="78">
        <f>ROUND(+N36/$D36,4)</f>
        <v>3.6400000000000002E-2</v>
      </c>
      <c r="O43" s="78">
        <f t="shared" ref="O43" si="8">ROUND(+O36/$D36,4)</f>
        <v>0</v>
      </c>
      <c r="P43" s="78">
        <f t="shared" ref="P43" si="9">ROUND(+P36/$D36,4)</f>
        <v>2.7799999999999998E-2</v>
      </c>
      <c r="Q43" s="74">
        <f>SUM(F43:P43)</f>
        <v>1</v>
      </c>
      <c r="R43" s="11"/>
      <c r="S43" s="11"/>
      <c r="T43" s="11"/>
    </row>
    <row r="44" spans="1:20">
      <c r="A44" s="75" t="s">
        <v>35</v>
      </c>
      <c r="B44" s="34"/>
      <c r="C44" s="34"/>
      <c r="D44" s="34"/>
      <c r="E44" s="34"/>
      <c r="F44" s="78">
        <f>ROUND(+F29/$D29,4)+0.0001</f>
        <v>0.40739999999999998</v>
      </c>
      <c r="G44" s="34"/>
      <c r="H44" s="79">
        <f>ROUND(+H29/$D29,4)</f>
        <v>0.27689999999999998</v>
      </c>
      <c r="I44" s="34"/>
      <c r="J44" s="78">
        <f>ROUND(+J29/$D29,4)</f>
        <v>8.3400000000000002E-2</v>
      </c>
      <c r="K44" s="34"/>
      <c r="L44" s="78">
        <f>ROUND(+L29/$D29,4)</f>
        <v>0.10050000000000001</v>
      </c>
      <c r="M44" s="34"/>
      <c r="N44" s="78">
        <f>ROUND(+N29/$D29,4)</f>
        <v>6.5000000000000002E-2</v>
      </c>
      <c r="O44" s="78">
        <f t="shared" ref="O44" si="10">ROUND(+O29/$D29,4)</f>
        <v>0</v>
      </c>
      <c r="P44" s="78">
        <f t="shared" ref="P44" si="11">ROUND(+P29/$D29,4)</f>
        <v>6.6799999999999998E-2</v>
      </c>
      <c r="Q44" s="74">
        <f>SUM(F44:P44)</f>
        <v>1</v>
      </c>
      <c r="R44" s="11"/>
      <c r="S44" s="11"/>
      <c r="T44" s="11"/>
    </row>
    <row r="45" spans="1:20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142"/>
      <c r="N45" s="34"/>
      <c r="O45" s="34"/>
      <c r="P45" s="34"/>
      <c r="Q45" s="11"/>
      <c r="R45" s="11"/>
      <c r="S45" s="11"/>
      <c r="T45" s="11"/>
    </row>
    <row r="46" spans="1:20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30"/>
      <c r="N46" s="11"/>
      <c r="O46" s="11"/>
      <c r="P46" s="11"/>
      <c r="Q46" s="11"/>
      <c r="R46" s="11"/>
      <c r="S46" s="11"/>
      <c r="T46" s="11"/>
    </row>
    <row r="47" spans="1:20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30"/>
      <c r="N47" s="11"/>
      <c r="O47" s="11"/>
      <c r="P47" s="11"/>
      <c r="Q47" s="11"/>
      <c r="R47" s="11"/>
      <c r="S47" s="11"/>
      <c r="T47" s="11"/>
    </row>
    <row r="48" spans="1:20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30"/>
      <c r="N48" s="11"/>
      <c r="O48" s="11"/>
      <c r="P48" s="11"/>
      <c r="Q48" s="11"/>
      <c r="R48" s="11"/>
      <c r="S48" s="11"/>
      <c r="T48" s="11"/>
    </row>
    <row r="49" spans="1:20">
      <c r="A49" s="11" t="s">
        <v>274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30"/>
      <c r="N49" s="11"/>
      <c r="O49" s="11"/>
      <c r="P49" s="11"/>
      <c r="Q49" s="11"/>
      <c r="R49" s="11"/>
      <c r="S49" s="11"/>
      <c r="T49" s="11"/>
    </row>
    <row r="50" spans="1:20">
      <c r="A50" s="52">
        <f ca="1">NOW()</f>
        <v>43851.450296643518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30"/>
      <c r="N50" s="11"/>
      <c r="O50" s="11"/>
      <c r="P50" s="11"/>
      <c r="Q50" s="11"/>
      <c r="R50" s="11"/>
      <c r="S50" s="11"/>
      <c r="T50" s="11"/>
    </row>
    <row r="51" spans="1:20" ht="15.75">
      <c r="A51" s="92" t="str">
        <f>IF($C$2=2,"make sure cell C2 = 1 for Present ROR", "OK")</f>
        <v>make sure cell C2 = 1 for Present ROR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30"/>
      <c r="N51" s="11"/>
      <c r="O51" s="11"/>
      <c r="P51" s="11"/>
      <c r="Q51" s="11"/>
      <c r="R51" s="11"/>
      <c r="S51" s="11"/>
      <c r="T51" s="11"/>
    </row>
    <row r="52" spans="1:20">
      <c r="A52" s="55" t="s">
        <v>826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192"/>
      <c r="N52" s="54"/>
      <c r="O52" s="54"/>
      <c r="P52" s="54"/>
      <c r="Q52" s="11"/>
      <c r="R52" s="11"/>
      <c r="S52" s="11"/>
      <c r="T52" s="11"/>
    </row>
    <row r="53" spans="1:20" ht="15.75">
      <c r="A53" s="95"/>
      <c r="B53" s="54"/>
      <c r="C53" s="54"/>
      <c r="D53" s="54"/>
      <c r="E53" s="54"/>
      <c r="F53" s="54"/>
      <c r="G53" s="54"/>
      <c r="H53" s="54"/>
      <c r="I53" s="54"/>
      <c r="J53" s="54"/>
      <c r="K53" s="94"/>
      <c r="L53" s="54"/>
      <c r="M53" s="192"/>
      <c r="N53" s="54"/>
      <c r="O53" s="54"/>
      <c r="P53" s="54"/>
      <c r="Q53" s="11"/>
      <c r="R53" s="11"/>
      <c r="S53" s="11"/>
      <c r="T53" s="11"/>
    </row>
    <row r="54" spans="1:20">
      <c r="A54" s="55" t="s">
        <v>18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91"/>
      <c r="N54" s="55"/>
      <c r="O54" s="55"/>
      <c r="P54" s="55"/>
      <c r="Q54" s="11"/>
      <c r="R54" s="11"/>
      <c r="S54" s="11"/>
      <c r="T54" s="11"/>
    </row>
    <row r="55" spans="1:20">
      <c r="A55" s="55" t="s">
        <v>16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91"/>
      <c r="N55" s="55"/>
      <c r="O55" s="55"/>
      <c r="P55" s="55"/>
      <c r="Q55" s="11"/>
      <c r="R55" s="11"/>
      <c r="S55" s="11"/>
      <c r="T55" s="11"/>
    </row>
    <row r="56" spans="1:20">
      <c r="A56" s="23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191"/>
      <c r="N56" s="55"/>
      <c r="O56" s="55"/>
      <c r="P56" s="55"/>
      <c r="Q56" s="11"/>
      <c r="R56" s="11"/>
      <c r="S56" s="11"/>
      <c r="T56" s="11"/>
    </row>
    <row r="57" spans="1:20">
      <c r="A57" s="34"/>
      <c r="B57" s="34"/>
      <c r="C57" s="34"/>
      <c r="D57" s="34"/>
      <c r="E57" s="34"/>
      <c r="F57" s="34"/>
      <c r="G57" s="34"/>
      <c r="H57" s="60"/>
      <c r="I57" s="34"/>
      <c r="J57" s="60"/>
      <c r="K57" s="34"/>
      <c r="L57" s="60"/>
      <c r="M57" s="128"/>
      <c r="N57" s="60"/>
      <c r="O57" s="397"/>
      <c r="P57" s="384"/>
      <c r="Q57" s="11"/>
      <c r="R57" s="11"/>
      <c r="S57" s="11"/>
      <c r="T57" s="11"/>
    </row>
    <row r="58" spans="1:20">
      <c r="A58" s="34"/>
      <c r="B58" s="34"/>
      <c r="C58" s="34"/>
      <c r="D58" s="60" t="s">
        <v>211</v>
      </c>
      <c r="E58" s="34"/>
      <c r="F58" s="60"/>
      <c r="G58" s="34"/>
      <c r="H58" s="60"/>
      <c r="I58" s="34"/>
      <c r="J58" s="60"/>
      <c r="K58" s="34"/>
      <c r="L58" s="60"/>
      <c r="M58" s="128"/>
      <c r="N58" s="60"/>
      <c r="O58" s="397"/>
      <c r="P58" s="384"/>
      <c r="Q58" s="11"/>
      <c r="R58" s="11"/>
      <c r="S58" s="11"/>
      <c r="T58" s="11"/>
    </row>
    <row r="59" spans="1:20">
      <c r="A59" s="55" t="s">
        <v>20</v>
      </c>
      <c r="B59" s="55"/>
      <c r="C59" s="34"/>
      <c r="D59" s="60" t="s">
        <v>168</v>
      </c>
      <c r="E59" s="34"/>
      <c r="F59" s="60" t="s">
        <v>314</v>
      </c>
      <c r="G59" s="34"/>
      <c r="H59" s="60" t="s">
        <v>310</v>
      </c>
      <c r="I59" s="34"/>
      <c r="J59" s="60" t="s">
        <v>311</v>
      </c>
      <c r="K59" s="34"/>
      <c r="L59" s="60" t="s">
        <v>312</v>
      </c>
      <c r="M59" s="128"/>
      <c r="N59" s="60" t="s">
        <v>453</v>
      </c>
      <c r="O59" s="397"/>
      <c r="P59" s="430" t="s">
        <v>414</v>
      </c>
      <c r="Q59" s="11"/>
      <c r="R59" s="11"/>
      <c r="S59" s="11"/>
      <c r="T59" s="11"/>
    </row>
    <row r="60" spans="1:20">
      <c r="A60" s="56" t="s">
        <v>170</v>
      </c>
      <c r="B60" s="56"/>
      <c r="C60" s="34"/>
      <c r="D60" s="59" t="s">
        <v>178</v>
      </c>
      <c r="E60" s="34"/>
      <c r="F60" s="59" t="s">
        <v>191</v>
      </c>
      <c r="G60" s="34"/>
      <c r="H60" s="59" t="s">
        <v>187</v>
      </c>
      <c r="I60" s="34"/>
      <c r="J60" s="59" t="s">
        <v>198</v>
      </c>
      <c r="K60" s="34"/>
      <c r="L60" s="59" t="s">
        <v>194</v>
      </c>
      <c r="M60" s="128"/>
      <c r="N60" s="82">
        <f>+L60-1</f>
        <v>-7</v>
      </c>
      <c r="O60" s="385"/>
      <c r="P60" s="82">
        <v>-8</v>
      </c>
      <c r="Q60" s="11"/>
      <c r="R60" s="11"/>
      <c r="S60" s="11"/>
      <c r="T60" s="11"/>
    </row>
    <row r="61" spans="1:20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142"/>
      <c r="N61" s="34"/>
      <c r="O61" s="34"/>
      <c r="P61" s="34"/>
      <c r="Q61" s="11"/>
      <c r="R61" s="11"/>
      <c r="S61" s="11"/>
      <c r="T61" s="11"/>
    </row>
    <row r="62" spans="1:20">
      <c r="A62" s="34" t="s">
        <v>148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142"/>
      <c r="N62" s="34"/>
      <c r="O62" s="34"/>
      <c r="P62" s="34"/>
      <c r="Q62" s="11"/>
      <c r="R62" s="11"/>
      <c r="S62" s="11"/>
      <c r="T62" s="11"/>
    </row>
    <row r="63" spans="1:20">
      <c r="A63" s="34" t="s">
        <v>21</v>
      </c>
      <c r="B63" s="34"/>
      <c r="C63" s="34"/>
      <c r="D63" s="298">
        <f>SUM(F63:P63)</f>
        <v>581932936.68538094</v>
      </c>
      <c r="E63" s="298"/>
      <c r="F63" s="298">
        <f>+Sched.A!H16</f>
        <v>327136118.65344608</v>
      </c>
      <c r="G63" s="298"/>
      <c r="H63" s="298">
        <f>+Sched.A!H18</f>
        <v>129248644.65573682</v>
      </c>
      <c r="I63" s="298"/>
      <c r="J63" s="298">
        <f>+Sched.A!H20</f>
        <v>33898606.799392045</v>
      </c>
      <c r="K63" s="298"/>
      <c r="L63" s="298">
        <f>+Sched.A!H22</f>
        <v>38351108.576806046</v>
      </c>
      <c r="M63" s="298"/>
      <c r="N63" s="298">
        <f>+Sched.A!H24</f>
        <v>29856105</v>
      </c>
      <c r="O63" s="298"/>
      <c r="P63" s="298">
        <f>+Sched.A!H26</f>
        <v>23442353</v>
      </c>
      <c r="Q63" s="11">
        <f t="shared" ref="Q63:Q81" si="12">SUM(F63:P63)-D63</f>
        <v>0</v>
      </c>
      <c r="R63" s="11"/>
      <c r="S63" s="11"/>
      <c r="T63" s="11"/>
    </row>
    <row r="64" spans="1:20">
      <c r="A64" s="34" t="s">
        <v>22</v>
      </c>
      <c r="B64" s="34"/>
      <c r="C64" s="34"/>
      <c r="D64" s="223">
        <f>SUM(F64:P64)</f>
        <v>6297000</v>
      </c>
      <c r="E64" s="223"/>
      <c r="F64" s="386">
        <f>+F19</f>
        <v>4056374</v>
      </c>
      <c r="G64" s="223"/>
      <c r="H64" s="386">
        <f>+H19</f>
        <v>1513424</v>
      </c>
      <c r="I64" s="223"/>
      <c r="J64" s="386">
        <f>+J19</f>
        <v>245086</v>
      </c>
      <c r="K64" s="223"/>
      <c r="L64" s="386">
        <f>+L19</f>
        <v>208031</v>
      </c>
      <c r="M64" s="223"/>
      <c r="N64" s="386">
        <f>+N19</f>
        <v>115693</v>
      </c>
      <c r="O64" s="386"/>
      <c r="P64" s="387">
        <f>+P19</f>
        <v>158392</v>
      </c>
      <c r="Q64" s="11">
        <f t="shared" si="12"/>
        <v>0</v>
      </c>
      <c r="R64" s="11"/>
      <c r="S64" s="11"/>
      <c r="T64" s="11"/>
    </row>
    <row r="65" spans="1:20">
      <c r="A65" s="34"/>
      <c r="B65" s="34"/>
      <c r="C65" s="34"/>
      <c r="D65" s="388"/>
      <c r="E65" s="223"/>
      <c r="F65" s="388"/>
      <c r="G65" s="223"/>
      <c r="H65" s="388"/>
      <c r="I65" s="223"/>
      <c r="J65" s="388"/>
      <c r="K65" s="223"/>
      <c r="L65" s="388"/>
      <c r="M65" s="389"/>
      <c r="N65" s="388"/>
      <c r="O65" s="389"/>
      <c r="P65" s="389"/>
      <c r="Q65" s="11">
        <f t="shared" si="12"/>
        <v>0</v>
      </c>
      <c r="R65" s="11"/>
      <c r="S65" s="11"/>
      <c r="T65" s="11"/>
    </row>
    <row r="66" spans="1:20">
      <c r="A66" s="34" t="s">
        <v>23</v>
      </c>
      <c r="B66" s="34"/>
      <c r="C66" s="34"/>
      <c r="D66" s="223">
        <f>D64+D63</f>
        <v>588229936.68538094</v>
      </c>
      <c r="E66" s="223"/>
      <c r="F66" s="223">
        <f>F64+F63</f>
        <v>331192492.65344608</v>
      </c>
      <c r="G66" s="223"/>
      <c r="H66" s="223">
        <f>H64+H63</f>
        <v>130762068.65573682</v>
      </c>
      <c r="I66" s="223"/>
      <c r="J66" s="223">
        <f>J64+J63</f>
        <v>34143692.799392045</v>
      </c>
      <c r="K66" s="223"/>
      <c r="L66" s="223">
        <f>L64+L63</f>
        <v>38559139.576806046</v>
      </c>
      <c r="M66" s="223"/>
      <c r="N66" s="223">
        <f>N64+N63</f>
        <v>29971798</v>
      </c>
      <c r="O66" s="223"/>
      <c r="P66" s="223">
        <f t="shared" ref="P66" si="13">P64+P63</f>
        <v>23600745</v>
      </c>
      <c r="Q66" s="11">
        <f t="shared" si="12"/>
        <v>0</v>
      </c>
      <c r="R66" s="11"/>
      <c r="S66" s="11"/>
      <c r="T66" s="11"/>
    </row>
    <row r="67" spans="1:20">
      <c r="A67" s="34"/>
      <c r="B67" s="34"/>
      <c r="C67" s="34"/>
      <c r="D67" s="223"/>
      <c r="E67" s="223"/>
      <c r="F67" s="223"/>
      <c r="G67" s="223"/>
      <c r="H67" s="223"/>
      <c r="I67" s="223"/>
      <c r="J67" s="223"/>
      <c r="K67" s="223"/>
      <c r="L67" s="223"/>
      <c r="M67" s="389"/>
      <c r="N67" s="223"/>
      <c r="O67" s="223"/>
      <c r="P67" s="223"/>
      <c r="Q67" s="11">
        <f t="shared" si="12"/>
        <v>0</v>
      </c>
      <c r="R67" s="11"/>
      <c r="S67" s="11"/>
      <c r="T67" s="11"/>
    </row>
    <row r="68" spans="1:20">
      <c r="A68" s="34" t="s">
        <v>24</v>
      </c>
      <c r="B68" s="34"/>
      <c r="C68" s="34"/>
      <c r="D68" s="223">
        <f>SUM(F68:P68)</f>
        <v>405205955.59304434</v>
      </c>
      <c r="E68" s="223"/>
      <c r="F68" s="223">
        <f>+Alloc!K$244+Alloc!W$244</f>
        <v>276897209.23524535</v>
      </c>
      <c r="G68" s="223"/>
      <c r="H68" s="223">
        <f>+H23</f>
        <v>74755983.706806019</v>
      </c>
      <c r="I68" s="223"/>
      <c r="J68" s="223">
        <f>+J23</f>
        <v>15083059.971979631</v>
      </c>
      <c r="K68" s="223"/>
      <c r="L68" s="223">
        <f>+L23</f>
        <v>15117285.679013364</v>
      </c>
      <c r="M68" s="223"/>
      <c r="N68" s="223">
        <f>+N23</f>
        <v>14803792</v>
      </c>
      <c r="O68" s="223"/>
      <c r="P68" s="223">
        <f>+P23</f>
        <v>8548625</v>
      </c>
      <c r="Q68" s="11">
        <f t="shared" si="12"/>
        <v>0</v>
      </c>
      <c r="R68" s="11"/>
      <c r="S68" s="11"/>
      <c r="T68" s="11"/>
    </row>
    <row r="69" spans="1:20">
      <c r="A69" s="34"/>
      <c r="B69" s="34"/>
      <c r="C69" s="34"/>
      <c r="D69" s="388"/>
      <c r="E69" s="223"/>
      <c r="F69" s="388"/>
      <c r="G69" s="223"/>
      <c r="H69" s="388"/>
      <c r="I69" s="223"/>
      <c r="J69" s="388"/>
      <c r="K69" s="223"/>
      <c r="L69" s="388"/>
      <c r="M69" s="389"/>
      <c r="N69" s="388"/>
      <c r="O69" s="388"/>
      <c r="P69" s="388"/>
      <c r="Q69" s="11">
        <f t="shared" si="12"/>
        <v>0</v>
      </c>
      <c r="R69" s="11"/>
      <c r="S69" s="11"/>
      <c r="T69" s="11"/>
    </row>
    <row r="70" spans="1:20">
      <c r="A70" s="34" t="s">
        <v>25</v>
      </c>
      <c r="B70" s="34"/>
      <c r="C70" s="34"/>
      <c r="D70" s="223">
        <f>D66-D68</f>
        <v>183023981.0923366</v>
      </c>
      <c r="E70" s="223"/>
      <c r="F70" s="223">
        <f>F66-F68</f>
        <v>54295283.418200731</v>
      </c>
      <c r="G70" s="223"/>
      <c r="H70" s="223">
        <f>H66-H68</f>
        <v>56006084.9489308</v>
      </c>
      <c r="I70" s="223"/>
      <c r="J70" s="223">
        <f>J66-J68</f>
        <v>19060632.827412412</v>
      </c>
      <c r="K70" s="223"/>
      <c r="L70" s="223">
        <f>L66-L68</f>
        <v>23441853.897792682</v>
      </c>
      <c r="M70" s="223"/>
      <c r="N70" s="223">
        <f>N66-N68</f>
        <v>15168006</v>
      </c>
      <c r="O70" s="223"/>
      <c r="P70" s="223">
        <f t="shared" ref="P70" si="14">P66-P68</f>
        <v>15052120</v>
      </c>
      <c r="Q70" s="11">
        <f t="shared" si="12"/>
        <v>0</v>
      </c>
      <c r="R70" s="11"/>
      <c r="S70" s="11"/>
      <c r="T70" s="11"/>
    </row>
    <row r="71" spans="1:20">
      <c r="A71" s="34"/>
      <c r="B71" s="34"/>
      <c r="C71" s="34"/>
      <c r="D71" s="223"/>
      <c r="E71" s="223"/>
      <c r="F71" s="223"/>
      <c r="G71" s="223"/>
      <c r="H71" s="223"/>
      <c r="I71" s="223"/>
      <c r="J71" s="223"/>
      <c r="K71" s="223"/>
      <c r="L71" s="223"/>
      <c r="M71" s="389"/>
      <c r="N71" s="223"/>
      <c r="O71" s="223"/>
      <c r="P71" s="223"/>
      <c r="Q71" s="11">
        <f t="shared" si="12"/>
        <v>0</v>
      </c>
      <c r="R71" s="11"/>
      <c r="S71" s="11"/>
      <c r="T71" s="11"/>
    </row>
    <row r="72" spans="1:20">
      <c r="A72" s="34" t="s">
        <v>26</v>
      </c>
      <c r="B72" s="34"/>
      <c r="C72" s="34"/>
      <c r="D72" s="223">
        <f>D27</f>
        <v>55213000</v>
      </c>
      <c r="E72" s="223"/>
      <c r="F72" s="223">
        <f>ROUND(F88*$D72,0)</f>
        <v>33111236</v>
      </c>
      <c r="G72" s="223"/>
      <c r="H72" s="223">
        <f>ROUND(H88*$D72,0)</f>
        <v>12594085</v>
      </c>
      <c r="I72" s="223"/>
      <c r="J72" s="223">
        <f>ROUND(J88*$D72,0)</f>
        <v>2871076</v>
      </c>
      <c r="K72" s="223"/>
      <c r="L72" s="223">
        <f>ROUND(L88*$D72,0)</f>
        <v>3097449</v>
      </c>
      <c r="M72" s="223"/>
      <c r="N72" s="223">
        <f>ROUND(N88*$D72,0)</f>
        <v>2009753</v>
      </c>
      <c r="O72" s="223"/>
      <c r="P72" s="223">
        <f t="shared" ref="P72" si="15">ROUND(P88*$D72,0)</f>
        <v>1534921</v>
      </c>
      <c r="Q72" s="11">
        <f t="shared" si="12"/>
        <v>5520</v>
      </c>
      <c r="R72" s="11"/>
      <c r="S72" s="11"/>
      <c r="T72" s="11"/>
    </row>
    <row r="73" spans="1:20">
      <c r="A73" s="34"/>
      <c r="B73" s="34"/>
      <c r="C73" s="34"/>
      <c r="D73" s="388"/>
      <c r="E73" s="223"/>
      <c r="F73" s="388"/>
      <c r="G73" s="223"/>
      <c r="H73" s="388"/>
      <c r="I73" s="223"/>
      <c r="J73" s="388"/>
      <c r="K73" s="223"/>
      <c r="L73" s="388"/>
      <c r="M73" s="389"/>
      <c r="N73" s="388"/>
      <c r="O73" s="388"/>
      <c r="P73" s="388"/>
      <c r="Q73" s="11">
        <f t="shared" si="12"/>
        <v>0</v>
      </c>
      <c r="R73" s="11"/>
      <c r="S73" s="11"/>
      <c r="T73" s="11"/>
    </row>
    <row r="74" spans="1:20">
      <c r="A74" s="34" t="s">
        <v>27</v>
      </c>
      <c r="B74" s="34"/>
      <c r="C74" s="34"/>
      <c r="D74" s="223">
        <f>D70-D72</f>
        <v>127810981.0923366</v>
      </c>
      <c r="E74" s="223"/>
      <c r="F74" s="223">
        <f>F70-F72</f>
        <v>21184047.418200731</v>
      </c>
      <c r="G74" s="223"/>
      <c r="H74" s="223">
        <f>H70-H72</f>
        <v>43411999.9489308</v>
      </c>
      <c r="I74" s="223"/>
      <c r="J74" s="223">
        <f>J70-J72</f>
        <v>16189556.827412412</v>
      </c>
      <c r="K74" s="223"/>
      <c r="L74" s="223">
        <f>L70-L72</f>
        <v>20344404.897792682</v>
      </c>
      <c r="M74" s="223"/>
      <c r="N74" s="223">
        <f>N70-N72</f>
        <v>13158253</v>
      </c>
      <c r="O74" s="223"/>
      <c r="P74" s="223">
        <f t="shared" ref="P74" si="16">P70-P72</f>
        <v>13517199</v>
      </c>
      <c r="Q74" s="11">
        <f t="shared" si="12"/>
        <v>-5519.9999999701977</v>
      </c>
      <c r="R74" s="11"/>
      <c r="S74" s="11"/>
      <c r="T74" s="11"/>
    </row>
    <row r="75" spans="1:20">
      <c r="A75" s="34"/>
      <c r="B75" s="34"/>
      <c r="C75" s="34"/>
      <c r="D75" s="223"/>
      <c r="E75" s="223"/>
      <c r="F75" s="223"/>
      <c r="G75" s="223"/>
      <c r="H75" s="223"/>
      <c r="I75" s="223"/>
      <c r="J75" s="223"/>
      <c r="K75" s="223"/>
      <c r="L75" s="223"/>
      <c r="M75" s="389"/>
      <c r="N75" s="223"/>
      <c r="O75" s="223"/>
      <c r="P75" s="223"/>
      <c r="Q75" s="11">
        <f t="shared" si="12"/>
        <v>0</v>
      </c>
      <c r="R75" s="11"/>
      <c r="S75" s="11"/>
      <c r="T75" s="11"/>
    </row>
    <row r="76" spans="1:20">
      <c r="A76" s="34" t="s">
        <v>28</v>
      </c>
      <c r="B76" s="34"/>
      <c r="C76" s="34"/>
      <c r="D76" s="223">
        <f>+Alloc!A246*1000</f>
        <v>28409877.879917655</v>
      </c>
      <c r="E76" s="223"/>
      <c r="F76" s="386">
        <f>ROUND(+F89*$D76,0)</f>
        <v>4707517</v>
      </c>
      <c r="G76" s="223"/>
      <c r="H76" s="223">
        <f>ROUND(+H89*$D76,0)</f>
        <v>9650836</v>
      </c>
      <c r="I76" s="223"/>
      <c r="J76" s="223">
        <f>ROUND(+J89*$D76,0)</f>
        <v>3599532</v>
      </c>
      <c r="K76" s="223"/>
      <c r="L76" s="223">
        <f>ROUND(+L89*$D76,0)</f>
        <v>4522853</v>
      </c>
      <c r="M76" s="223"/>
      <c r="N76" s="223">
        <f>ROUND(+N89*$D76,0)</f>
        <v>2926217</v>
      </c>
      <c r="O76" s="223"/>
      <c r="P76" s="223">
        <f t="shared" ref="P76" si="17">ROUND(+P89*$D76,0)</f>
        <v>3005765</v>
      </c>
      <c r="Q76" s="11">
        <f t="shared" si="12"/>
        <v>2842.1200823448598</v>
      </c>
      <c r="R76" s="11"/>
      <c r="S76" s="11"/>
      <c r="T76" s="11"/>
    </row>
    <row r="77" spans="1:20">
      <c r="A77" s="34"/>
      <c r="B77" s="34"/>
      <c r="C77" s="34"/>
      <c r="D77" s="223"/>
      <c r="E77" s="223"/>
      <c r="F77" s="223"/>
      <c r="G77" s="223"/>
      <c r="H77" s="223"/>
      <c r="I77" s="223"/>
      <c r="J77" s="223"/>
      <c r="K77" s="223"/>
      <c r="L77" s="223"/>
      <c r="M77" s="389"/>
      <c r="N77" s="223"/>
      <c r="O77" s="223"/>
      <c r="P77" s="223"/>
      <c r="Q77" s="11">
        <f t="shared" si="12"/>
        <v>0</v>
      </c>
      <c r="R77" s="11"/>
      <c r="S77" s="11"/>
      <c r="T77" s="11"/>
    </row>
    <row r="78" spans="1:20">
      <c r="A78" s="34" t="s">
        <v>29</v>
      </c>
      <c r="B78" s="34"/>
      <c r="C78" s="34"/>
      <c r="D78" s="223">
        <f>D70-D76</f>
        <v>154614103.21241894</v>
      </c>
      <c r="E78" s="223"/>
      <c r="F78" s="223">
        <f>F70-F76</f>
        <v>49587766.418200731</v>
      </c>
      <c r="G78" s="223"/>
      <c r="H78" s="223">
        <f>H70-H76</f>
        <v>46355248.9489308</v>
      </c>
      <c r="I78" s="223"/>
      <c r="J78" s="223">
        <f>J70-J76</f>
        <v>15461100.827412412</v>
      </c>
      <c r="K78" s="223"/>
      <c r="L78" s="223">
        <f>L70-L76</f>
        <v>18919000.897792682</v>
      </c>
      <c r="M78" s="223"/>
      <c r="N78" s="223">
        <f>N70-N76</f>
        <v>12241789</v>
      </c>
      <c r="O78" s="223"/>
      <c r="P78" s="223">
        <f t="shared" ref="P78" si="18">P70-P76</f>
        <v>12046355</v>
      </c>
      <c r="Q78" s="11">
        <f t="shared" si="12"/>
        <v>-2842.1200823187828</v>
      </c>
      <c r="R78" s="11"/>
      <c r="S78" s="11"/>
      <c r="T78" s="11"/>
    </row>
    <row r="79" spans="1:20">
      <c r="A79" s="34"/>
      <c r="B79" s="34"/>
      <c r="C79" s="34"/>
      <c r="D79" s="223"/>
      <c r="E79" s="223"/>
      <c r="F79" s="223"/>
      <c r="G79" s="223"/>
      <c r="H79" s="223"/>
      <c r="I79" s="223"/>
      <c r="J79" s="223"/>
      <c r="K79" s="223"/>
      <c r="L79" s="223"/>
      <c r="M79" s="389"/>
      <c r="N79" s="223"/>
      <c r="O79" s="223"/>
      <c r="P79" s="223"/>
      <c r="Q79" s="11">
        <f t="shared" si="12"/>
        <v>0</v>
      </c>
      <c r="R79" s="11"/>
      <c r="S79" s="11"/>
      <c r="T79" s="11"/>
    </row>
    <row r="80" spans="1:20">
      <c r="A80" s="34" t="s">
        <v>30</v>
      </c>
      <c r="B80" s="34"/>
      <c r="C80" s="34"/>
      <c r="D80" s="223"/>
      <c r="E80" s="223"/>
      <c r="F80" s="223"/>
      <c r="G80" s="223"/>
      <c r="H80" s="223"/>
      <c r="I80" s="223"/>
      <c r="J80" s="223"/>
      <c r="K80" s="223"/>
      <c r="L80" s="223"/>
      <c r="M80" s="389"/>
      <c r="N80" s="223"/>
      <c r="O80" s="223"/>
      <c r="P80" s="223"/>
      <c r="Q80" s="11">
        <f t="shared" si="12"/>
        <v>0</v>
      </c>
      <c r="R80" s="11"/>
      <c r="S80" s="11"/>
      <c r="T80" s="11"/>
    </row>
    <row r="81" spans="1:20">
      <c r="A81" s="34" t="s">
        <v>31</v>
      </c>
      <c r="B81" s="34"/>
      <c r="C81" s="34"/>
      <c r="D81" s="223">
        <f>SUM(F81:P81)</f>
        <v>2616718905</v>
      </c>
      <c r="E81" s="223"/>
      <c r="F81" s="223">
        <f>F36</f>
        <v>1569076401</v>
      </c>
      <c r="G81" s="223"/>
      <c r="H81" s="223">
        <f>H36</f>
        <v>596798602</v>
      </c>
      <c r="I81" s="223"/>
      <c r="J81" s="223">
        <f>J36</f>
        <v>136120966</v>
      </c>
      <c r="K81" s="223"/>
      <c r="L81" s="223">
        <f>L36</f>
        <v>146716455</v>
      </c>
      <c r="M81" s="223"/>
      <c r="N81" s="223">
        <f>N36</f>
        <v>95203775</v>
      </c>
      <c r="O81" s="223"/>
      <c r="P81" s="223">
        <f>P36</f>
        <v>72802706</v>
      </c>
      <c r="Q81" s="11">
        <f t="shared" si="12"/>
        <v>0</v>
      </c>
      <c r="R81" s="11"/>
      <c r="S81" s="11"/>
      <c r="T81" s="11"/>
    </row>
    <row r="82" spans="1:20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142"/>
      <c r="N82" s="34"/>
      <c r="O82" s="34"/>
      <c r="P82" s="34"/>
      <c r="Q82" s="11"/>
      <c r="R82" s="11"/>
      <c r="S82" s="11"/>
      <c r="T82" s="11"/>
    </row>
    <row r="83" spans="1:20">
      <c r="A83" s="34" t="s">
        <v>32</v>
      </c>
      <c r="B83" s="34"/>
      <c r="C83" s="34"/>
      <c r="D83" s="76">
        <f>D78/D81</f>
        <v>5.9087012715421543E-2</v>
      </c>
      <c r="E83" s="34"/>
      <c r="F83" s="76">
        <f>F78/F81</f>
        <v>3.1603156090167166E-2</v>
      </c>
      <c r="G83" s="34"/>
      <c r="H83" s="76">
        <f>H78/H81</f>
        <v>7.7673186219914772E-2</v>
      </c>
      <c r="I83" s="34"/>
      <c r="J83" s="76">
        <f>J78/J81</f>
        <v>0.11358353736199912</v>
      </c>
      <c r="K83" s="34"/>
      <c r="L83" s="76">
        <f>L78/L81</f>
        <v>0.1289494140094421</v>
      </c>
      <c r="M83" s="34"/>
      <c r="N83" s="76">
        <f>N78/N81</f>
        <v>0.12858512175593878</v>
      </c>
      <c r="O83" s="76"/>
      <c r="P83" s="76">
        <f t="shared" ref="P83" si="19">P78/P81</f>
        <v>0.16546575892385099</v>
      </c>
      <c r="Q83" s="11"/>
      <c r="R83" s="11"/>
      <c r="S83" s="11"/>
      <c r="T83" s="11"/>
    </row>
    <row r="84" spans="1:20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11"/>
      <c r="R84" s="11"/>
      <c r="S84" s="11"/>
      <c r="T84" s="11"/>
    </row>
    <row r="85" spans="1:20">
      <c r="A85" s="34" t="s">
        <v>33</v>
      </c>
      <c r="B85" s="34"/>
      <c r="C85" s="34"/>
      <c r="D85" s="77">
        <f>D83/$D$83</f>
        <v>1</v>
      </c>
      <c r="E85" s="34"/>
      <c r="F85" s="77">
        <f>F83/$D$83</f>
        <v>0.53485790934085975</v>
      </c>
      <c r="G85" s="34"/>
      <c r="H85" s="77">
        <f>H83/$D$83</f>
        <v>1.31455598532302</v>
      </c>
      <c r="I85" s="34"/>
      <c r="J85" s="77">
        <f>J83/$D$83</f>
        <v>1.9223096945016844</v>
      </c>
      <c r="K85" s="34"/>
      <c r="L85" s="77">
        <f>L83/$D$83</f>
        <v>2.1823647546796128</v>
      </c>
      <c r="M85" s="34"/>
      <c r="N85" s="77">
        <f>N83/$D$83</f>
        <v>2.1761994023160089</v>
      </c>
      <c r="O85" s="77"/>
      <c r="P85" s="77">
        <f>P83/$D$83</f>
        <v>2.8003744193462143</v>
      </c>
      <c r="Q85" s="11"/>
      <c r="R85" s="11"/>
      <c r="S85" s="11"/>
      <c r="T85" s="11"/>
    </row>
    <row r="86" spans="1:20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142"/>
      <c r="N86" s="34"/>
      <c r="O86" s="34"/>
      <c r="P86" s="34"/>
      <c r="Q86" s="11"/>
      <c r="R86" s="11"/>
      <c r="S86" s="11"/>
      <c r="T86" s="11"/>
    </row>
    <row r="87" spans="1:20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30"/>
      <c r="N87" s="11"/>
      <c r="O87" s="11"/>
      <c r="P87" s="11"/>
      <c r="Q87" s="11"/>
      <c r="R87" s="11"/>
      <c r="S87" s="11"/>
      <c r="T87" s="11"/>
    </row>
    <row r="88" spans="1:20">
      <c r="A88" s="65" t="s">
        <v>34</v>
      </c>
      <c r="B88" s="11"/>
      <c r="C88" s="11"/>
      <c r="D88" s="11"/>
      <c r="E88" s="11"/>
      <c r="F88" s="80">
        <f>ROUND(+F81/$D81,4)+0.0001</f>
        <v>0.59970000000000001</v>
      </c>
      <c r="G88" s="11"/>
      <c r="H88" s="80">
        <f>ROUND(+H81/$D81,4)</f>
        <v>0.2281</v>
      </c>
      <c r="I88" s="11"/>
      <c r="J88" s="80">
        <f>ROUND(+J81/$D81,4)</f>
        <v>5.1999999999999998E-2</v>
      </c>
      <c r="K88" s="11"/>
      <c r="L88" s="80">
        <f>ROUND(+L81/$D81,4)</f>
        <v>5.6099999999999997E-2</v>
      </c>
      <c r="M88" s="11"/>
      <c r="N88" s="80">
        <f>ROUND(+N81/$D81,4)</f>
        <v>3.6400000000000002E-2</v>
      </c>
      <c r="O88" s="80"/>
      <c r="P88" s="80">
        <f t="shared" ref="P88" si="20">ROUND(+P81/$D81,4)</f>
        <v>2.7799999999999998E-2</v>
      </c>
      <c r="Q88" s="74">
        <f>SUM(F88:P88)</f>
        <v>1.0001</v>
      </c>
      <c r="R88" s="11"/>
      <c r="S88" s="11"/>
      <c r="T88" s="11"/>
    </row>
    <row r="89" spans="1:20">
      <c r="A89" s="65" t="s">
        <v>35</v>
      </c>
      <c r="B89" s="11"/>
      <c r="C89" s="11"/>
      <c r="D89" s="11"/>
      <c r="E89" s="11"/>
      <c r="F89" s="80">
        <f>ROUND(+F74/$D74,4)</f>
        <v>0.16569999999999999</v>
      </c>
      <c r="G89" s="11"/>
      <c r="H89" s="80">
        <f>ROUND(+H74/$D74,4)</f>
        <v>0.3397</v>
      </c>
      <c r="I89" s="11"/>
      <c r="J89" s="80">
        <f>ROUND(+J74/$D74,4)</f>
        <v>0.12670000000000001</v>
      </c>
      <c r="K89" s="11"/>
      <c r="L89" s="80">
        <f>ROUND(+L74/$D74,4)</f>
        <v>0.15920000000000001</v>
      </c>
      <c r="M89" s="11"/>
      <c r="N89" s="80">
        <f>ROUND(+N74/$D74,4)</f>
        <v>0.10299999999999999</v>
      </c>
      <c r="O89" s="80"/>
      <c r="P89" s="80">
        <f t="shared" ref="P89" si="21">ROUND(+P74/$D74,4)</f>
        <v>0.10580000000000001</v>
      </c>
      <c r="Q89" s="74">
        <f>SUM(F89:P89)</f>
        <v>1.0001</v>
      </c>
      <c r="R89" s="11"/>
      <c r="S89" s="11"/>
      <c r="T89" s="11"/>
    </row>
    <row r="90" spans="1:2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30"/>
      <c r="N90" s="11"/>
      <c r="O90" s="11"/>
      <c r="P90" s="11"/>
      <c r="Q90" s="11"/>
      <c r="R90" s="11"/>
      <c r="S90" s="11"/>
      <c r="T90" s="11"/>
    </row>
    <row r="91" spans="1:20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30"/>
      <c r="N91" s="11"/>
      <c r="O91" s="11"/>
      <c r="P91" s="11"/>
      <c r="Q91" s="11"/>
      <c r="R91" s="11"/>
      <c r="S91" s="11"/>
      <c r="T91" s="11"/>
    </row>
    <row r="92" spans="1:20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30"/>
      <c r="N92" s="11"/>
      <c r="O92" s="11"/>
      <c r="P92" s="11"/>
      <c r="Q92" s="11"/>
      <c r="R92" s="11"/>
      <c r="S92" s="11"/>
      <c r="T92" s="11"/>
    </row>
    <row r="93" spans="1:20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1"/>
      <c r="S93" s="11"/>
      <c r="T93" s="11"/>
    </row>
    <row r="94" spans="1:20">
      <c r="A94" s="130"/>
      <c r="B94" s="130"/>
      <c r="C94" s="130"/>
      <c r="D94" s="142"/>
      <c r="E94" s="130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30"/>
      <c r="R94" s="11"/>
      <c r="S94" s="11"/>
      <c r="T94" s="11"/>
    </row>
    <row r="95" spans="1:20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1"/>
      <c r="S95" s="11"/>
      <c r="T95" s="11"/>
    </row>
    <row r="96" spans="1:20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1"/>
      <c r="S96" s="11"/>
      <c r="T96" s="11"/>
    </row>
    <row r="97" spans="1:2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0"/>
      <c r="N97" s="11"/>
      <c r="O97" s="11"/>
      <c r="P97" s="11"/>
      <c r="Q97" s="11"/>
      <c r="R97" s="11"/>
      <c r="S97" s="11"/>
      <c r="T97" s="11"/>
    </row>
    <row r="98" spans="1:2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0"/>
      <c r="N98" s="11"/>
      <c r="O98" s="11"/>
      <c r="P98" s="11"/>
      <c r="Q98" s="11"/>
      <c r="R98" s="11"/>
      <c r="S98" s="11"/>
      <c r="T98" s="11"/>
    </row>
    <row r="99" spans="1:20" ht="15.75">
      <c r="A99" s="9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30"/>
      <c r="N99" s="11"/>
      <c r="O99" s="11"/>
      <c r="P99" s="11"/>
      <c r="Q99" s="11"/>
      <c r="R99" s="11"/>
      <c r="S99" s="11"/>
      <c r="T99" s="11"/>
    </row>
    <row r="100" spans="1:20">
      <c r="A100" s="455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7"/>
      <c r="N100" s="456"/>
      <c r="O100" s="456"/>
      <c r="P100" s="456"/>
      <c r="Q100" s="11"/>
      <c r="R100" s="11"/>
      <c r="S100" s="11"/>
      <c r="T100" s="11"/>
    </row>
    <row r="101" spans="1:20" ht="15.75">
      <c r="A101" s="458"/>
      <c r="B101" s="456"/>
      <c r="C101" s="456"/>
      <c r="D101" s="456"/>
      <c r="E101" s="456"/>
      <c r="F101" s="456"/>
      <c r="G101" s="456"/>
      <c r="H101" s="456"/>
      <c r="I101" s="456"/>
      <c r="J101" s="456"/>
      <c r="K101" s="459"/>
      <c r="L101" s="456"/>
      <c r="M101" s="457"/>
      <c r="N101" s="456"/>
      <c r="O101" s="456"/>
      <c r="P101" s="456"/>
      <c r="Q101" s="11"/>
      <c r="R101" s="11"/>
      <c r="S101" s="11"/>
      <c r="T101" s="11"/>
    </row>
    <row r="102" spans="1:20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60"/>
      <c r="N102" s="455"/>
      <c r="O102" s="455"/>
      <c r="P102" s="455"/>
      <c r="Q102" s="11"/>
      <c r="R102" s="11"/>
      <c r="S102" s="11"/>
      <c r="T102" s="11"/>
    </row>
    <row r="103" spans="1:20" ht="15.75">
      <c r="A103" s="508"/>
      <c r="B103" s="455"/>
      <c r="C103" s="455"/>
      <c r="D103" s="455"/>
      <c r="E103" s="455"/>
      <c r="F103" s="508"/>
      <c r="G103" s="455"/>
      <c r="H103" s="455"/>
      <c r="I103" s="455"/>
      <c r="J103" s="455"/>
      <c r="K103" s="455"/>
      <c r="L103" s="455"/>
      <c r="M103" s="460"/>
      <c r="N103" s="455"/>
      <c r="O103" s="455"/>
      <c r="P103" s="455"/>
      <c r="Q103" s="11"/>
      <c r="R103" s="11"/>
      <c r="S103" s="11"/>
      <c r="T103" s="11"/>
    </row>
    <row r="104" spans="1:20">
      <c r="A104" s="1107"/>
      <c r="B104" s="460"/>
      <c r="C104" s="460"/>
      <c r="D104" s="460"/>
      <c r="E104" s="460"/>
      <c r="F104" s="460"/>
      <c r="G104" s="460"/>
      <c r="H104" s="460"/>
      <c r="I104" s="460"/>
      <c r="J104" s="460"/>
      <c r="K104" s="460"/>
      <c r="L104" s="460"/>
      <c r="M104" s="460"/>
      <c r="N104" s="460"/>
      <c r="O104" s="460"/>
      <c r="P104" s="460"/>
      <c r="Q104" s="130"/>
      <c r="R104" s="11"/>
      <c r="S104" s="11"/>
      <c r="T104" s="11"/>
    </row>
    <row r="105" spans="1:20">
      <c r="A105" s="513"/>
      <c r="B105" s="513"/>
      <c r="C105" s="513"/>
      <c r="D105" s="462"/>
      <c r="E105" s="513"/>
      <c r="F105" s="513"/>
      <c r="G105" s="513"/>
      <c r="H105" s="462"/>
      <c r="I105" s="513"/>
      <c r="J105" s="462"/>
      <c r="K105" s="513"/>
      <c r="L105" s="462"/>
      <c r="M105" s="462"/>
      <c r="N105" s="462"/>
      <c r="O105" s="462"/>
      <c r="P105" s="462"/>
      <c r="Q105" s="130"/>
      <c r="R105" s="11"/>
      <c r="S105" s="11"/>
      <c r="T105" s="11"/>
    </row>
    <row r="106" spans="1:20">
      <c r="A106" s="513"/>
      <c r="B106" s="513"/>
      <c r="C106" s="513"/>
      <c r="D106" s="462"/>
      <c r="E106" s="513"/>
      <c r="F106" s="462"/>
      <c r="G106" s="513"/>
      <c r="H106" s="462"/>
      <c r="I106" s="513"/>
      <c r="J106" s="462"/>
      <c r="K106" s="513"/>
      <c r="L106" s="462"/>
      <c r="M106" s="462"/>
      <c r="N106" s="462"/>
      <c r="O106" s="462"/>
      <c r="P106" s="462"/>
      <c r="Q106" s="130"/>
      <c r="R106" s="11"/>
      <c r="S106" s="11"/>
      <c r="T106" s="11"/>
    </row>
    <row r="107" spans="1:20">
      <c r="A107" s="460"/>
      <c r="B107" s="460"/>
      <c r="C107" s="513"/>
      <c r="D107" s="462"/>
      <c r="E107" s="513"/>
      <c r="F107" s="462"/>
      <c r="G107" s="513"/>
      <c r="H107" s="462"/>
      <c r="I107" s="513"/>
      <c r="J107" s="462"/>
      <c r="K107" s="513"/>
      <c r="L107" s="462"/>
      <c r="M107" s="462"/>
      <c r="N107" s="462"/>
      <c r="O107" s="462"/>
      <c r="P107" s="462"/>
      <c r="Q107" s="29"/>
    </row>
    <row r="108" spans="1:20">
      <c r="A108" s="460"/>
      <c r="B108" s="460"/>
      <c r="C108" s="513"/>
      <c r="D108" s="462"/>
      <c r="E108" s="513"/>
      <c r="F108" s="462"/>
      <c r="G108" s="513"/>
      <c r="H108" s="462"/>
      <c r="I108" s="513"/>
      <c r="J108" s="462"/>
      <c r="K108" s="513"/>
      <c r="L108" s="462"/>
      <c r="M108" s="462"/>
      <c r="N108" s="1108"/>
      <c r="O108" s="1108"/>
      <c r="P108" s="1108"/>
      <c r="Q108" s="29"/>
    </row>
    <row r="109" spans="1:20" ht="10.15" customHeight="1">
      <c r="A109" s="265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9"/>
    </row>
    <row r="110" spans="1:20">
      <c r="A110" s="513"/>
      <c r="B110" s="513"/>
      <c r="C110" s="513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9"/>
    </row>
    <row r="111" spans="1:20">
      <c r="A111" s="513"/>
      <c r="B111" s="513"/>
      <c r="C111" s="513"/>
      <c r="D111" s="1109"/>
      <c r="E111" s="1109"/>
      <c r="F111" s="1109"/>
      <c r="G111" s="1109"/>
      <c r="H111" s="1109"/>
      <c r="I111" s="1109"/>
      <c r="J111" s="1109"/>
      <c r="K111" s="1109"/>
      <c r="L111" s="1109"/>
      <c r="M111" s="1109"/>
      <c r="N111" s="1109"/>
      <c r="O111" s="1109"/>
      <c r="P111" s="1109"/>
      <c r="Q111" s="130"/>
    </row>
    <row r="112" spans="1:20">
      <c r="A112" s="513"/>
      <c r="B112" s="513"/>
      <c r="C112" s="513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30"/>
    </row>
    <row r="113" spans="1:17">
      <c r="A113" s="513"/>
      <c r="B113" s="513"/>
      <c r="C113" s="513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130"/>
    </row>
    <row r="114" spans="1:17">
      <c r="A114" s="513"/>
      <c r="B114" s="513"/>
      <c r="C114" s="513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30"/>
    </row>
    <row r="115" spans="1:17">
      <c r="A115" s="513"/>
      <c r="B115" s="513"/>
      <c r="C115" s="513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130"/>
    </row>
    <row r="116" spans="1:17">
      <c r="A116" s="513"/>
      <c r="B116" s="513"/>
      <c r="C116" s="513"/>
      <c r="D116" s="427"/>
      <c r="E116" s="265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130"/>
    </row>
    <row r="117" spans="1:17">
      <c r="A117" s="513"/>
      <c r="B117" s="513"/>
      <c r="C117" s="513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130"/>
    </row>
    <row r="118" spans="1:17">
      <c r="A118" s="513"/>
      <c r="B118" s="513"/>
      <c r="C118" s="513"/>
      <c r="D118" s="427"/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130"/>
    </row>
    <row r="119" spans="1:17">
      <c r="A119" s="513"/>
      <c r="B119" s="513"/>
      <c r="C119" s="513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130"/>
    </row>
    <row r="120" spans="1:17">
      <c r="A120" s="513"/>
      <c r="B120" s="513"/>
      <c r="C120" s="513"/>
      <c r="D120" s="267"/>
      <c r="E120" s="265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130"/>
    </row>
    <row r="121" spans="1:17">
      <c r="A121" s="513"/>
      <c r="B121" s="513"/>
      <c r="C121" s="513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130"/>
    </row>
    <row r="122" spans="1:17">
      <c r="A122" s="513"/>
      <c r="B122" s="513"/>
      <c r="C122" s="513"/>
      <c r="D122" s="184"/>
      <c r="E122" s="265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30"/>
    </row>
    <row r="123" spans="1:17">
      <c r="A123" s="513"/>
      <c r="B123" s="513"/>
      <c r="C123" s="513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130"/>
    </row>
    <row r="124" spans="1:17">
      <c r="A124" s="513"/>
      <c r="B124" s="513"/>
      <c r="C124" s="513"/>
      <c r="D124" s="267"/>
      <c r="E124" s="265"/>
      <c r="F124" s="218"/>
      <c r="G124" s="218"/>
      <c r="H124" s="1110"/>
      <c r="I124" s="218"/>
      <c r="J124" s="218"/>
      <c r="K124" s="218"/>
      <c r="L124" s="218"/>
      <c r="M124" s="218"/>
      <c r="N124" s="218"/>
      <c r="O124" s="218"/>
      <c r="P124" s="218"/>
      <c r="Q124" s="130"/>
    </row>
    <row r="125" spans="1:17">
      <c r="A125" s="513"/>
      <c r="B125" s="513"/>
      <c r="C125" s="513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130"/>
    </row>
    <row r="126" spans="1:17">
      <c r="A126" s="513"/>
      <c r="B126" s="513"/>
      <c r="C126" s="513"/>
      <c r="D126" s="184"/>
      <c r="E126" s="1111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130"/>
    </row>
    <row r="127" spans="1:17">
      <c r="A127" s="513"/>
      <c r="B127" s="513"/>
      <c r="C127" s="513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130"/>
    </row>
    <row r="128" spans="1:17">
      <c r="A128" s="513"/>
      <c r="B128" s="513"/>
      <c r="C128" s="513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130"/>
    </row>
    <row r="129" spans="1:17">
      <c r="A129" s="513"/>
      <c r="B129" s="513"/>
      <c r="C129" s="513"/>
      <c r="D129" s="427"/>
      <c r="E129" s="265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30"/>
    </row>
    <row r="130" spans="1:17">
      <c r="A130" s="513"/>
      <c r="B130" s="513"/>
      <c r="C130" s="513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9"/>
    </row>
    <row r="131" spans="1:17">
      <c r="A131" s="513"/>
      <c r="B131" s="513"/>
      <c r="C131" s="513"/>
      <c r="D131" s="1112"/>
      <c r="E131" s="513"/>
      <c r="F131" s="1112"/>
      <c r="G131" s="513"/>
      <c r="H131" s="1112"/>
      <c r="I131" s="513"/>
      <c r="J131" s="1112"/>
      <c r="K131" s="513"/>
      <c r="L131" s="1112"/>
      <c r="M131" s="513"/>
      <c r="N131" s="1112"/>
      <c r="O131" s="1112"/>
      <c r="P131" s="1112"/>
      <c r="Q131" s="29"/>
    </row>
    <row r="132" spans="1:17">
      <c r="A132" s="513"/>
      <c r="B132" s="513"/>
      <c r="C132" s="513"/>
      <c r="D132" s="513"/>
      <c r="E132" s="513"/>
      <c r="F132" s="513"/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  <c r="Q132" s="29"/>
    </row>
    <row r="133" spans="1:17">
      <c r="A133" s="513"/>
      <c r="B133" s="513"/>
      <c r="C133" s="513"/>
      <c r="D133" s="1113"/>
      <c r="E133" s="513"/>
      <c r="F133" s="1113"/>
      <c r="G133" s="513"/>
      <c r="H133" s="1113"/>
      <c r="I133" s="513"/>
      <c r="J133" s="1113"/>
      <c r="K133" s="513"/>
      <c r="L133" s="1113"/>
      <c r="M133" s="513"/>
      <c r="N133" s="1113"/>
      <c r="O133" s="1113"/>
      <c r="P133" s="1113"/>
      <c r="Q133" s="29"/>
    </row>
    <row r="134" spans="1:17">
      <c r="A134" s="513"/>
      <c r="B134" s="513"/>
      <c r="C134" s="513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9"/>
    </row>
    <row r="135" spans="1:17">
      <c r="A135" s="513"/>
      <c r="B135" s="513"/>
      <c r="C135" s="513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9"/>
    </row>
    <row r="136" spans="1:17">
      <c r="A136" s="1114"/>
      <c r="B136" s="513"/>
      <c r="C136" s="513"/>
      <c r="D136" s="265"/>
      <c r="E136" s="265"/>
      <c r="F136" s="1115"/>
      <c r="G136" s="523"/>
      <c r="H136" s="1115"/>
      <c r="I136" s="523"/>
      <c r="J136" s="1115"/>
      <c r="K136" s="523"/>
      <c r="L136" s="1115"/>
      <c r="M136" s="523"/>
      <c r="N136" s="1115"/>
      <c r="O136" s="1115"/>
      <c r="P136" s="1115"/>
      <c r="Q136" s="189"/>
    </row>
    <row r="137" spans="1:17">
      <c r="A137" s="1114"/>
      <c r="B137" s="513"/>
      <c r="C137" s="513"/>
      <c r="D137" s="265"/>
      <c r="E137" s="265"/>
      <c r="F137" s="1115"/>
      <c r="G137" s="523"/>
      <c r="H137" s="1115"/>
      <c r="I137" s="523"/>
      <c r="J137" s="1115"/>
      <c r="K137" s="523"/>
      <c r="L137" s="1115"/>
      <c r="M137" s="523"/>
      <c r="N137" s="1115"/>
      <c r="O137" s="1115"/>
      <c r="P137" s="1115"/>
      <c r="Q137" s="189"/>
    </row>
    <row r="138" spans="1:17">
      <c r="A138" s="265"/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9"/>
    </row>
    <row r="139" spans="1:17">
      <c r="A139" s="265"/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9"/>
    </row>
    <row r="140" spans="1:17" ht="15.75">
      <c r="A140" s="1116"/>
      <c r="B140" s="265"/>
      <c r="C140" s="265"/>
      <c r="D140" s="265"/>
      <c r="E140" s="265"/>
      <c r="F140" s="1115"/>
      <c r="G140" s="523"/>
      <c r="H140" s="1115"/>
      <c r="I140" s="523"/>
      <c r="J140" s="1115"/>
      <c r="K140" s="523"/>
      <c r="L140" s="1115"/>
      <c r="M140" s="523"/>
      <c r="N140" s="1115"/>
      <c r="O140" s="1115"/>
      <c r="P140" s="1115"/>
      <c r="Q140" s="189"/>
    </row>
    <row r="141" spans="1:17">
      <c r="A141" s="460"/>
      <c r="B141" s="457"/>
      <c r="C141" s="457"/>
      <c r="D141" s="457"/>
      <c r="E141" s="457"/>
      <c r="F141" s="457"/>
      <c r="G141" s="457"/>
      <c r="H141" s="457"/>
      <c r="I141" s="457"/>
      <c r="J141" s="457"/>
      <c r="K141" s="457"/>
      <c r="L141" s="457"/>
      <c r="M141" s="457"/>
      <c r="N141" s="457"/>
      <c r="O141" s="457"/>
      <c r="P141" s="457"/>
      <c r="Q141" s="130"/>
    </row>
    <row r="142" spans="1:17" ht="15.75">
      <c r="A142" s="1117"/>
      <c r="B142" s="457"/>
      <c r="C142" s="457"/>
      <c r="D142" s="457"/>
      <c r="E142" s="457"/>
      <c r="F142" s="457"/>
      <c r="G142" s="457"/>
      <c r="H142" s="457"/>
      <c r="I142" s="457"/>
      <c r="J142" s="457"/>
      <c r="K142" s="1118"/>
      <c r="L142" s="457"/>
      <c r="M142" s="457"/>
      <c r="N142" s="457"/>
      <c r="O142" s="457"/>
      <c r="P142" s="457"/>
      <c r="Q142" s="130"/>
    </row>
    <row r="143" spans="1:17">
      <c r="A143" s="460"/>
      <c r="B143" s="460"/>
      <c r="C143" s="460"/>
      <c r="D143" s="460"/>
      <c r="E143" s="460"/>
      <c r="F143" s="460"/>
      <c r="G143" s="460"/>
      <c r="H143" s="460"/>
      <c r="I143" s="460"/>
      <c r="J143" s="460"/>
      <c r="K143" s="460"/>
      <c r="L143" s="460"/>
      <c r="M143" s="460"/>
      <c r="N143" s="460"/>
      <c r="O143" s="460"/>
      <c r="P143" s="460"/>
      <c r="Q143" s="130"/>
    </row>
    <row r="144" spans="1:17">
      <c r="A144" s="460"/>
      <c r="B144" s="460"/>
      <c r="C144" s="460"/>
      <c r="D144" s="460"/>
      <c r="E144" s="460"/>
      <c r="F144" s="460"/>
      <c r="G144" s="460"/>
      <c r="H144" s="460"/>
      <c r="I144" s="460"/>
      <c r="J144" s="460"/>
      <c r="K144" s="460"/>
      <c r="L144" s="460"/>
      <c r="M144" s="460"/>
      <c r="N144" s="460"/>
      <c r="O144" s="460"/>
      <c r="P144" s="460"/>
      <c r="Q144" s="130"/>
    </row>
    <row r="145" spans="1:17">
      <c r="A145" s="1107"/>
      <c r="B145" s="460"/>
      <c r="C145" s="460"/>
      <c r="D145" s="460"/>
      <c r="E145" s="460"/>
      <c r="F145" s="460"/>
      <c r="G145" s="460"/>
      <c r="H145" s="460"/>
      <c r="I145" s="460"/>
      <c r="J145" s="460"/>
      <c r="K145" s="460"/>
      <c r="L145" s="460"/>
      <c r="M145" s="460"/>
      <c r="N145" s="460"/>
      <c r="O145" s="460"/>
      <c r="P145" s="460"/>
      <c r="Q145" s="130"/>
    </row>
    <row r="146" spans="1:17">
      <c r="A146" s="513"/>
      <c r="B146" s="513"/>
      <c r="C146" s="513"/>
      <c r="D146" s="462"/>
      <c r="E146" s="513"/>
      <c r="F146" s="513"/>
      <c r="G146" s="513"/>
      <c r="H146" s="462"/>
      <c r="I146" s="513"/>
      <c r="J146" s="462"/>
      <c r="K146" s="513"/>
      <c r="L146" s="462"/>
      <c r="M146" s="462"/>
      <c r="N146" s="462"/>
      <c r="O146" s="462"/>
      <c r="P146" s="462"/>
      <c r="Q146" s="130"/>
    </row>
    <row r="147" spans="1:17">
      <c r="A147" s="513"/>
      <c r="B147" s="513"/>
      <c r="C147" s="513"/>
      <c r="D147" s="462"/>
      <c r="E147" s="513"/>
      <c r="F147" s="462"/>
      <c r="G147" s="513"/>
      <c r="H147" s="462"/>
      <c r="I147" s="513"/>
      <c r="J147" s="462"/>
      <c r="K147" s="513"/>
      <c r="L147" s="462"/>
      <c r="M147" s="462"/>
      <c r="N147" s="462"/>
      <c r="O147" s="462"/>
      <c r="P147" s="462"/>
      <c r="Q147" s="130"/>
    </row>
    <row r="148" spans="1:17">
      <c r="A148" s="460"/>
      <c r="B148" s="460"/>
      <c r="C148" s="513"/>
      <c r="D148" s="462"/>
      <c r="E148" s="513"/>
      <c r="F148" s="462"/>
      <c r="G148" s="513"/>
      <c r="H148" s="462"/>
      <c r="I148" s="513"/>
      <c r="J148" s="462"/>
      <c r="K148" s="513"/>
      <c r="L148" s="462"/>
      <c r="M148" s="462"/>
      <c r="N148" s="462"/>
      <c r="O148" s="462"/>
      <c r="P148" s="462"/>
      <c r="Q148" s="29"/>
    </row>
    <row r="149" spans="1:17">
      <c r="A149" s="460"/>
      <c r="B149" s="460"/>
      <c r="C149" s="513"/>
      <c r="D149" s="462"/>
      <c r="E149" s="513"/>
      <c r="F149" s="462"/>
      <c r="G149" s="513"/>
      <c r="H149" s="462"/>
      <c r="I149" s="513"/>
      <c r="J149" s="462"/>
      <c r="K149" s="513"/>
      <c r="L149" s="462"/>
      <c r="M149" s="462"/>
      <c r="N149" s="1108"/>
      <c r="O149" s="1108"/>
      <c r="P149" s="1108"/>
      <c r="Q149" s="29"/>
    </row>
    <row r="150" spans="1:17">
      <c r="A150" s="265"/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9"/>
    </row>
    <row r="151" spans="1:17">
      <c r="A151" s="513"/>
      <c r="B151" s="513"/>
      <c r="C151" s="513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9"/>
    </row>
    <row r="152" spans="1:17">
      <c r="A152" s="513"/>
      <c r="B152" s="513"/>
      <c r="C152" s="513"/>
      <c r="D152" s="1109"/>
      <c r="E152" s="1109"/>
      <c r="F152" s="1109"/>
      <c r="G152" s="1109"/>
      <c r="H152" s="1109"/>
      <c r="I152" s="1109"/>
      <c r="J152" s="1109"/>
      <c r="K152" s="1109"/>
      <c r="L152" s="1109"/>
      <c r="M152" s="1109"/>
      <c r="N152" s="1109"/>
      <c r="O152" s="1109"/>
      <c r="P152" s="1109"/>
      <c r="Q152" s="130"/>
    </row>
    <row r="153" spans="1:17">
      <c r="A153" s="513"/>
      <c r="B153" s="513"/>
      <c r="C153" s="513"/>
      <c r="D153" s="1109"/>
      <c r="E153" s="1109"/>
      <c r="F153" s="1109"/>
      <c r="G153" s="1109"/>
      <c r="H153" s="1109"/>
      <c r="I153" s="1109"/>
      <c r="J153" s="1109"/>
      <c r="K153" s="1109"/>
      <c r="L153" s="1109"/>
      <c r="M153" s="1109"/>
      <c r="N153" s="1109"/>
      <c r="O153" s="1109"/>
      <c r="P153" s="1109"/>
      <c r="Q153" s="130"/>
    </row>
    <row r="154" spans="1:17">
      <c r="A154" s="513"/>
      <c r="B154" s="513"/>
      <c r="C154" s="513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130"/>
    </row>
    <row r="155" spans="1:17">
      <c r="A155" s="513"/>
      <c r="B155" s="513"/>
      <c r="C155" s="513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30"/>
    </row>
    <row r="156" spans="1:17">
      <c r="A156" s="513"/>
      <c r="B156" s="513"/>
      <c r="C156" s="513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130"/>
    </row>
    <row r="157" spans="1:17">
      <c r="A157" s="513"/>
      <c r="B157" s="513"/>
      <c r="C157" s="513"/>
      <c r="D157" s="427"/>
      <c r="E157" s="265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130"/>
    </row>
    <row r="158" spans="1:17">
      <c r="A158" s="513"/>
      <c r="B158" s="513"/>
      <c r="C158" s="513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130"/>
    </row>
    <row r="159" spans="1:17">
      <c r="A159" s="513"/>
      <c r="B159" s="513"/>
      <c r="C159" s="513"/>
      <c r="D159" s="427"/>
      <c r="E159" s="427"/>
      <c r="F159" s="427"/>
      <c r="G159" s="427"/>
      <c r="H159" s="427"/>
      <c r="I159" s="427"/>
      <c r="J159" s="427"/>
      <c r="K159" s="427"/>
      <c r="L159" s="427"/>
      <c r="M159" s="427"/>
      <c r="N159" s="427"/>
      <c r="O159" s="427"/>
      <c r="P159" s="427"/>
      <c r="Q159" s="130"/>
    </row>
    <row r="160" spans="1:17">
      <c r="A160" s="513"/>
      <c r="B160" s="513"/>
      <c r="C160" s="513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130"/>
    </row>
    <row r="161" spans="1:17">
      <c r="A161" s="513"/>
      <c r="B161" s="513"/>
      <c r="C161" s="513"/>
      <c r="D161" s="267"/>
      <c r="E161" s="265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130"/>
    </row>
    <row r="162" spans="1:17">
      <c r="A162" s="513"/>
      <c r="B162" s="513"/>
      <c r="C162" s="513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130"/>
    </row>
    <row r="163" spans="1:17">
      <c r="A163" s="513"/>
      <c r="B163" s="513"/>
      <c r="C163" s="513"/>
      <c r="D163" s="184"/>
      <c r="E163" s="265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30"/>
    </row>
    <row r="164" spans="1:17">
      <c r="A164" s="513"/>
      <c r="B164" s="513"/>
      <c r="C164" s="513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130"/>
    </row>
    <row r="165" spans="1:17">
      <c r="A165" s="513"/>
      <c r="B165" s="513"/>
      <c r="C165" s="513"/>
      <c r="D165" s="267"/>
      <c r="E165" s="265"/>
      <c r="F165" s="218"/>
      <c r="G165" s="218"/>
      <c r="H165" s="1110"/>
      <c r="I165" s="218"/>
      <c r="J165" s="218"/>
      <c r="K165" s="218"/>
      <c r="L165" s="218"/>
      <c r="M165" s="218"/>
      <c r="N165" s="218"/>
      <c r="O165" s="218"/>
      <c r="P165" s="218"/>
      <c r="Q165" s="130"/>
    </row>
    <row r="166" spans="1:17">
      <c r="A166" s="513"/>
      <c r="B166" s="513"/>
      <c r="C166" s="513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130"/>
    </row>
    <row r="167" spans="1:17">
      <c r="A167" s="513"/>
      <c r="B167" s="513"/>
      <c r="C167" s="513"/>
      <c r="D167" s="184"/>
      <c r="E167" s="1111"/>
      <c r="F167" s="687"/>
      <c r="G167" s="687"/>
      <c r="H167" s="687"/>
      <c r="I167" s="687"/>
      <c r="J167" s="687"/>
      <c r="K167" s="687"/>
      <c r="L167" s="687"/>
      <c r="M167" s="687"/>
      <c r="N167" s="687"/>
      <c r="O167" s="687"/>
      <c r="P167" s="687"/>
      <c r="Q167" s="130"/>
    </row>
    <row r="168" spans="1:17">
      <c r="A168" s="513"/>
      <c r="B168" s="513"/>
      <c r="C168" s="513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130"/>
    </row>
    <row r="169" spans="1:17">
      <c r="A169" s="513"/>
      <c r="B169" s="513"/>
      <c r="C169" s="513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130"/>
    </row>
    <row r="170" spans="1:17">
      <c r="A170" s="513"/>
      <c r="B170" s="513"/>
      <c r="C170" s="513"/>
      <c r="D170" s="427"/>
      <c r="E170" s="265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30"/>
    </row>
    <row r="171" spans="1:17">
      <c r="A171" s="513"/>
      <c r="B171" s="513"/>
      <c r="C171" s="513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9"/>
    </row>
    <row r="172" spans="1:17">
      <c r="A172" s="513"/>
      <c r="B172" s="513"/>
      <c r="C172" s="513"/>
      <c r="D172" s="1112"/>
      <c r="E172" s="513"/>
      <c r="F172" s="1112"/>
      <c r="G172" s="513"/>
      <c r="H172" s="1112"/>
      <c r="I172" s="513"/>
      <c r="J172" s="1112"/>
      <c r="K172" s="513"/>
      <c r="L172" s="1112"/>
      <c r="M172" s="513"/>
      <c r="N172" s="1112"/>
      <c r="O172" s="1112"/>
      <c r="P172" s="1112"/>
      <c r="Q172" s="29"/>
    </row>
    <row r="173" spans="1:17">
      <c r="A173" s="513"/>
      <c r="B173" s="513"/>
      <c r="C173" s="513"/>
      <c r="D173" s="513"/>
      <c r="E173" s="513"/>
      <c r="F173" s="513"/>
      <c r="G173" s="513"/>
      <c r="H173" s="513"/>
      <c r="I173" s="513"/>
      <c r="J173" s="513"/>
      <c r="K173" s="513"/>
      <c r="L173" s="513"/>
      <c r="M173" s="513"/>
      <c r="N173" s="513"/>
      <c r="O173" s="513"/>
      <c r="P173" s="513"/>
      <c r="Q173" s="29"/>
    </row>
    <row r="174" spans="1:17">
      <c r="A174" s="513"/>
      <c r="B174" s="513"/>
      <c r="C174" s="513"/>
      <c r="D174" s="1113"/>
      <c r="E174" s="1113"/>
      <c r="F174" s="1113"/>
      <c r="G174" s="1113"/>
      <c r="H174" s="1113"/>
      <c r="I174" s="1113"/>
      <c r="J174" s="1113"/>
      <c r="K174" s="1113"/>
      <c r="L174" s="1113"/>
      <c r="M174" s="1113"/>
      <c r="N174" s="1113"/>
      <c r="O174" s="1113"/>
      <c r="P174" s="1113"/>
      <c r="Q174" s="29"/>
    </row>
    <row r="175" spans="1:17">
      <c r="A175" s="34"/>
      <c r="B175" s="34"/>
      <c r="C175" s="34"/>
    </row>
    <row r="176" spans="1:17">
      <c r="A176" s="34"/>
      <c r="B176" s="34"/>
      <c r="C176" s="34"/>
    </row>
    <row r="177" spans="1:17">
      <c r="A177" s="75"/>
      <c r="B177" s="34"/>
      <c r="C177" s="34"/>
      <c r="F177" s="80"/>
      <c r="G177" s="11"/>
      <c r="H177" s="80"/>
      <c r="I177" s="11"/>
      <c r="J177" s="80"/>
      <c r="K177" s="11"/>
      <c r="L177" s="80"/>
      <c r="M177" s="11"/>
      <c r="N177" s="80"/>
      <c r="O177" s="80"/>
      <c r="P177" s="80"/>
      <c r="Q177" s="74"/>
    </row>
    <row r="178" spans="1:17">
      <c r="A178" s="75"/>
      <c r="B178" s="34"/>
      <c r="C178" s="34"/>
      <c r="F178" s="80"/>
      <c r="G178" s="11"/>
      <c r="H178" s="80"/>
      <c r="I178" s="11"/>
      <c r="J178" s="80"/>
      <c r="K178" s="11"/>
      <c r="L178" s="80"/>
      <c r="M178" s="11"/>
      <c r="N178" s="80"/>
      <c r="O178" s="80"/>
      <c r="P178" s="80"/>
      <c r="Q178" s="74"/>
    </row>
  </sheetData>
  <phoneticPr fontId="9" type="noConversion"/>
  <pageMargins left="0.75" right="0.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Q413"/>
  <sheetViews>
    <sheetView tabSelected="1" topLeftCell="A4" workbookViewId="0">
      <selection activeCell="A5" sqref="A5"/>
    </sheetView>
  </sheetViews>
  <sheetFormatPr defaultRowHeight="15"/>
  <cols>
    <col min="1" max="1" width="9.33203125" bestFit="1" customWidth="1"/>
    <col min="3" max="3" width="5.33203125" customWidth="1"/>
    <col min="4" max="4" width="13.77734375" bestFit="1" customWidth="1"/>
    <col min="5" max="5" width="2" customWidth="1"/>
    <col min="6" max="6" width="8.21875" customWidth="1"/>
    <col min="7" max="7" width="3" customWidth="1"/>
    <col min="8" max="8" width="14.5546875" bestFit="1" customWidth="1"/>
    <col min="9" max="9" width="2" customWidth="1"/>
    <col min="10" max="10" width="8.21875" customWidth="1"/>
    <col min="11" max="11" width="3.44140625" customWidth="1"/>
    <col min="12" max="12" width="13.77734375" bestFit="1" customWidth="1"/>
    <col min="13" max="13" width="1.33203125" customWidth="1"/>
    <col min="14" max="14" width="7.44140625" customWidth="1"/>
    <col min="15" max="15" width="2.5546875" customWidth="1"/>
    <col min="16" max="16" width="12.44140625" bestFit="1" customWidth="1"/>
    <col min="17" max="17" width="1.77734375" customWidth="1"/>
    <col min="20" max="20" width="12.33203125" customWidth="1"/>
    <col min="21" max="21" width="15.77734375" customWidth="1"/>
    <col min="22" max="22" width="12" bestFit="1" customWidth="1"/>
    <col min="23" max="23" width="2.77734375" customWidth="1"/>
    <col min="24" max="24" width="13.109375" customWidth="1"/>
    <col min="25" max="25" width="1.6640625" customWidth="1"/>
    <col min="26" max="26" width="13.6640625" customWidth="1"/>
    <col min="27" max="27" width="2.21875" customWidth="1"/>
    <col min="28" max="28" width="13" customWidth="1"/>
    <col min="29" max="29" width="1.33203125" customWidth="1"/>
    <col min="30" max="30" width="12" bestFit="1" customWidth="1"/>
    <col min="31" max="31" width="1.33203125" customWidth="1"/>
    <col min="32" max="32" width="12" customWidth="1"/>
    <col min="33" max="33" width="1.33203125" customWidth="1"/>
    <col min="34" max="34" width="12.21875" bestFit="1" customWidth="1"/>
    <col min="35" max="35" width="1.109375" customWidth="1"/>
    <col min="36" max="36" width="12.109375" customWidth="1"/>
  </cols>
  <sheetData>
    <row r="1" spans="1:38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49"/>
      <c r="M1" s="11"/>
      <c r="N1" s="11"/>
      <c r="O1" s="11"/>
      <c r="Q1" s="11"/>
      <c r="R1" s="11"/>
      <c r="S1" s="2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50"/>
      <c r="AI1" s="50"/>
      <c r="AJ1" s="11"/>
      <c r="AK1" s="11"/>
      <c r="AL1" s="11"/>
    </row>
    <row r="2" spans="1:38" ht="15.75">
      <c r="A2" s="34" t="s">
        <v>274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5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50"/>
      <c r="AI2" s="50"/>
      <c r="AJ2" s="11"/>
      <c r="AK2" s="11"/>
      <c r="AL2" s="11"/>
    </row>
    <row r="3" spans="1:38">
      <c r="A3" s="797">
        <f ca="1">NOW()</f>
        <v>43851.450296643518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 t="s">
        <v>832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50"/>
      <c r="AI3" s="50"/>
      <c r="AJ3" s="11"/>
      <c r="AK3" s="11"/>
      <c r="AL3" s="11"/>
    </row>
    <row r="4" spans="1:38" ht="15.75">
      <c r="A4" s="798">
        <f ca="1">NOW()</f>
        <v>43851.450296643518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64"/>
      <c r="M4" s="11"/>
      <c r="N4" s="11"/>
      <c r="O4" s="11"/>
      <c r="P4" s="81" t="s">
        <v>3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50"/>
      <c r="AI4" s="50"/>
      <c r="AJ4" s="11"/>
      <c r="AK4" s="11"/>
      <c r="AL4" s="11"/>
    </row>
    <row r="5" spans="1:38">
      <c r="A5" s="55" t="s">
        <v>826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50"/>
      <c r="AI5" s="50"/>
      <c r="AJ5" s="11"/>
      <c r="AK5" s="11"/>
      <c r="AL5" s="11"/>
    </row>
    <row r="6" spans="1:38" ht="15.75">
      <c r="A6" s="96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97"/>
      <c r="P6" s="55"/>
      <c r="Q6" s="55"/>
      <c r="R6" s="55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50"/>
      <c r="AI6" s="50"/>
      <c r="AJ6" s="11"/>
      <c r="AK6" s="11"/>
      <c r="AL6" s="11"/>
    </row>
    <row r="7" spans="1:38" ht="15.75">
      <c r="A7" s="55" t="s">
        <v>127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51"/>
      <c r="AI7" s="51"/>
      <c r="AJ7" s="11"/>
      <c r="AK7" s="11"/>
      <c r="AL7" s="11"/>
    </row>
    <row r="8" spans="1:38">
      <c r="A8" s="55" t="s">
        <v>825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11"/>
      <c r="T8" s="11"/>
      <c r="U8" s="11"/>
      <c r="V8" s="11"/>
      <c r="W8" s="11"/>
      <c r="X8" s="11"/>
      <c r="Y8" s="11"/>
      <c r="Z8" s="65"/>
      <c r="AA8" s="11"/>
      <c r="AB8" s="65"/>
      <c r="AC8" s="11"/>
      <c r="AD8" s="11"/>
      <c r="AE8" s="11"/>
      <c r="AF8" s="11"/>
      <c r="AG8" s="11"/>
      <c r="AH8" s="50"/>
      <c r="AI8" s="50"/>
      <c r="AJ8" s="11"/>
      <c r="AK8" s="11"/>
      <c r="AL8" s="11"/>
    </row>
    <row r="9" spans="1:38">
      <c r="A9" s="232" t="s">
        <v>448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50"/>
      <c r="AI9" s="50"/>
      <c r="AJ9" s="11"/>
      <c r="AK9" s="11"/>
      <c r="AL9" s="11"/>
    </row>
    <row r="10" spans="1:38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1"/>
      <c r="T10" s="11"/>
      <c r="U10" s="66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50"/>
      <c r="AI10" s="50"/>
      <c r="AJ10" s="67"/>
      <c r="AK10" s="11"/>
      <c r="AL10" s="11"/>
    </row>
    <row r="11" spans="1:38" ht="15.75">
      <c r="A11" s="34"/>
      <c r="B11" s="34"/>
      <c r="C11" s="34"/>
      <c r="D11" s="55" t="s">
        <v>179</v>
      </c>
      <c r="E11" s="55"/>
      <c r="F11" s="55"/>
      <c r="G11" s="34"/>
      <c r="H11" s="55" t="s">
        <v>419</v>
      </c>
      <c r="I11" s="55"/>
      <c r="J11" s="55"/>
      <c r="K11" s="55"/>
      <c r="L11" s="55"/>
      <c r="M11" s="55"/>
      <c r="N11" s="55"/>
      <c r="O11" s="34"/>
      <c r="P11" s="55" t="s">
        <v>554</v>
      </c>
      <c r="Q11" s="55"/>
      <c r="R11" s="55"/>
      <c r="S11" s="11"/>
      <c r="T11" s="11"/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11"/>
      <c r="AL11" s="11"/>
    </row>
    <row r="12" spans="1:38">
      <c r="A12" s="55" t="s">
        <v>168</v>
      </c>
      <c r="B12" s="55"/>
      <c r="C12" s="34"/>
      <c r="D12" s="55" t="s">
        <v>2</v>
      </c>
      <c r="E12" s="55"/>
      <c r="F12" s="55"/>
      <c r="G12" s="34"/>
      <c r="H12" s="56" t="s">
        <v>4</v>
      </c>
      <c r="I12" s="56"/>
      <c r="J12" s="56"/>
      <c r="K12" s="57"/>
      <c r="L12" s="58" t="s">
        <v>553</v>
      </c>
      <c r="M12" s="56"/>
      <c r="N12" s="56"/>
      <c r="O12" s="34"/>
      <c r="P12" s="57"/>
      <c r="Q12" s="57"/>
      <c r="R12" s="59" t="s">
        <v>1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>
      <c r="A13" s="395" t="s">
        <v>169</v>
      </c>
      <c r="B13" s="395"/>
      <c r="C13" s="34"/>
      <c r="D13" s="59" t="s">
        <v>5</v>
      </c>
      <c r="E13" s="57"/>
      <c r="F13" s="59" t="s">
        <v>1</v>
      </c>
      <c r="G13" s="34"/>
      <c r="H13" s="56" t="s">
        <v>5</v>
      </c>
      <c r="I13" s="56"/>
      <c r="J13" s="56" t="s">
        <v>1</v>
      </c>
      <c r="K13" s="34"/>
      <c r="L13" s="59" t="s">
        <v>5</v>
      </c>
      <c r="M13" s="57"/>
      <c r="N13" s="59" t="s">
        <v>1</v>
      </c>
      <c r="O13" s="34"/>
      <c r="P13" s="60" t="s">
        <v>5</v>
      </c>
      <c r="Q13" s="34"/>
      <c r="R13" s="60" t="s">
        <v>0</v>
      </c>
      <c r="S13" s="11"/>
      <c r="T13" s="11"/>
      <c r="AK13" s="11"/>
      <c r="AL13" s="11"/>
    </row>
    <row r="14" spans="1:38">
      <c r="A14" s="55" t="s">
        <v>170</v>
      </c>
      <c r="B14" s="55"/>
      <c r="C14" s="34"/>
      <c r="D14" s="82">
        <v>-2</v>
      </c>
      <c r="E14" s="34"/>
      <c r="F14" s="82">
        <v>-3</v>
      </c>
      <c r="G14" s="34"/>
      <c r="H14" s="82">
        <v>-4</v>
      </c>
      <c r="I14" s="34"/>
      <c r="J14" s="82">
        <v>-5</v>
      </c>
      <c r="K14" s="34"/>
      <c r="L14" s="82">
        <v>-6</v>
      </c>
      <c r="M14" s="34"/>
      <c r="N14" s="82">
        <v>-7</v>
      </c>
      <c r="O14" s="34"/>
      <c r="P14" s="82">
        <v>-8</v>
      </c>
      <c r="Q14" s="34"/>
      <c r="R14" s="82">
        <v>-9</v>
      </c>
      <c r="S14" s="11"/>
      <c r="T14" s="23"/>
      <c r="U14" s="497"/>
      <c r="V14" s="497"/>
      <c r="X14" s="497"/>
      <c r="AK14" s="11"/>
      <c r="AL14" s="11"/>
    </row>
    <row r="15" spans="1:38" ht="13.9" customHeight="1">
      <c r="A15" s="70"/>
      <c r="B15" s="34"/>
      <c r="C15" s="34"/>
      <c r="D15" s="34"/>
      <c r="E15" s="34"/>
      <c r="F15" s="142"/>
      <c r="G15" s="34"/>
      <c r="H15" s="34"/>
      <c r="I15" s="34"/>
      <c r="J15" s="34"/>
      <c r="K15" s="34"/>
      <c r="L15" s="34"/>
      <c r="M15" s="34"/>
      <c r="N15" s="142"/>
      <c r="O15" s="34"/>
      <c r="P15" s="34"/>
      <c r="Q15" s="34"/>
      <c r="R15" s="34"/>
      <c r="S15" s="11"/>
      <c r="T15" s="11"/>
      <c r="AK15" s="11"/>
      <c r="AL15" s="11"/>
    </row>
    <row r="16" spans="1:38">
      <c r="A16" s="34" t="s">
        <v>314</v>
      </c>
      <c r="B16" s="34"/>
      <c r="C16" s="34"/>
      <c r="D16" s="298">
        <f>+Z73</f>
        <v>427324774.23524535</v>
      </c>
      <c r="E16" s="34"/>
      <c r="F16" s="180">
        <f>ROUND(+D16/D$28,3)-0.001</f>
        <v>0.65</v>
      </c>
      <c r="G16" s="34"/>
      <c r="H16" s="298">
        <f>'[7]Summary - Total Rev (Excl PGC)'!$D$7</f>
        <v>327136118.65344608</v>
      </c>
      <c r="I16" s="34"/>
      <c r="J16" s="62">
        <f>+ROUND(H16/$H$28,3)+0.001</f>
        <v>0.56300000000000006</v>
      </c>
      <c r="K16" s="34"/>
      <c r="L16" s="298">
        <f>'[7]Summary - Total Rev (Excl PGC)'!$F$7</f>
        <v>388362568.62332052</v>
      </c>
      <c r="M16" s="34"/>
      <c r="N16" s="180">
        <f>+ROUND(L16/$L$28,3)+0.0001</f>
        <v>0.59209999999999996</v>
      </c>
      <c r="O16" s="34"/>
      <c r="P16" s="298">
        <f>+L16-H16</f>
        <v>61226449.969874442</v>
      </c>
      <c r="Q16" s="34"/>
      <c r="R16" s="62">
        <f>+P16/H16</f>
        <v>0.18715894234453245</v>
      </c>
      <c r="S16" s="11"/>
      <c r="T16" s="11"/>
      <c r="U16" s="11"/>
      <c r="V16" s="11"/>
      <c r="X16" s="11"/>
      <c r="AK16" s="11"/>
      <c r="AL16" s="11"/>
    </row>
    <row r="17" spans="1:38">
      <c r="A17" s="34"/>
      <c r="B17" s="34"/>
      <c r="C17" s="34"/>
      <c r="D17" s="34"/>
      <c r="E17" s="34"/>
      <c r="F17" s="142"/>
      <c r="G17" s="34"/>
      <c r="H17" s="298"/>
      <c r="I17" s="34"/>
      <c r="J17" s="34"/>
      <c r="K17" s="34"/>
      <c r="L17" s="34"/>
      <c r="M17" s="34"/>
      <c r="N17" s="142"/>
      <c r="O17" s="34"/>
      <c r="P17" s="34"/>
      <c r="Q17" s="34"/>
      <c r="R17" s="34"/>
      <c r="S17" s="11"/>
      <c r="T17" s="11"/>
      <c r="U17" s="11"/>
      <c r="V17" s="11"/>
      <c r="X17" s="11"/>
      <c r="AK17" s="11"/>
      <c r="AL17" s="11"/>
    </row>
    <row r="18" spans="1:38">
      <c r="A18" s="34" t="s">
        <v>310</v>
      </c>
      <c r="B18" s="34"/>
      <c r="C18" s="34"/>
      <c r="D18" s="223">
        <f>+AB73</f>
        <v>131985618.70680602</v>
      </c>
      <c r="E18" s="34"/>
      <c r="F18" s="180">
        <f>ROUND(+D18/D$28,3)</f>
        <v>0.20100000000000001</v>
      </c>
      <c r="G18" s="34"/>
      <c r="H18" s="223">
        <f>'[7]Summary - Total Rev (Excl PGC)'!$D$8</f>
        <v>129248644.65573682</v>
      </c>
      <c r="I18" s="34"/>
      <c r="J18" s="62">
        <f>+ROUND(H18/$H$28,3)</f>
        <v>0.222</v>
      </c>
      <c r="K18" s="34"/>
      <c r="L18" s="417">
        <f>'[7]Summary - Total Rev (Excl PGC)'!$F$8</f>
        <v>141876205.84222966</v>
      </c>
      <c r="M18" s="34"/>
      <c r="N18" s="180">
        <f>+ROUND(L18/$L$28,3)</f>
        <v>0.216</v>
      </c>
      <c r="O18" s="34"/>
      <c r="P18" s="223">
        <f>+L18-H18</f>
        <v>12627561.186492845</v>
      </c>
      <c r="Q18" s="34"/>
      <c r="R18" s="62">
        <f>+P18/H18</f>
        <v>9.7699757085478733E-2</v>
      </c>
      <c r="S18" s="11"/>
      <c r="T18" s="11"/>
      <c r="U18" s="11"/>
      <c r="V18" s="11"/>
      <c r="X18" s="11"/>
      <c r="AK18" s="11"/>
      <c r="AL18" s="11"/>
    </row>
    <row r="19" spans="1:38">
      <c r="A19" s="34"/>
      <c r="B19" s="34"/>
      <c r="C19" s="34"/>
      <c r="D19" s="34"/>
      <c r="E19" s="34"/>
      <c r="F19" s="142"/>
      <c r="G19" s="34"/>
      <c r="H19" s="223"/>
      <c r="I19" s="34"/>
      <c r="J19" s="34"/>
      <c r="K19" s="34"/>
      <c r="L19" s="34"/>
      <c r="M19" s="34"/>
      <c r="N19" s="142"/>
      <c r="O19" s="34"/>
      <c r="P19" s="34"/>
      <c r="Q19" s="34"/>
      <c r="R19" s="34"/>
      <c r="S19" s="11"/>
      <c r="T19" s="11"/>
      <c r="U19" s="11"/>
      <c r="V19" s="11"/>
      <c r="X19" s="11"/>
      <c r="AK19" s="11"/>
      <c r="AL19" s="11"/>
    </row>
    <row r="20" spans="1:38">
      <c r="A20" s="34" t="s">
        <v>311</v>
      </c>
      <c r="B20" s="34"/>
      <c r="C20" s="34"/>
      <c r="D20" s="223">
        <f>+AD73</f>
        <v>28235513.971979633</v>
      </c>
      <c r="E20" s="34"/>
      <c r="F20" s="180">
        <f>ROUND(+D20/D$28,3)</f>
        <v>4.2999999999999997E-2</v>
      </c>
      <c r="G20" s="34"/>
      <c r="H20" s="223">
        <f>'[7]Summary - Total Rev (Excl PGC)'!$D$9</f>
        <v>33898606.799392045</v>
      </c>
      <c r="I20" s="34"/>
      <c r="J20" s="62">
        <f>+ROUND(H20/$H$28,3)</f>
        <v>5.8000000000000003E-2</v>
      </c>
      <c r="K20" s="34"/>
      <c r="L20" s="223">
        <f>'[7]Summary - Total Rev (Excl PGC)'!$F$9</f>
        <v>34595077.278633557</v>
      </c>
      <c r="M20" s="34"/>
      <c r="N20" s="180">
        <f>+ROUND(L20/$L$28,3)</f>
        <v>5.2999999999999999E-2</v>
      </c>
      <c r="O20" s="34"/>
      <c r="P20" s="223">
        <f>+L20-H20</f>
        <v>696470.47924151272</v>
      </c>
      <c r="Q20" s="34"/>
      <c r="R20" s="62">
        <f>+P20/H20</f>
        <v>2.0545696268968894E-2</v>
      </c>
      <c r="S20" s="11"/>
      <c r="T20" s="11"/>
      <c r="U20" s="11"/>
      <c r="V20" s="11"/>
      <c r="X20" s="11"/>
      <c r="AK20" s="11"/>
      <c r="AL20" s="11"/>
    </row>
    <row r="21" spans="1:38">
      <c r="A21" s="34"/>
      <c r="B21" s="34"/>
      <c r="C21" s="34"/>
      <c r="D21" s="34"/>
      <c r="E21" s="34"/>
      <c r="F21" s="142"/>
      <c r="G21" s="34"/>
      <c r="H21" s="223"/>
      <c r="I21" s="34"/>
      <c r="J21" s="34"/>
      <c r="K21" s="34"/>
      <c r="L21" s="34"/>
      <c r="M21" s="34"/>
      <c r="N21" s="142"/>
      <c r="O21" s="34"/>
      <c r="P21" s="34"/>
      <c r="Q21" s="34"/>
      <c r="R21" s="34"/>
      <c r="S21" s="11"/>
      <c r="T21" s="11"/>
      <c r="U21" s="11"/>
      <c r="V21" s="11"/>
      <c r="X21" s="11"/>
      <c r="AK21" s="11"/>
      <c r="AL21" s="11"/>
    </row>
    <row r="22" spans="1:38">
      <c r="A22" s="34" t="s">
        <v>312</v>
      </c>
      <c r="B22" s="34"/>
      <c r="C22" s="34"/>
      <c r="D22" s="223">
        <f>+AF73</f>
        <v>29363138.679013364</v>
      </c>
      <c r="E22" s="34"/>
      <c r="F22" s="180">
        <f>ROUND(+D22/D$28,3)</f>
        <v>4.4999999999999998E-2</v>
      </c>
      <c r="G22" s="34"/>
      <c r="H22" s="223">
        <f>'[7]Summary - Total Rev (Excl PGC)'!$D$10</f>
        <v>38351108.576806046</v>
      </c>
      <c r="I22" s="34"/>
      <c r="J22" s="62">
        <f>+ROUND(H22/$H$28,3)</f>
        <v>6.6000000000000003E-2</v>
      </c>
      <c r="K22" s="34"/>
      <c r="L22" s="223">
        <f>'[7]Summary - Total Rev (Excl PGC)'!$F$10</f>
        <v>38351108.576806046</v>
      </c>
      <c r="M22" s="34"/>
      <c r="N22" s="180">
        <f>+ROUND(L22/$L$28,3)</f>
        <v>5.8000000000000003E-2</v>
      </c>
      <c r="O22" s="34"/>
      <c r="P22" s="223">
        <f>+L22-H22</f>
        <v>0</v>
      </c>
      <c r="Q22" s="34"/>
      <c r="R22" s="62">
        <f>+P22/H22</f>
        <v>0</v>
      </c>
      <c r="S22" s="11"/>
      <c r="T22" s="11"/>
      <c r="U22" s="11"/>
      <c r="V22" s="11"/>
      <c r="X22" s="11"/>
      <c r="AK22" s="11"/>
      <c r="AL22" s="11"/>
    </row>
    <row r="23" spans="1:38" ht="15" customHeight="1">
      <c r="A23" s="34"/>
      <c r="B23" s="34"/>
      <c r="C23" s="34"/>
      <c r="D23" s="34"/>
      <c r="E23" s="34"/>
      <c r="F23" s="142"/>
      <c r="G23" s="34"/>
      <c r="H23" s="223"/>
      <c r="I23" s="34"/>
      <c r="J23" s="34"/>
      <c r="K23" s="34"/>
      <c r="L23" s="34"/>
      <c r="M23" s="34"/>
      <c r="N23" s="142"/>
      <c r="O23" s="34"/>
      <c r="P23" s="34"/>
      <c r="Q23" s="34"/>
      <c r="R23" s="34"/>
      <c r="S23" s="11"/>
      <c r="T23" s="11"/>
      <c r="U23" s="11"/>
      <c r="V23" s="11"/>
      <c r="X23" s="11"/>
      <c r="AK23" s="11"/>
      <c r="AL23" s="11"/>
    </row>
    <row r="24" spans="1:38">
      <c r="A24" s="34" t="s">
        <v>452</v>
      </c>
      <c r="B24" s="34"/>
      <c r="C24" s="34"/>
      <c r="D24" s="223">
        <f>+AH73</f>
        <v>24066376</v>
      </c>
      <c r="E24" s="34"/>
      <c r="F24" s="180">
        <f>ROUND(+D24/D$28,3)</f>
        <v>3.6999999999999998E-2</v>
      </c>
      <c r="G24" s="34"/>
      <c r="H24" s="223">
        <f>'[7]Summary - Total Rev (Excl PGC)'!$D$11</f>
        <v>29856105</v>
      </c>
      <c r="I24" s="34"/>
      <c r="J24" s="62">
        <f>+ROUND(H24/$H$28,3)</f>
        <v>5.0999999999999997E-2</v>
      </c>
      <c r="K24" s="34"/>
      <c r="L24" s="223">
        <f>'[7]Summary - Total Rev (Excl PGC)'!$F$11</f>
        <v>29856105</v>
      </c>
      <c r="M24" s="34"/>
      <c r="N24" s="180">
        <f>+ROUND(L24/$L$28,3)</f>
        <v>4.4999999999999998E-2</v>
      </c>
      <c r="O24" s="34"/>
      <c r="P24" s="223">
        <f>+L24-H24</f>
        <v>0</v>
      </c>
      <c r="Q24" s="34"/>
      <c r="R24" s="62">
        <f>+P24/H24</f>
        <v>0</v>
      </c>
      <c r="S24" s="11"/>
      <c r="T24" s="11"/>
      <c r="U24" s="11"/>
      <c r="V24" s="11"/>
      <c r="X24" s="11"/>
      <c r="AK24" s="11"/>
      <c r="AL24" s="11"/>
    </row>
    <row r="25" spans="1:38">
      <c r="A25" s="34"/>
      <c r="B25" s="34"/>
      <c r="C25" s="34"/>
      <c r="D25" s="223"/>
      <c r="E25" s="34"/>
      <c r="F25" s="180"/>
      <c r="G25" s="34"/>
      <c r="H25" s="223"/>
      <c r="I25" s="34"/>
      <c r="J25" s="62"/>
      <c r="K25" s="34"/>
      <c r="L25" s="223"/>
      <c r="M25" s="34"/>
      <c r="N25" s="180"/>
      <c r="O25" s="34"/>
      <c r="P25" s="223"/>
      <c r="Q25" s="34"/>
      <c r="R25" s="62"/>
      <c r="S25" s="11"/>
      <c r="T25" s="11"/>
      <c r="U25" s="11"/>
      <c r="V25" s="11"/>
      <c r="X25" s="11"/>
      <c r="AK25" s="11"/>
      <c r="AL25" s="11"/>
    </row>
    <row r="26" spans="1:38" ht="17.45" customHeight="1">
      <c r="A26" s="34" t="s">
        <v>414</v>
      </c>
      <c r="B26" s="34"/>
      <c r="C26" s="34"/>
      <c r="D26" s="223">
        <f>+AJ73</f>
        <v>15578528</v>
      </c>
      <c r="E26" s="34"/>
      <c r="F26" s="180">
        <f>ROUND(+D26/D$28,3)</f>
        <v>2.4E-2</v>
      </c>
      <c r="G26" s="34"/>
      <c r="H26" s="223">
        <f>'[7]Summary - Total Rev (Excl PGC)'!$D$12</f>
        <v>23442353</v>
      </c>
      <c r="I26" s="34"/>
      <c r="J26" s="415">
        <f>+ROUND(H26/$H$28,3)</f>
        <v>0.04</v>
      </c>
      <c r="K26" s="34"/>
      <c r="L26" s="223">
        <f>'[7]Summary - Total Rev (Excl PGC)'!$F$12</f>
        <v>23442353</v>
      </c>
      <c r="M26" s="34"/>
      <c r="N26" s="415">
        <f t="shared" ref="N26" si="0">+ROUND(L26/$L$28,3)</f>
        <v>3.5999999999999997E-2</v>
      </c>
      <c r="O26" s="34"/>
      <c r="P26" s="223">
        <f t="shared" ref="P26" si="1">+L26-H26</f>
        <v>0</v>
      </c>
      <c r="Q26" s="34"/>
      <c r="R26" s="62">
        <f t="shared" ref="R26" si="2">+P26/H26</f>
        <v>0</v>
      </c>
      <c r="S26" s="11"/>
      <c r="T26" s="11"/>
      <c r="U26" s="11"/>
      <c r="V26" s="11"/>
      <c r="X26" s="11"/>
      <c r="AK26" s="11"/>
      <c r="AL26" s="11"/>
    </row>
    <row r="27" spans="1:38">
      <c r="A27" s="34"/>
      <c r="B27" s="34"/>
      <c r="C27" s="34"/>
      <c r="D27" s="57"/>
      <c r="E27" s="34"/>
      <c r="F27" s="57"/>
      <c r="G27" s="34"/>
      <c r="H27" s="57"/>
      <c r="I27" s="34"/>
      <c r="J27" s="142"/>
      <c r="K27" s="34"/>
      <c r="L27" s="57"/>
      <c r="M27" s="34"/>
      <c r="N27" s="142"/>
      <c r="O27" s="34"/>
      <c r="P27" s="57"/>
      <c r="Q27" s="34"/>
      <c r="R27" s="34"/>
      <c r="S27" s="11"/>
      <c r="T27" s="11"/>
      <c r="U27" s="11"/>
      <c r="V27" s="11"/>
      <c r="X27" s="11"/>
      <c r="AK27" s="11"/>
      <c r="AL27" s="11"/>
    </row>
    <row r="28" spans="1:38" ht="15.75" thickBot="1">
      <c r="A28" s="34" t="s">
        <v>173</v>
      </c>
      <c r="B28" s="34"/>
      <c r="C28" s="34"/>
      <c r="D28" s="298">
        <f>SUM(D16:D26)</f>
        <v>656553949.5930444</v>
      </c>
      <c r="E28" s="34"/>
      <c r="F28" s="62">
        <f>SUM(F16:F26)</f>
        <v>1</v>
      </c>
      <c r="G28" s="34"/>
      <c r="H28" s="298">
        <f>SUM(H16:H26)</f>
        <v>581932936.68538094</v>
      </c>
      <c r="I28" s="34"/>
      <c r="J28" s="62">
        <f>SUM(J16:J26)</f>
        <v>1</v>
      </c>
      <c r="K28" s="34"/>
      <c r="L28" s="298">
        <f>SUM(L16:L26)</f>
        <v>656483418.32098985</v>
      </c>
      <c r="M28" s="34"/>
      <c r="N28" s="62">
        <f>SUM(N16:N26)</f>
        <v>1.0001</v>
      </c>
      <c r="O28" s="34"/>
      <c r="P28" s="298">
        <f>SUM(P16:P26)</f>
        <v>74550481.635608792</v>
      </c>
      <c r="Q28" s="34"/>
      <c r="R28" s="62">
        <f>+P28/H28</f>
        <v>0.12810837286550447</v>
      </c>
      <c r="S28" s="11"/>
      <c r="T28" s="11"/>
      <c r="U28" s="11"/>
      <c r="V28" s="11"/>
      <c r="W28" s="11"/>
      <c r="X28" s="11"/>
      <c r="AK28" s="11"/>
      <c r="AL28" s="11"/>
    </row>
    <row r="29" spans="1:38" ht="15.75" thickTop="1">
      <c r="A29" s="34"/>
      <c r="B29" s="34"/>
      <c r="C29" s="34"/>
      <c r="D29" s="63"/>
      <c r="E29" s="34"/>
      <c r="F29" s="63"/>
      <c r="G29" s="34"/>
      <c r="H29" s="63"/>
      <c r="I29" s="34"/>
      <c r="J29" s="63"/>
      <c r="K29" s="34"/>
      <c r="L29" s="63"/>
      <c r="M29" s="34"/>
      <c r="N29" s="63"/>
      <c r="O29" s="34"/>
      <c r="P29" s="63"/>
      <c r="Q29" s="34"/>
      <c r="R29" s="34"/>
      <c r="S29" s="11"/>
      <c r="T29" s="11"/>
      <c r="AK29" s="11"/>
      <c r="AL29" s="11"/>
    </row>
    <row r="30" spans="1:38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11"/>
      <c r="T30" s="11"/>
      <c r="AK30" s="11"/>
      <c r="AL30" s="11"/>
    </row>
    <row r="31" spans="1:38">
      <c r="A31" s="34" t="s">
        <v>6</v>
      </c>
      <c r="B31" s="34"/>
      <c r="C31" s="34"/>
      <c r="D31" s="182">
        <f>+Alloc!$I$258</f>
        <v>6297000</v>
      </c>
      <c r="E31" s="34"/>
      <c r="F31" s="34"/>
      <c r="G31" s="34"/>
      <c r="H31" s="182">
        <f>+Alloc!$I$258</f>
        <v>6297000</v>
      </c>
      <c r="I31" s="34"/>
      <c r="J31" s="142"/>
      <c r="K31" s="34"/>
      <c r="L31" s="182">
        <f>+Alloc!$I$258</f>
        <v>6297000</v>
      </c>
      <c r="M31" s="34"/>
      <c r="N31" s="34"/>
      <c r="O31" s="34"/>
      <c r="P31" s="34">
        <f>+L31-H31</f>
        <v>0</v>
      </c>
      <c r="Q31" s="34"/>
      <c r="R31" s="62"/>
      <c r="S31" s="11"/>
      <c r="T31" s="11"/>
      <c r="AK31" s="11"/>
      <c r="AL31" s="11"/>
    </row>
    <row r="32" spans="1:38">
      <c r="A32" s="34"/>
      <c r="B32" s="34"/>
      <c r="C32" s="34"/>
      <c r="D32" s="57"/>
      <c r="E32" s="34"/>
      <c r="F32" s="34"/>
      <c r="G32" s="34"/>
      <c r="H32" s="57"/>
      <c r="I32" s="34"/>
      <c r="J32" s="142"/>
      <c r="K32" s="34"/>
      <c r="L32" s="57"/>
      <c r="M32" s="34"/>
      <c r="N32" s="34"/>
      <c r="O32" s="34"/>
      <c r="P32" s="57"/>
      <c r="Q32" s="34"/>
      <c r="R32" s="34"/>
      <c r="S32" s="11"/>
      <c r="T32" s="11"/>
      <c r="AK32" s="11"/>
      <c r="AL32" s="11"/>
    </row>
    <row r="33" spans="1:38" ht="15.75" thickBot="1">
      <c r="A33" s="34" t="s">
        <v>7</v>
      </c>
      <c r="B33" s="34"/>
      <c r="C33" s="34"/>
      <c r="D33" s="226">
        <f>SUM(D28:D31)</f>
        <v>662850949.5930444</v>
      </c>
      <c r="E33" s="34"/>
      <c r="F33" s="34"/>
      <c r="G33" s="34"/>
      <c r="H33" s="226">
        <f>SUM(H28:H31)</f>
        <v>588229936.68538094</v>
      </c>
      <c r="I33" s="61"/>
      <c r="J33" s="198"/>
      <c r="K33" s="61"/>
      <c r="L33" s="226">
        <f>SUM(L28:L31)</f>
        <v>662780418.32098985</v>
      </c>
      <c r="M33" s="61"/>
      <c r="N33" s="61"/>
      <c r="O33" s="61"/>
      <c r="P33" s="226">
        <f>SUM(P28:P31)</f>
        <v>74550481.635608792</v>
      </c>
      <c r="Q33" s="34"/>
      <c r="R33" s="62">
        <f>+P33/H33</f>
        <v>0.12673697305460782</v>
      </c>
      <c r="S33" s="11"/>
      <c r="T33" s="11"/>
      <c r="AK33" s="11"/>
      <c r="AL33" s="11"/>
    </row>
    <row r="34" spans="1:38" ht="15.75" thickTop="1">
      <c r="A34" s="11"/>
      <c r="B34" s="11"/>
      <c r="C34" s="11"/>
      <c r="D34" s="11"/>
      <c r="E34" s="11"/>
      <c r="F34" s="11"/>
      <c r="G34" s="11"/>
      <c r="H34" s="130"/>
      <c r="I34" s="11"/>
      <c r="J34" s="130"/>
      <c r="K34" s="11"/>
      <c r="L34" s="130"/>
      <c r="M34" s="11"/>
      <c r="N34" s="11"/>
      <c r="O34" s="11"/>
      <c r="P34" s="130"/>
      <c r="Q34" s="11"/>
      <c r="R34" s="11"/>
      <c r="S34" s="11"/>
      <c r="T34" s="11"/>
      <c r="AK34" s="11"/>
      <c r="AL34" s="11"/>
    </row>
    <row r="35" spans="1:38">
      <c r="A35" s="329"/>
      <c r="B35" s="370"/>
      <c r="C35" s="370"/>
      <c r="D35" s="11"/>
      <c r="E35" s="11"/>
      <c r="F35" s="11"/>
      <c r="G35" s="11"/>
      <c r="M35" s="11"/>
      <c r="N35" s="11"/>
      <c r="O35" s="11"/>
      <c r="P35" s="11"/>
      <c r="Q35" s="11"/>
      <c r="R35" s="11"/>
      <c r="S35" s="11"/>
      <c r="T35" s="11"/>
      <c r="AK35" s="11"/>
      <c r="AL35" s="11"/>
    </row>
    <row r="36" spans="1:38">
      <c r="A36" s="371"/>
      <c r="B36" s="11"/>
      <c r="C36" s="11"/>
      <c r="D36" s="1103"/>
      <c r="E36" s="1103"/>
      <c r="F36" s="1103"/>
      <c r="G36" s="1103"/>
      <c r="H36" s="641"/>
      <c r="I36" s="641"/>
      <c r="J36" s="641"/>
      <c r="K36" s="641"/>
      <c r="L36" s="1104"/>
      <c r="M36" s="1105"/>
      <c r="N36" s="284"/>
      <c r="O36" s="284"/>
      <c r="P36" s="284"/>
      <c r="Q36" s="284"/>
      <c r="R36" s="11"/>
      <c r="S36" s="11"/>
      <c r="T36" s="11"/>
      <c r="AK36" s="11"/>
      <c r="AL36" s="11"/>
    </row>
    <row r="37" spans="1:38">
      <c r="A37" s="371"/>
      <c r="B37" s="11"/>
      <c r="C37" s="11"/>
      <c r="D37" s="222"/>
      <c r="E37" s="222"/>
      <c r="F37" s="222"/>
      <c r="G37" s="1103"/>
      <c r="H37" s="468"/>
      <c r="I37" s="222"/>
      <c r="J37" s="252"/>
      <c r="K37" s="222"/>
      <c r="L37" s="468"/>
      <c r="M37" s="1103"/>
      <c r="N37" s="284"/>
      <c r="O37" s="284"/>
      <c r="P37" s="11"/>
      <c r="Q37" s="284"/>
      <c r="R37" s="11"/>
      <c r="S37" s="11"/>
      <c r="T37" s="11"/>
      <c r="AK37" s="11"/>
      <c r="AL37" s="11"/>
    </row>
    <row r="38" spans="1:38">
      <c r="A38" s="11"/>
      <c r="B38" s="11"/>
      <c r="C38" s="11"/>
      <c r="D38" s="222"/>
      <c r="E38" s="222"/>
      <c r="F38" s="222"/>
      <c r="G38" s="1103"/>
      <c r="H38" s="222"/>
      <c r="I38" s="222"/>
      <c r="J38" s="222"/>
      <c r="K38" s="222"/>
      <c r="L38" s="222"/>
      <c r="M38" s="1103"/>
      <c r="N38" s="284"/>
      <c r="O38" s="284"/>
      <c r="P38" s="284"/>
      <c r="Q38" s="284"/>
      <c r="R38" s="11"/>
      <c r="S38" s="11"/>
      <c r="T38" s="11"/>
      <c r="AK38" s="11"/>
      <c r="AL38" s="11"/>
    </row>
    <row r="39" spans="1:38">
      <c r="A39" s="11"/>
      <c r="B39" s="11"/>
      <c r="C39" s="11"/>
      <c r="D39" s="222"/>
      <c r="E39" s="1106"/>
      <c r="F39" s="222"/>
      <c r="G39" s="1103"/>
      <c r="H39" s="1103"/>
      <c r="I39" s="222"/>
      <c r="J39" s="222"/>
      <c r="K39" s="222"/>
      <c r="L39" s="222"/>
      <c r="M39" s="1103"/>
      <c r="N39" s="284"/>
      <c r="O39" s="284"/>
      <c r="P39" s="284"/>
      <c r="Q39" s="284"/>
      <c r="R39" s="11"/>
      <c r="S39" s="11"/>
      <c r="T39" s="11"/>
      <c r="U39" s="1087" t="s">
        <v>826</v>
      </c>
      <c r="V39" s="1087"/>
      <c r="W39" s="1087"/>
      <c r="X39" s="1087"/>
      <c r="Y39" s="1087"/>
      <c r="Z39" s="1087"/>
      <c r="AA39" s="1087"/>
      <c r="AB39" s="1087"/>
      <c r="AC39" s="1087"/>
      <c r="AD39" s="1087"/>
      <c r="AE39" s="1087"/>
      <c r="AF39" s="1087"/>
      <c r="AG39" s="1087"/>
      <c r="AH39" s="1087"/>
      <c r="AI39" s="1087"/>
      <c r="AJ39" s="1087"/>
      <c r="AK39" s="34"/>
      <c r="AL39" s="34"/>
    </row>
    <row r="40" spans="1:38" ht="15.75">
      <c r="A40" s="11"/>
      <c r="B40" s="11"/>
      <c r="C40" s="11"/>
      <c r="D40" s="222"/>
      <c r="E40" s="1106"/>
      <c r="F40" s="222"/>
      <c r="G40" s="1103"/>
      <c r="H40" s="1103"/>
      <c r="I40" s="1103"/>
      <c r="J40" s="1103"/>
      <c r="K40" s="1103"/>
      <c r="L40" s="1103"/>
      <c r="M40" s="1103"/>
      <c r="N40" s="284"/>
      <c r="O40" s="284"/>
      <c r="P40" s="284"/>
      <c r="Q40" s="284"/>
      <c r="R40" s="11"/>
      <c r="S40" s="11"/>
      <c r="T40" s="11"/>
      <c r="U40" s="96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93"/>
      <c r="AH40" s="97"/>
      <c r="AI40" s="97"/>
      <c r="AJ40" s="55"/>
      <c r="AK40" s="11"/>
      <c r="AL40" s="11"/>
    </row>
    <row r="41" spans="1:38">
      <c r="A41" s="11"/>
      <c r="B41" s="11"/>
      <c r="C41" s="11"/>
      <c r="D41" s="1103"/>
      <c r="E41" s="1103"/>
      <c r="F41" s="1103"/>
      <c r="G41" s="1103"/>
      <c r="H41" s="1103"/>
      <c r="I41" s="1103"/>
      <c r="J41" s="1103"/>
      <c r="K41" s="1103"/>
      <c r="L41" s="1103"/>
      <c r="M41" s="1103"/>
      <c r="N41" s="284"/>
      <c r="O41" s="284"/>
      <c r="P41" s="284"/>
      <c r="Q41" s="284"/>
      <c r="R41" s="11"/>
      <c r="S41" s="11"/>
      <c r="T41" s="11"/>
      <c r="U41" s="55" t="s">
        <v>8</v>
      </c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68"/>
      <c r="AI41" s="68"/>
      <c r="AJ41" s="55"/>
      <c r="AK41" s="11"/>
      <c r="AL41" s="11"/>
    </row>
    <row r="42" spans="1:38">
      <c r="A42" s="11"/>
      <c r="B42" s="11"/>
      <c r="C42" s="11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11"/>
      <c r="O42" s="11"/>
      <c r="P42" s="11"/>
      <c r="Q42" s="11"/>
      <c r="R42" s="11"/>
      <c r="S42" s="11"/>
      <c r="T42" s="11"/>
      <c r="U42" s="23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68"/>
      <c r="AI42" s="68"/>
      <c r="AJ42" s="55"/>
      <c r="AK42" s="11"/>
      <c r="AL42" s="11"/>
    </row>
    <row r="43" spans="1:38">
      <c r="A43" s="11"/>
      <c r="B43" s="11"/>
      <c r="C43" s="11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11"/>
      <c r="O43" s="11"/>
      <c r="P43" s="11"/>
      <c r="Q43" s="11"/>
      <c r="R43" s="11"/>
      <c r="S43" s="11"/>
      <c r="T43" s="11"/>
      <c r="U43" s="34"/>
      <c r="V43" s="34"/>
      <c r="W43" s="34"/>
      <c r="X43" s="60" t="s">
        <v>211</v>
      </c>
      <c r="Y43" s="34"/>
      <c r="Z43" s="34"/>
      <c r="AA43" s="34"/>
      <c r="AC43" s="34"/>
      <c r="AD43" s="60"/>
      <c r="AE43" s="60"/>
      <c r="AF43" s="60"/>
      <c r="AG43" s="34"/>
      <c r="AH43" s="69"/>
      <c r="AI43" s="69"/>
      <c r="AJ43" s="34"/>
      <c r="AK43" s="11"/>
      <c r="AL43" s="11"/>
    </row>
    <row r="44" spans="1:38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34"/>
      <c r="V44" s="34"/>
      <c r="W44" s="34"/>
      <c r="X44" s="60" t="s">
        <v>168</v>
      </c>
      <c r="Y44" s="34"/>
      <c r="Z44" s="60"/>
      <c r="AA44" s="34"/>
      <c r="AB44" s="128"/>
      <c r="AC44" s="34"/>
      <c r="AD44" s="60"/>
      <c r="AE44" s="60"/>
      <c r="AF44" s="60"/>
      <c r="AG44" s="34"/>
      <c r="AH44" s="69"/>
      <c r="AI44" s="69"/>
      <c r="AJ44" s="60"/>
      <c r="AK44" s="11"/>
      <c r="AL44" s="11"/>
    </row>
    <row r="45" spans="1:38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55" t="s">
        <v>9</v>
      </c>
      <c r="V45" s="55"/>
      <c r="W45" s="34"/>
      <c r="X45" s="60" t="s">
        <v>10</v>
      </c>
      <c r="Y45" s="34"/>
      <c r="Z45" s="60" t="s">
        <v>314</v>
      </c>
      <c r="AA45" s="34"/>
      <c r="AB45" s="127" t="s">
        <v>310</v>
      </c>
      <c r="AC45" s="34"/>
      <c r="AD45" s="60" t="s">
        <v>311</v>
      </c>
      <c r="AE45" s="60"/>
      <c r="AF45" s="60" t="s">
        <v>312</v>
      </c>
      <c r="AG45" s="34"/>
      <c r="AH45" s="69" t="s">
        <v>452</v>
      </c>
      <c r="AI45" s="69"/>
      <c r="AJ45" s="60" t="s">
        <v>414</v>
      </c>
      <c r="AK45" s="11"/>
      <c r="AL45" s="11"/>
    </row>
    <row r="46" spans="1:38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56" t="s">
        <v>170</v>
      </c>
      <c r="V46" s="56"/>
      <c r="W46" s="34"/>
      <c r="X46" s="82">
        <v>-2</v>
      </c>
      <c r="Y46" s="34"/>
      <c r="Z46" s="82">
        <f>+X46-1</f>
        <v>-3</v>
      </c>
      <c r="AA46" s="34"/>
      <c r="AB46" s="82">
        <f>+Z46-1</f>
        <v>-4</v>
      </c>
      <c r="AC46" s="34"/>
      <c r="AD46" s="82">
        <f>+AB46-1</f>
        <v>-5</v>
      </c>
      <c r="AE46" s="34"/>
      <c r="AF46" s="82">
        <f>+AD46-1</f>
        <v>-6</v>
      </c>
      <c r="AG46" s="60"/>
      <c r="AH46" s="82">
        <v>-7</v>
      </c>
      <c r="AI46" s="385"/>
      <c r="AJ46" s="82">
        <v>-8</v>
      </c>
      <c r="AK46" s="11"/>
      <c r="AL46" s="11"/>
    </row>
    <row r="47" spans="1:38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61"/>
      <c r="AI47" s="61"/>
      <c r="AJ47" s="34"/>
      <c r="AK47" s="11"/>
      <c r="AL47" s="11"/>
    </row>
    <row r="48" spans="1:3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70" t="s">
        <v>248</v>
      </c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61"/>
      <c r="AI48" s="61"/>
      <c r="AJ48" s="34"/>
      <c r="AK48" s="11"/>
      <c r="AL48" s="11"/>
    </row>
    <row r="49" spans="1:4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34" t="s">
        <v>315</v>
      </c>
      <c r="V49" s="34"/>
      <c r="W49" s="34"/>
      <c r="X49" s="298">
        <f>+Alloc!K261</f>
        <v>195092709.49572051</v>
      </c>
      <c r="Y49" s="34"/>
      <c r="Z49" s="298">
        <f>X49</f>
        <v>195092709.49572051</v>
      </c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11"/>
      <c r="AL49" s="11"/>
    </row>
    <row r="50" spans="1:4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34" t="s">
        <v>323</v>
      </c>
      <c r="V50" s="34"/>
      <c r="W50" s="34"/>
      <c r="X50" s="223">
        <f>+Alloc!M261</f>
        <v>87753817.664346769</v>
      </c>
      <c r="Y50" s="34"/>
      <c r="Z50" s="298"/>
      <c r="AA50" s="298"/>
      <c r="AB50" s="298">
        <f>X50</f>
        <v>87753817.664346769</v>
      </c>
      <c r="AC50" s="298"/>
      <c r="AD50" s="298"/>
      <c r="AE50" s="298"/>
      <c r="AF50" s="298"/>
      <c r="AG50" s="298"/>
      <c r="AH50" s="298"/>
      <c r="AI50" s="298"/>
      <c r="AJ50" s="298"/>
      <c r="AK50" s="11"/>
      <c r="AL50" s="11"/>
    </row>
    <row r="51" spans="1:4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34" t="s">
        <v>324</v>
      </c>
      <c r="V51" s="34"/>
      <c r="W51" s="34"/>
      <c r="X51" s="223">
        <f>+Alloc!O261</f>
        <v>22751072.971979633</v>
      </c>
      <c r="Y51" s="34"/>
      <c r="Z51" s="298"/>
      <c r="AA51" s="298"/>
      <c r="AB51" s="298"/>
      <c r="AC51" s="298"/>
      <c r="AD51" s="298">
        <f>X51</f>
        <v>22751072.971979633</v>
      </c>
      <c r="AE51" s="298"/>
      <c r="AF51" s="298"/>
      <c r="AG51" s="298"/>
      <c r="AH51" s="298"/>
      <c r="AI51" s="298"/>
      <c r="AJ51" s="299"/>
      <c r="AK51" s="11"/>
      <c r="AL51" s="11"/>
    </row>
    <row r="52" spans="1:4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34" t="s">
        <v>325</v>
      </c>
      <c r="V52" s="34"/>
      <c r="W52" s="34"/>
      <c r="X52" s="223">
        <f>+Alloc!Q261</f>
        <v>26332375.679013364</v>
      </c>
      <c r="Y52" s="34"/>
      <c r="Z52" s="298"/>
      <c r="AA52" s="298"/>
      <c r="AB52" s="298"/>
      <c r="AC52" s="298"/>
      <c r="AD52" s="298"/>
      <c r="AE52" s="298"/>
      <c r="AF52" s="298">
        <f>+X52</f>
        <v>26332375.679013364</v>
      </c>
      <c r="AG52" s="298"/>
      <c r="AH52" s="298"/>
      <c r="AI52" s="298"/>
      <c r="AJ52" s="299"/>
      <c r="AK52" s="11"/>
      <c r="AL52" s="11"/>
    </row>
    <row r="53" spans="1:4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34" t="s">
        <v>454</v>
      </c>
      <c r="V53" s="34"/>
      <c r="W53" s="34"/>
      <c r="X53" s="223">
        <f>+Alloc!S261</f>
        <v>23365765</v>
      </c>
      <c r="Y53" s="34"/>
      <c r="Z53" s="298"/>
      <c r="AA53" s="298"/>
      <c r="AB53" s="298"/>
      <c r="AC53" s="298"/>
      <c r="AD53" s="298"/>
      <c r="AE53" s="298"/>
      <c r="AF53" s="298"/>
      <c r="AG53" s="298"/>
      <c r="AH53" s="298">
        <f>X53</f>
        <v>23365765</v>
      </c>
      <c r="AI53" s="298"/>
      <c r="AJ53" s="299"/>
      <c r="AK53" s="11"/>
      <c r="AL53" s="11"/>
      <c r="AM53" s="29"/>
      <c r="AN53" s="29"/>
      <c r="AO53" s="29"/>
      <c r="AP53" s="29"/>
    </row>
    <row r="54" spans="1:4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34" t="s">
        <v>418</v>
      </c>
      <c r="X54" s="258">
        <f>+Alloc!U261</f>
        <v>13775549</v>
      </c>
      <c r="Z54" s="300"/>
      <c r="AA54" s="257"/>
      <c r="AB54" s="300"/>
      <c r="AC54" s="257"/>
      <c r="AD54" s="300"/>
      <c r="AE54" s="257"/>
      <c r="AF54" s="300"/>
      <c r="AG54" s="257"/>
      <c r="AH54" s="300"/>
      <c r="AI54" s="394"/>
      <c r="AJ54" s="300">
        <f>+X54</f>
        <v>13775549</v>
      </c>
      <c r="AK54" s="130"/>
      <c r="AL54" s="130"/>
      <c r="AM54" s="29"/>
      <c r="AN54" s="29"/>
      <c r="AO54" s="29"/>
      <c r="AP54" s="29"/>
      <c r="AQ54" s="29"/>
    </row>
    <row r="55" spans="1:4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34" t="s">
        <v>357</v>
      </c>
      <c r="V55" s="34"/>
      <c r="W55" s="34"/>
      <c r="X55" s="223">
        <f>SUM(X49:X54)</f>
        <v>369071289.81106025</v>
      </c>
      <c r="Y55" s="34"/>
      <c r="Z55" s="223">
        <f>SUM(Z49:Z54)</f>
        <v>195092709.49572051</v>
      </c>
      <c r="AA55" s="223"/>
      <c r="AB55" s="223">
        <f>SUM(AB49:AB54)</f>
        <v>87753817.664346769</v>
      </c>
      <c r="AC55" s="223"/>
      <c r="AD55" s="223">
        <f>SUM(AD49:AD54)</f>
        <v>22751072.971979633</v>
      </c>
      <c r="AE55" s="223"/>
      <c r="AF55" s="223">
        <f>SUM(AF49:AF54)</f>
        <v>26332375.679013364</v>
      </c>
      <c r="AG55" s="223"/>
      <c r="AH55" s="223">
        <f>SUM(AH49:AH54)</f>
        <v>23365765</v>
      </c>
      <c r="AI55" s="223">
        <f>SUM(AI49:AI54)</f>
        <v>0</v>
      </c>
      <c r="AJ55" s="223">
        <f>SUM(AJ49:AJ54)</f>
        <v>13775549</v>
      </c>
      <c r="AK55" s="130"/>
      <c r="AL55" s="130"/>
      <c r="AM55" s="29"/>
      <c r="AN55" s="29"/>
      <c r="AO55" s="29"/>
      <c r="AP55" s="29"/>
      <c r="AQ55" s="29"/>
    </row>
    <row r="56" spans="1:4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61"/>
      <c r="AI56" s="61"/>
      <c r="AJ56" s="142"/>
      <c r="AK56" s="130"/>
      <c r="AL56" s="130"/>
      <c r="AM56" s="29"/>
      <c r="AN56" s="29"/>
      <c r="AO56" s="29"/>
      <c r="AP56" s="29"/>
      <c r="AQ56" s="29"/>
    </row>
    <row r="57" spans="1:4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70" t="s">
        <v>249</v>
      </c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61"/>
      <c r="AI57" s="61"/>
      <c r="AJ57" s="34"/>
      <c r="AK57" s="130"/>
      <c r="AL57" s="130"/>
      <c r="AM57" s="29"/>
      <c r="AN57" s="29"/>
      <c r="AO57" s="29"/>
      <c r="AP57" s="29"/>
      <c r="AQ57" s="29"/>
    </row>
    <row r="58" spans="1:4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34" t="s">
        <v>315</v>
      </c>
      <c r="V58" s="34"/>
      <c r="W58" s="34"/>
      <c r="X58" s="298">
        <f>+Alloc!W261</f>
        <v>232232064.73952484</v>
      </c>
      <c r="Y58" s="34"/>
      <c r="Z58" s="298">
        <f>X58</f>
        <v>232232064.73952484</v>
      </c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130"/>
      <c r="AL58" s="130"/>
      <c r="AM58" s="29"/>
      <c r="AN58" s="29"/>
      <c r="AO58" s="29"/>
      <c r="AP58" s="29"/>
      <c r="AQ58" s="29"/>
    </row>
    <row r="59" spans="1:4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34" t="s">
        <v>323</v>
      </c>
      <c r="V59" s="34"/>
      <c r="W59" s="34"/>
      <c r="X59" s="223">
        <f>+Alloc!Y261</f>
        <v>44231801.042459249</v>
      </c>
      <c r="Y59" s="34"/>
      <c r="Z59" s="298"/>
      <c r="AA59" s="298"/>
      <c r="AB59" s="298">
        <f>X59</f>
        <v>44231801.042459249</v>
      </c>
      <c r="AC59" s="298"/>
      <c r="AD59" s="298"/>
      <c r="AE59" s="298"/>
      <c r="AF59" s="298"/>
      <c r="AG59" s="298"/>
      <c r="AH59" s="298"/>
      <c r="AI59" s="298"/>
      <c r="AJ59" s="298"/>
      <c r="AK59" s="130"/>
      <c r="AL59" s="130"/>
      <c r="AM59" s="29"/>
      <c r="AN59" s="29"/>
      <c r="AO59" s="29"/>
      <c r="AP59" s="29"/>
      <c r="AQ59" s="29"/>
    </row>
    <row r="60" spans="1:4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34" t="s">
        <v>324</v>
      </c>
      <c r="V60" s="34"/>
      <c r="W60" s="34"/>
      <c r="X60" s="223">
        <f>+Alloc!AA261</f>
        <v>5484441</v>
      </c>
      <c r="Y60" s="34"/>
      <c r="Z60" s="298"/>
      <c r="AA60" s="298"/>
      <c r="AB60" s="298"/>
      <c r="AC60" s="298"/>
      <c r="AD60" s="298">
        <f>X60</f>
        <v>5484441</v>
      </c>
      <c r="AE60" s="298"/>
      <c r="AF60" s="298"/>
      <c r="AG60" s="298"/>
      <c r="AH60" s="298"/>
      <c r="AI60" s="298"/>
      <c r="AJ60" s="299"/>
      <c r="AK60" s="130"/>
      <c r="AL60" s="130"/>
      <c r="AM60" s="29"/>
      <c r="AN60" s="29"/>
      <c r="AO60" s="29"/>
      <c r="AP60" s="29"/>
      <c r="AQ60" s="29"/>
    </row>
    <row r="61" spans="1:4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34" t="s">
        <v>325</v>
      </c>
      <c r="V61" s="34"/>
      <c r="W61" s="34"/>
      <c r="X61" s="223">
        <f>+Alloc!AC261</f>
        <v>3030763</v>
      </c>
      <c r="Y61" s="34"/>
      <c r="Z61" s="298"/>
      <c r="AA61" s="298"/>
      <c r="AB61" s="298"/>
      <c r="AC61" s="298"/>
      <c r="AD61" s="298"/>
      <c r="AE61" s="298"/>
      <c r="AF61" s="298">
        <f>+X61</f>
        <v>3030763</v>
      </c>
      <c r="AG61" s="298"/>
      <c r="AH61" s="298"/>
      <c r="AI61" s="298"/>
      <c r="AJ61" s="299"/>
      <c r="AK61" s="130"/>
      <c r="AL61" s="130"/>
      <c r="AM61" s="29"/>
      <c r="AN61" s="29"/>
      <c r="AO61" s="29"/>
      <c r="AP61" s="29"/>
      <c r="AQ61" s="29"/>
    </row>
    <row r="62" spans="1:4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34" t="s">
        <v>454</v>
      </c>
      <c r="V62" s="34"/>
      <c r="W62" s="34"/>
      <c r="X62" s="223">
        <f>+Alloc!AE261</f>
        <v>700611</v>
      </c>
      <c r="Y62" s="34"/>
      <c r="Z62" s="298"/>
      <c r="AA62" s="298"/>
      <c r="AB62" s="298"/>
      <c r="AC62" s="298"/>
      <c r="AD62" s="298"/>
      <c r="AE62" s="298"/>
      <c r="AF62" s="298"/>
      <c r="AG62" s="298"/>
      <c r="AH62" s="298">
        <f>X62</f>
        <v>700611</v>
      </c>
      <c r="AI62" s="298"/>
      <c r="AJ62" s="299"/>
      <c r="AK62" s="130"/>
      <c r="AL62" s="130"/>
      <c r="AM62" s="29"/>
      <c r="AN62" s="29"/>
      <c r="AO62" s="29"/>
      <c r="AP62" s="29"/>
      <c r="AQ62" s="29"/>
    </row>
    <row r="63" spans="1:4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34" t="s">
        <v>418</v>
      </c>
      <c r="X63" s="258">
        <f>+Alloc!AG261</f>
        <v>1802979</v>
      </c>
      <c r="Z63" s="300"/>
      <c r="AA63" s="257"/>
      <c r="AB63" s="300"/>
      <c r="AC63" s="257"/>
      <c r="AD63" s="300"/>
      <c r="AE63" s="257"/>
      <c r="AF63" s="300"/>
      <c r="AG63" s="257"/>
      <c r="AH63" s="300"/>
      <c r="AI63" s="394"/>
      <c r="AJ63" s="300">
        <f>ROUND(X63,0)</f>
        <v>1802979</v>
      </c>
      <c r="AK63" s="130"/>
      <c r="AL63" s="130"/>
      <c r="AM63" s="29"/>
      <c r="AN63" s="29"/>
      <c r="AO63" s="29"/>
      <c r="AP63" s="29"/>
      <c r="AQ63" s="29"/>
    </row>
    <row r="64" spans="1:4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34" t="s">
        <v>356</v>
      </c>
      <c r="V64" s="34"/>
      <c r="W64" s="34"/>
      <c r="X64" s="223">
        <f>SUM(X58:X63)</f>
        <v>287482659.78198409</v>
      </c>
      <c r="Y64" s="34"/>
      <c r="Z64" s="223">
        <f t="shared" ref="Z64:AJ64" si="3">SUM(Z58:Z63)</f>
        <v>232232064.73952484</v>
      </c>
      <c r="AA64" s="223"/>
      <c r="AB64" s="223">
        <f t="shared" si="3"/>
        <v>44231801.042459249</v>
      </c>
      <c r="AC64" s="223"/>
      <c r="AD64" s="223">
        <f t="shared" si="3"/>
        <v>5484441</v>
      </c>
      <c r="AE64" s="223"/>
      <c r="AF64" s="223">
        <f t="shared" si="3"/>
        <v>3030763</v>
      </c>
      <c r="AG64" s="223"/>
      <c r="AH64" s="223">
        <f t="shared" si="3"/>
        <v>700611</v>
      </c>
      <c r="AI64" s="223"/>
      <c r="AJ64" s="223">
        <f t="shared" si="3"/>
        <v>1802979</v>
      </c>
      <c r="AK64" s="130"/>
      <c r="AL64" s="130"/>
      <c r="AM64" s="29"/>
      <c r="AN64" s="29"/>
      <c r="AO64" s="29"/>
      <c r="AP64" s="29"/>
      <c r="AQ64" s="29"/>
    </row>
    <row r="65" spans="1:4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61"/>
      <c r="AI65" s="61"/>
      <c r="AJ65" s="34"/>
      <c r="AK65" s="130"/>
      <c r="AL65" s="130"/>
      <c r="AM65" s="29"/>
      <c r="AN65" s="29"/>
      <c r="AO65" s="29"/>
      <c r="AP65" s="29"/>
      <c r="AQ65" s="29"/>
    </row>
    <row r="66" spans="1:4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34"/>
      <c r="V66" s="34"/>
      <c r="W66" s="34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98"/>
      <c r="AI66" s="198"/>
      <c r="AJ66" s="142"/>
      <c r="AK66" s="130"/>
      <c r="AL66" s="130"/>
      <c r="AM66" s="29"/>
      <c r="AN66" s="29"/>
      <c r="AO66" s="29"/>
      <c r="AP66" s="29"/>
      <c r="AQ66" s="29"/>
    </row>
    <row r="67" spans="1:43" ht="15.75" thickBo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34" t="s">
        <v>443</v>
      </c>
      <c r="V67" s="34"/>
      <c r="W67" s="34"/>
      <c r="X67" s="381">
        <f>+X65+X64+X55</f>
        <v>656553949.59304428</v>
      </c>
      <c r="Y67" s="298"/>
      <c r="Z67" s="381">
        <f>+Z65+Z64+Z55</f>
        <v>427324774.23524535</v>
      </c>
      <c r="AA67" s="298"/>
      <c r="AB67" s="381">
        <f>+AB65+AB64+AB55</f>
        <v>131985618.70680602</v>
      </c>
      <c r="AC67" s="298"/>
      <c r="AD67" s="381">
        <f>+AD65+AD64+AD55</f>
        <v>28235513.971979633</v>
      </c>
      <c r="AE67" s="298"/>
      <c r="AF67" s="381">
        <f>+AF65+AF64+AF55</f>
        <v>29363138.679013364</v>
      </c>
      <c r="AG67" s="298"/>
      <c r="AH67" s="381">
        <f>+AH65+AH64+AH55</f>
        <v>24066376</v>
      </c>
      <c r="AI67" s="198"/>
      <c r="AJ67" s="381">
        <f>+AJ65+AJ64+AJ55</f>
        <v>15578528</v>
      </c>
      <c r="AK67" s="130"/>
      <c r="AL67" s="130"/>
      <c r="AM67" s="29"/>
      <c r="AN67" s="29"/>
      <c r="AO67" s="29"/>
      <c r="AP67" s="29"/>
      <c r="AQ67" s="29"/>
    </row>
    <row r="68" spans="1:43" ht="15.75" thickTop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130"/>
      <c r="AL68" s="130"/>
      <c r="AM68" s="29"/>
      <c r="AN68" s="29"/>
      <c r="AO68" s="29"/>
      <c r="AP68" s="29"/>
      <c r="AQ68" s="29"/>
    </row>
    <row r="69" spans="1:4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130"/>
      <c r="AL69" s="130"/>
      <c r="AM69" s="29"/>
      <c r="AN69" s="29"/>
      <c r="AO69" s="29"/>
      <c r="AP69" s="29"/>
      <c r="AQ69" s="29"/>
    </row>
    <row r="70" spans="1:4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34" t="s">
        <v>11</v>
      </c>
      <c r="V70" s="34"/>
      <c r="W70" s="34"/>
      <c r="X70" s="34">
        <f>+SUM(Z70:AH70)</f>
        <v>0</v>
      </c>
      <c r="Y70" s="34"/>
      <c r="Z70" s="34"/>
      <c r="AA70" s="34"/>
      <c r="AB70" s="34"/>
      <c r="AC70" s="34"/>
      <c r="AD70" s="34"/>
      <c r="AE70" s="34"/>
      <c r="AF70" s="34"/>
      <c r="AG70" s="34"/>
      <c r="AH70" s="34">
        <v>0</v>
      </c>
      <c r="AI70" s="34">
        <v>0</v>
      </c>
      <c r="AJ70" s="34">
        <v>0</v>
      </c>
      <c r="AK70" s="130"/>
      <c r="AL70" s="130"/>
      <c r="AM70" s="29"/>
      <c r="AN70" s="29"/>
      <c r="AO70" s="29"/>
      <c r="AP70" s="29"/>
      <c r="AQ70" s="29"/>
    </row>
    <row r="71" spans="1:4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34"/>
      <c r="V71" s="34"/>
      <c r="W71" s="34"/>
      <c r="X71" s="57"/>
      <c r="Y71" s="34"/>
      <c r="Z71" s="57"/>
      <c r="AA71" s="34"/>
      <c r="AB71" s="57"/>
      <c r="AC71" s="34"/>
      <c r="AD71" s="57"/>
      <c r="AE71" s="57"/>
      <c r="AF71" s="57"/>
      <c r="AG71" s="34"/>
      <c r="AH71" s="71"/>
      <c r="AI71" s="198"/>
      <c r="AJ71" s="57"/>
      <c r="AK71" s="130"/>
      <c r="AL71" s="130"/>
      <c r="AM71" s="29"/>
      <c r="AN71" s="29"/>
      <c r="AO71" s="29"/>
      <c r="AP71" s="29"/>
      <c r="AQ71" s="29"/>
    </row>
    <row r="72" spans="1:4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61"/>
      <c r="AI72" s="61"/>
      <c r="AJ72" s="34"/>
      <c r="AK72" s="130"/>
      <c r="AL72" s="130"/>
      <c r="AM72" s="29"/>
      <c r="AN72" s="29"/>
      <c r="AO72" s="29"/>
      <c r="AP72" s="29"/>
      <c r="AQ72" s="29"/>
    </row>
    <row r="73" spans="1:43" ht="15.75" thickBo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34" t="s">
        <v>12</v>
      </c>
      <c r="V73" s="34"/>
      <c r="W73" s="34"/>
      <c r="X73" s="301">
        <f>SUM(X67:X70)</f>
        <v>656553949.59304428</v>
      </c>
      <c r="Y73" s="298"/>
      <c r="Z73" s="301">
        <f>SUM(Z67:Z70)</f>
        <v>427324774.23524535</v>
      </c>
      <c r="AA73" s="298"/>
      <c r="AB73" s="301">
        <f>SUM(AB67:AB70)</f>
        <v>131985618.70680602</v>
      </c>
      <c r="AC73" s="298"/>
      <c r="AD73" s="301">
        <f>SUM(AD67:AD70)</f>
        <v>28235513.971979633</v>
      </c>
      <c r="AE73" s="298"/>
      <c r="AF73" s="301">
        <f>SUM(AF67:AF70)</f>
        <v>29363138.679013364</v>
      </c>
      <c r="AG73" s="298"/>
      <c r="AH73" s="301">
        <f>SUM(AH67:AH70)</f>
        <v>24066376</v>
      </c>
      <c r="AI73" s="298">
        <f t="shared" ref="AI73" si="4">SUM(AI67:AI70)</f>
        <v>0</v>
      </c>
      <c r="AJ73" s="301">
        <f>SUM(AJ67:AJ70)</f>
        <v>15578528</v>
      </c>
      <c r="AK73" s="130"/>
      <c r="AL73" s="130"/>
      <c r="AM73" s="29"/>
      <c r="AN73" s="29"/>
      <c r="AO73" s="29"/>
      <c r="AP73" s="29"/>
      <c r="AQ73" s="29"/>
    </row>
    <row r="74" spans="1:43" ht="15.75" thickTop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24"/>
      <c r="Y74" s="11"/>
      <c r="Z74" s="24"/>
      <c r="AA74" s="11"/>
      <c r="AB74" s="24"/>
      <c r="AC74" s="11"/>
      <c r="AD74" s="24"/>
      <c r="AE74" s="24"/>
      <c r="AF74" s="24"/>
      <c r="AG74" s="11"/>
      <c r="AH74" s="24"/>
      <c r="AI74" s="11"/>
      <c r="AJ74" s="24"/>
      <c r="AK74" s="130"/>
      <c r="AL74" s="130"/>
      <c r="AM74" s="29"/>
      <c r="AN74" s="29"/>
      <c r="AO74" s="29"/>
      <c r="AP74" s="29"/>
      <c r="AQ74" s="29"/>
    </row>
    <row r="75" spans="1:4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30"/>
      <c r="AL75" s="130"/>
      <c r="AM75" s="29"/>
      <c r="AN75" s="29"/>
      <c r="AO75" s="29"/>
      <c r="AP75" s="29"/>
      <c r="AQ75" s="29"/>
    </row>
    <row r="76" spans="1:4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34" t="s">
        <v>13</v>
      </c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130"/>
      <c r="AL76" s="130"/>
      <c r="AM76" s="29"/>
      <c r="AN76" s="29"/>
      <c r="AO76" s="29"/>
      <c r="AP76" s="29"/>
      <c r="AQ76" s="29"/>
    </row>
    <row r="77" spans="1:4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30"/>
      <c r="AL77" s="130"/>
      <c r="AM77" s="29"/>
      <c r="AN77" s="29"/>
      <c r="AO77" s="29"/>
      <c r="AP77" s="29"/>
      <c r="AQ77" s="29"/>
    </row>
    <row r="78" spans="1:4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30"/>
      <c r="AL78" s="130"/>
      <c r="AM78" s="29"/>
      <c r="AN78" s="29"/>
      <c r="AO78" s="29"/>
      <c r="AP78" s="29"/>
      <c r="AQ78" s="29"/>
    </row>
    <row r="79" spans="1:4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235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130"/>
      <c r="AL79" s="130"/>
      <c r="AM79" s="29"/>
      <c r="AN79" s="29"/>
      <c r="AO79" s="29"/>
      <c r="AP79" s="29"/>
      <c r="AQ79" s="29"/>
    </row>
    <row r="80" spans="1:4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235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130"/>
      <c r="AL80" s="130"/>
      <c r="AM80" s="29"/>
      <c r="AN80" s="29"/>
      <c r="AO80" s="29"/>
      <c r="AP80" s="29"/>
      <c r="AQ80" s="29"/>
    </row>
    <row r="81" spans="1:4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10"/>
      <c r="AI81" s="210"/>
      <c r="AJ81" s="209"/>
      <c r="AK81" s="130"/>
      <c r="AL81" s="130"/>
      <c r="AM81" s="29"/>
      <c r="AN81" s="29"/>
      <c r="AO81" s="29"/>
      <c r="AP81" s="29"/>
      <c r="AQ81" s="29"/>
    </row>
    <row r="82" spans="1:43">
      <c r="A82" s="455"/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11"/>
      <c r="T82" s="11"/>
      <c r="U82" s="209"/>
      <c r="V82" s="209"/>
      <c r="W82" s="209"/>
      <c r="X82" s="204"/>
      <c r="Y82" s="209"/>
      <c r="Z82" s="209"/>
      <c r="AA82" s="209"/>
      <c r="AB82" s="209"/>
      <c r="AC82" s="209"/>
      <c r="AD82" s="209"/>
      <c r="AE82" s="209"/>
      <c r="AF82" s="209"/>
      <c r="AG82" s="209"/>
      <c r="AH82" s="210"/>
      <c r="AI82" s="210"/>
      <c r="AJ82" s="209"/>
      <c r="AK82" s="130"/>
      <c r="AL82" s="130"/>
      <c r="AM82" s="29"/>
      <c r="AN82" s="29"/>
      <c r="AO82" s="29"/>
      <c r="AP82" s="29"/>
      <c r="AQ82" s="29"/>
    </row>
    <row r="83" spans="1:43" ht="15.75">
      <c r="A83" s="458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9"/>
      <c r="P83" s="455"/>
      <c r="Q83" s="455"/>
      <c r="R83" s="455"/>
      <c r="S83" s="11"/>
      <c r="T83" s="11"/>
      <c r="U83" s="204"/>
      <c r="V83" s="204"/>
      <c r="W83" s="204"/>
      <c r="X83" s="211"/>
      <c r="Y83" s="204"/>
      <c r="Z83" s="211"/>
      <c r="AA83" s="204"/>
      <c r="AB83" s="211"/>
      <c r="AC83" s="204"/>
      <c r="AD83" s="211"/>
      <c r="AE83" s="211"/>
      <c r="AF83" s="211"/>
      <c r="AG83" s="204"/>
      <c r="AH83" s="211"/>
      <c r="AI83" s="211"/>
      <c r="AJ83" s="211"/>
      <c r="AK83" s="130"/>
      <c r="AL83" s="130"/>
      <c r="AM83" s="29"/>
      <c r="AN83" s="29"/>
      <c r="AO83" s="29"/>
      <c r="AP83" s="29"/>
      <c r="AQ83" s="29"/>
    </row>
    <row r="84" spans="1:43">
      <c r="A84" s="455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11"/>
      <c r="T84" s="11"/>
      <c r="U84" s="142"/>
      <c r="V84" s="142"/>
      <c r="W84" s="142"/>
      <c r="X84" s="187"/>
      <c r="Y84" s="142"/>
      <c r="Z84" s="187"/>
      <c r="AA84" s="142"/>
      <c r="AB84" s="187"/>
      <c r="AC84" s="142"/>
      <c r="AD84" s="187"/>
      <c r="AE84" s="187"/>
      <c r="AF84" s="187"/>
      <c r="AG84" s="142"/>
      <c r="AH84" s="187"/>
      <c r="AI84" s="187"/>
      <c r="AJ84" s="187"/>
      <c r="AK84" s="130"/>
      <c r="AL84" s="130"/>
      <c r="AM84" s="29"/>
      <c r="AN84" s="29"/>
      <c r="AO84" s="29"/>
      <c r="AP84" s="29"/>
      <c r="AQ84" s="29"/>
    </row>
    <row r="85" spans="1:43">
      <c r="A85" s="455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11"/>
      <c r="T85" s="11"/>
      <c r="U85" s="130"/>
      <c r="V85" s="191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130"/>
      <c r="AL85" s="130"/>
      <c r="AM85" s="29"/>
      <c r="AN85" s="29"/>
      <c r="AO85" s="29"/>
      <c r="AP85" s="29"/>
      <c r="AQ85" s="29"/>
    </row>
    <row r="86" spans="1:43" ht="15.75">
      <c r="A86" s="505"/>
      <c r="B86" s="506"/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11"/>
      <c r="T86" s="11"/>
      <c r="U86" s="130"/>
      <c r="V86" s="191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130"/>
      <c r="AL86" s="130"/>
      <c r="AM86" s="29"/>
      <c r="AN86" s="29"/>
      <c r="AO86" s="29"/>
      <c r="AP86" s="29"/>
      <c r="AQ86" s="29"/>
    </row>
    <row r="87" spans="1:43" ht="15.75">
      <c r="A87" s="217"/>
      <c r="B87" s="217"/>
      <c r="C87" s="217"/>
      <c r="D87" s="50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11"/>
      <c r="T87" s="11"/>
      <c r="U87" s="130"/>
      <c r="V87" s="191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130"/>
      <c r="AL87" s="130"/>
      <c r="AM87" s="29"/>
      <c r="AN87" s="29"/>
      <c r="AO87" s="29"/>
      <c r="AP87" s="29"/>
      <c r="AQ87" s="29"/>
    </row>
    <row r="88" spans="1:43" ht="15.75">
      <c r="A88" s="217"/>
      <c r="B88" s="217"/>
      <c r="C88" s="217"/>
      <c r="D88" s="508"/>
      <c r="E88" s="508"/>
      <c r="F88" s="508"/>
      <c r="G88" s="217"/>
      <c r="H88" s="455"/>
      <c r="I88" s="455"/>
      <c r="J88" s="455"/>
      <c r="K88" s="455"/>
      <c r="L88" s="455"/>
      <c r="M88" s="455"/>
      <c r="N88" s="455"/>
      <c r="O88" s="217"/>
      <c r="P88" s="455"/>
      <c r="Q88" s="455"/>
      <c r="R88" s="455"/>
      <c r="S88" s="11"/>
      <c r="T88" s="11"/>
      <c r="U88" s="130"/>
      <c r="V88" s="191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130"/>
      <c r="AL88" s="130"/>
      <c r="AM88" s="29"/>
      <c r="AN88" s="29"/>
      <c r="AO88" s="29"/>
      <c r="AP88" s="29"/>
      <c r="AQ88" s="29"/>
    </row>
    <row r="89" spans="1:43" ht="15.75">
      <c r="A89" s="455"/>
      <c r="B89" s="455"/>
      <c r="C89" s="217"/>
      <c r="D89" s="508"/>
      <c r="E89" s="508"/>
      <c r="F89" s="508"/>
      <c r="G89" s="217"/>
      <c r="H89" s="463"/>
      <c r="I89" s="463"/>
      <c r="J89" s="463"/>
      <c r="K89" s="509"/>
      <c r="L89" s="510"/>
      <c r="M89" s="463"/>
      <c r="N89" s="463"/>
      <c r="O89" s="217"/>
      <c r="P89" s="509"/>
      <c r="Q89" s="509"/>
      <c r="R89" s="464"/>
      <c r="S89" s="11"/>
      <c r="T89" s="11"/>
      <c r="U89" s="191"/>
      <c r="V89" s="191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130"/>
      <c r="AL89" s="130"/>
      <c r="AM89" s="29"/>
      <c r="AN89" s="29"/>
      <c r="AO89" s="29"/>
      <c r="AP89" s="29"/>
      <c r="AQ89" s="29"/>
    </row>
    <row r="90" spans="1:43">
      <c r="A90" s="511"/>
      <c r="B90" s="511"/>
      <c r="C90" s="217"/>
      <c r="D90" s="464"/>
      <c r="E90" s="509"/>
      <c r="F90" s="464"/>
      <c r="G90" s="217"/>
      <c r="H90" s="463"/>
      <c r="I90" s="463"/>
      <c r="J90" s="463"/>
      <c r="K90" s="217"/>
      <c r="L90" s="464"/>
      <c r="M90" s="509"/>
      <c r="N90" s="464"/>
      <c r="O90" s="217"/>
      <c r="P90" s="461"/>
      <c r="Q90" s="217"/>
      <c r="R90" s="461"/>
      <c r="S90" s="11"/>
      <c r="T90" s="11"/>
      <c r="U90" s="142"/>
      <c r="V90" s="142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130"/>
      <c r="AL90" s="130"/>
      <c r="AM90" s="29"/>
      <c r="AN90" s="29"/>
      <c r="AO90" s="29"/>
      <c r="AP90" s="29"/>
      <c r="AQ90" s="29"/>
    </row>
    <row r="91" spans="1:43">
      <c r="A91" s="455"/>
      <c r="B91" s="455"/>
      <c r="C91" s="217"/>
      <c r="D91" s="465"/>
      <c r="E91" s="217"/>
      <c r="F91" s="465"/>
      <c r="G91" s="217"/>
      <c r="H91" s="465"/>
      <c r="I91" s="217"/>
      <c r="J91" s="465"/>
      <c r="K91" s="217"/>
      <c r="L91" s="465"/>
      <c r="M91" s="217"/>
      <c r="N91" s="465"/>
      <c r="O91" s="217"/>
      <c r="P91" s="465"/>
      <c r="Q91" s="217"/>
      <c r="R91" s="465"/>
      <c r="S91" s="11"/>
      <c r="T91" s="11"/>
      <c r="U91" s="142"/>
      <c r="V91" s="142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130"/>
      <c r="AL91" s="130"/>
      <c r="AM91" s="29"/>
      <c r="AN91" s="29"/>
      <c r="AO91" s="29"/>
      <c r="AP91" s="29"/>
      <c r="AQ91" s="29"/>
    </row>
    <row r="92" spans="1:43">
      <c r="A92" s="512"/>
      <c r="B92" s="217"/>
      <c r="C92" s="217"/>
      <c r="D92" s="217"/>
      <c r="E92" s="217"/>
      <c r="F92" s="513"/>
      <c r="G92" s="217"/>
      <c r="H92" s="217"/>
      <c r="I92" s="217"/>
      <c r="J92" s="217"/>
      <c r="K92" s="217"/>
      <c r="L92" s="217"/>
      <c r="M92" s="217"/>
      <c r="N92" s="513"/>
      <c r="O92" s="217"/>
      <c r="P92" s="217"/>
      <c r="Q92" s="217"/>
      <c r="R92" s="217"/>
      <c r="S92" s="11"/>
      <c r="T92" s="11"/>
      <c r="U92" s="142"/>
      <c r="V92" s="142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130"/>
      <c r="AL92" s="130"/>
      <c r="AM92" s="29"/>
      <c r="AN92" s="29"/>
      <c r="AO92" s="29"/>
      <c r="AP92" s="29"/>
      <c r="AQ92" s="29"/>
    </row>
    <row r="93" spans="1:43">
      <c r="A93" s="217"/>
      <c r="B93" s="217"/>
      <c r="C93" s="217"/>
      <c r="D93" s="514"/>
      <c r="E93" s="217"/>
      <c r="F93" s="515"/>
      <c r="G93" s="217"/>
      <c r="H93" s="514"/>
      <c r="I93" s="217"/>
      <c r="J93" s="516"/>
      <c r="K93" s="217"/>
      <c r="L93" s="514"/>
      <c r="M93" s="217"/>
      <c r="N93" s="515"/>
      <c r="O93" s="217"/>
      <c r="P93" s="514"/>
      <c r="Q93" s="217"/>
      <c r="R93" s="516"/>
      <c r="S93" s="11"/>
      <c r="T93" s="11"/>
      <c r="U93" s="142"/>
      <c r="V93" s="142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130"/>
      <c r="AL93" s="130"/>
      <c r="AM93" s="29"/>
      <c r="AN93" s="29"/>
      <c r="AO93" s="29"/>
      <c r="AP93" s="29"/>
      <c r="AQ93" s="29"/>
    </row>
    <row r="94" spans="1:43">
      <c r="A94" s="217"/>
      <c r="B94" s="217"/>
      <c r="C94" s="217"/>
      <c r="D94" s="514"/>
      <c r="E94" s="217"/>
      <c r="F94" s="513"/>
      <c r="G94" s="217"/>
      <c r="H94" s="514"/>
      <c r="I94" s="217"/>
      <c r="J94" s="217"/>
      <c r="K94" s="217"/>
      <c r="L94" s="514"/>
      <c r="M94" s="217"/>
      <c r="N94" s="513"/>
      <c r="O94" s="217"/>
      <c r="P94" s="217"/>
      <c r="Q94" s="217"/>
      <c r="R94" s="217"/>
      <c r="S94" s="11"/>
      <c r="T94" s="11"/>
      <c r="U94" s="142"/>
      <c r="V94" s="142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130"/>
      <c r="AL94" s="130"/>
      <c r="AM94" s="29"/>
      <c r="AN94" s="29"/>
      <c r="AO94" s="29"/>
      <c r="AP94" s="29"/>
      <c r="AQ94" s="29"/>
    </row>
    <row r="95" spans="1:43">
      <c r="A95" s="217"/>
      <c r="B95" s="217"/>
      <c r="C95" s="217"/>
      <c r="D95" s="417"/>
      <c r="E95" s="217"/>
      <c r="F95" s="515"/>
      <c r="G95" s="217"/>
      <c r="H95" s="417"/>
      <c r="I95" s="217"/>
      <c r="J95" s="516"/>
      <c r="K95" s="217"/>
      <c r="L95" s="417"/>
      <c r="M95" s="217"/>
      <c r="N95" s="515"/>
      <c r="O95" s="217"/>
      <c r="P95" s="417"/>
      <c r="Q95" s="217"/>
      <c r="R95" s="516"/>
      <c r="S95" s="11"/>
      <c r="T95" s="11"/>
      <c r="U95" s="130"/>
      <c r="V95" s="142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130"/>
      <c r="AL95" s="130"/>
      <c r="AM95" s="29"/>
      <c r="AN95" s="29"/>
      <c r="AO95" s="29"/>
      <c r="AP95" s="29"/>
      <c r="AQ95" s="29"/>
    </row>
    <row r="96" spans="1:43">
      <c r="A96" s="217"/>
      <c r="B96" s="217"/>
      <c r="C96" s="217"/>
      <c r="D96" s="417"/>
      <c r="E96" s="217"/>
      <c r="F96" s="513"/>
      <c r="G96" s="217"/>
      <c r="H96" s="417"/>
      <c r="I96" s="217"/>
      <c r="J96" s="217"/>
      <c r="K96" s="217"/>
      <c r="L96" s="417"/>
      <c r="M96" s="217"/>
      <c r="N96" s="513"/>
      <c r="O96" s="217"/>
      <c r="P96" s="217"/>
      <c r="Q96" s="217"/>
      <c r="R96" s="217"/>
      <c r="S96" s="11"/>
      <c r="T96" s="11"/>
      <c r="U96" s="11"/>
      <c r="V96" s="34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11"/>
      <c r="AL96" s="11"/>
      <c r="AM96" s="29"/>
      <c r="AN96" s="29"/>
      <c r="AO96" s="29"/>
      <c r="AP96" s="29"/>
    </row>
    <row r="97" spans="1:38">
      <c r="A97" s="217"/>
      <c r="B97" s="217"/>
      <c r="C97" s="217"/>
      <c r="D97" s="417"/>
      <c r="E97" s="217"/>
      <c r="F97" s="515"/>
      <c r="G97" s="217"/>
      <c r="H97" s="417"/>
      <c r="I97" s="217"/>
      <c r="J97" s="516"/>
      <c r="K97" s="217"/>
      <c r="L97" s="417"/>
      <c r="M97" s="217"/>
      <c r="N97" s="515"/>
      <c r="O97" s="217"/>
      <c r="P97" s="417"/>
      <c r="Q97" s="217"/>
      <c r="R97" s="516"/>
      <c r="S97" s="11"/>
      <c r="T97" s="11"/>
      <c r="U97" s="11"/>
      <c r="V97" s="34"/>
      <c r="AK97" s="11"/>
      <c r="AL97" s="11"/>
    </row>
    <row r="98" spans="1:38">
      <c r="A98" s="217"/>
      <c r="B98" s="217"/>
      <c r="C98" s="217"/>
      <c r="D98" s="417"/>
      <c r="E98" s="217"/>
      <c r="F98" s="513"/>
      <c r="G98" s="217"/>
      <c r="H98" s="417"/>
      <c r="I98" s="217"/>
      <c r="J98" s="217"/>
      <c r="K98" s="217"/>
      <c r="L98" s="417"/>
      <c r="M98" s="217"/>
      <c r="N98" s="513"/>
      <c r="O98" s="217"/>
      <c r="P98" s="217"/>
      <c r="Q98" s="217"/>
      <c r="R98" s="217"/>
      <c r="S98" s="11"/>
      <c r="T98" s="11"/>
      <c r="U98" s="11"/>
      <c r="V98" s="34"/>
      <c r="AK98" s="11"/>
      <c r="AL98" s="11"/>
    </row>
    <row r="99" spans="1:38">
      <c r="A99" s="217"/>
      <c r="B99" s="217"/>
      <c r="C99" s="217"/>
      <c r="D99" s="417"/>
      <c r="E99" s="217"/>
      <c r="F99" s="515"/>
      <c r="G99" s="217"/>
      <c r="H99" s="417"/>
      <c r="I99" s="217"/>
      <c r="J99" s="516"/>
      <c r="K99" s="217"/>
      <c r="L99" s="417"/>
      <c r="M99" s="217"/>
      <c r="N99" s="515"/>
      <c r="O99" s="217"/>
      <c r="P99" s="417"/>
      <c r="Q99" s="217"/>
      <c r="R99" s="516"/>
      <c r="S99" s="11"/>
      <c r="T99" s="11"/>
      <c r="U99" s="11"/>
      <c r="V99" s="34"/>
      <c r="AK99" s="11"/>
      <c r="AL99" s="11"/>
    </row>
    <row r="100" spans="1:38">
      <c r="A100" s="217"/>
      <c r="B100" s="217"/>
      <c r="C100" s="217"/>
      <c r="D100" s="417"/>
      <c r="E100" s="217"/>
      <c r="F100" s="513"/>
      <c r="G100" s="217"/>
      <c r="H100" s="417"/>
      <c r="I100" s="217"/>
      <c r="J100" s="217"/>
      <c r="K100" s="217"/>
      <c r="L100" s="417"/>
      <c r="M100" s="217"/>
      <c r="N100" s="513"/>
      <c r="O100" s="217"/>
      <c r="P100" s="217"/>
      <c r="Q100" s="217"/>
      <c r="R100" s="217"/>
      <c r="S100" s="11"/>
      <c r="T100" s="11"/>
      <c r="U100" s="34"/>
      <c r="V100" s="34"/>
      <c r="AK100" s="11"/>
      <c r="AL100" s="11"/>
    </row>
    <row r="101" spans="1:38">
      <c r="A101" s="217"/>
      <c r="B101" s="217"/>
      <c r="C101" s="217"/>
      <c r="D101" s="417"/>
      <c r="E101" s="217"/>
      <c r="F101" s="515"/>
      <c r="G101" s="217"/>
      <c r="H101" s="417"/>
      <c r="I101" s="217"/>
      <c r="J101" s="516"/>
      <c r="K101" s="217"/>
      <c r="L101" s="417"/>
      <c r="M101" s="217"/>
      <c r="N101" s="515"/>
      <c r="O101" s="217"/>
      <c r="P101" s="417"/>
      <c r="Q101" s="217"/>
      <c r="R101" s="516"/>
      <c r="S101" s="11"/>
      <c r="T101" s="11"/>
      <c r="AK101" s="11"/>
      <c r="AL101" s="11"/>
    </row>
    <row r="102" spans="1:38">
      <c r="A102" s="217"/>
      <c r="B102" s="217"/>
      <c r="C102" s="217"/>
      <c r="D102" s="417"/>
      <c r="E102" s="217"/>
      <c r="F102" s="515"/>
      <c r="G102" s="217"/>
      <c r="H102" s="417"/>
      <c r="I102" s="217"/>
      <c r="J102" s="516"/>
      <c r="K102" s="217"/>
      <c r="L102" s="417"/>
      <c r="M102" s="217"/>
      <c r="N102" s="515"/>
      <c r="O102" s="217"/>
      <c r="P102" s="417"/>
      <c r="Q102" s="217"/>
      <c r="R102" s="516"/>
      <c r="S102" s="11"/>
      <c r="T102" s="11"/>
      <c r="AK102" s="11"/>
      <c r="AL102" s="11"/>
    </row>
    <row r="103" spans="1:38">
      <c r="A103" s="217"/>
      <c r="B103" s="217"/>
      <c r="C103" s="217"/>
      <c r="D103" s="417"/>
      <c r="E103" s="217"/>
      <c r="F103" s="515"/>
      <c r="G103" s="217"/>
      <c r="H103" s="417"/>
      <c r="I103" s="217"/>
      <c r="J103" s="517"/>
      <c r="K103" s="217"/>
      <c r="L103" s="417"/>
      <c r="M103" s="217"/>
      <c r="N103" s="517"/>
      <c r="O103" s="217"/>
      <c r="P103" s="417"/>
      <c r="Q103" s="217"/>
      <c r="R103" s="516"/>
      <c r="S103" s="11"/>
      <c r="T103" s="11"/>
      <c r="AK103" s="11"/>
      <c r="AL103" s="11"/>
    </row>
    <row r="104" spans="1:38">
      <c r="A104" s="217"/>
      <c r="B104" s="217"/>
      <c r="C104" s="217"/>
      <c r="D104" s="509"/>
      <c r="E104" s="217"/>
      <c r="F104" s="509"/>
      <c r="G104" s="217"/>
      <c r="H104" s="509"/>
      <c r="I104" s="217"/>
      <c r="J104" s="513"/>
      <c r="K104" s="217"/>
      <c r="L104" s="509"/>
      <c r="M104" s="217"/>
      <c r="N104" s="513"/>
      <c r="O104" s="217"/>
      <c r="P104" s="509"/>
      <c r="Q104" s="217"/>
      <c r="R104" s="217"/>
      <c r="S104" s="11"/>
      <c r="T104" s="11"/>
      <c r="U104" s="11"/>
      <c r="V104" s="11"/>
      <c r="AK104" s="11"/>
      <c r="AL104" s="11"/>
    </row>
    <row r="105" spans="1:38" ht="15.75" thickBot="1">
      <c r="A105" s="217"/>
      <c r="B105" s="217"/>
      <c r="C105" s="217"/>
      <c r="D105" s="514"/>
      <c r="E105" s="217"/>
      <c r="F105" s="516"/>
      <c r="G105" s="217"/>
      <c r="H105" s="514"/>
      <c r="I105" s="217"/>
      <c r="J105" s="516"/>
      <c r="K105" s="217"/>
      <c r="L105" s="514"/>
      <c r="M105" s="217"/>
      <c r="N105" s="516"/>
      <c r="O105" s="217"/>
      <c r="P105" s="514"/>
      <c r="Q105" s="217"/>
      <c r="R105" s="516"/>
      <c r="S105" s="11"/>
      <c r="T105" s="11"/>
      <c r="U105" s="11"/>
      <c r="V105" s="11"/>
      <c r="AK105" s="11"/>
      <c r="AL105" s="11"/>
    </row>
    <row r="106" spans="1:38" ht="15.75" thickTop="1">
      <c r="A106" s="217"/>
      <c r="B106" s="217"/>
      <c r="C106" s="217"/>
      <c r="D106" s="518"/>
      <c r="E106" s="217"/>
      <c r="F106" s="518"/>
      <c r="G106" s="217"/>
      <c r="H106" s="518"/>
      <c r="I106" s="217"/>
      <c r="J106" s="518"/>
      <c r="K106" s="217"/>
      <c r="L106" s="518"/>
      <c r="M106" s="217"/>
      <c r="N106" s="518"/>
      <c r="O106" s="217"/>
      <c r="P106" s="518"/>
      <c r="Q106" s="217"/>
      <c r="R106" s="217"/>
      <c r="S106" s="11"/>
      <c r="T106" s="11"/>
      <c r="AK106" s="11"/>
      <c r="AL106" s="11"/>
    </row>
    <row r="107" spans="1:38">
      <c r="A107" s="217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516"/>
      <c r="S107" s="11"/>
      <c r="T107" s="11"/>
      <c r="AK107" s="11"/>
      <c r="AL107" s="11"/>
    </row>
    <row r="108" spans="1:38">
      <c r="A108" s="217"/>
      <c r="B108" s="217"/>
      <c r="C108" s="217"/>
      <c r="D108" s="519"/>
      <c r="E108" s="217"/>
      <c r="F108" s="217"/>
      <c r="G108" s="217"/>
      <c r="H108" s="519"/>
      <c r="I108" s="217"/>
      <c r="J108" s="513"/>
      <c r="K108" s="217"/>
      <c r="L108" s="519"/>
      <c r="M108" s="217"/>
      <c r="N108" s="217"/>
      <c r="O108" s="217"/>
      <c r="P108" s="217"/>
      <c r="Q108" s="217"/>
      <c r="R108" s="516"/>
      <c r="S108" s="11"/>
      <c r="T108" s="11"/>
      <c r="AK108" s="11"/>
      <c r="AL108" s="11"/>
    </row>
    <row r="109" spans="1:38">
      <c r="A109" s="217"/>
      <c r="B109" s="217"/>
      <c r="C109" s="217"/>
      <c r="D109" s="509"/>
      <c r="E109" s="217"/>
      <c r="F109" s="217"/>
      <c r="G109" s="217"/>
      <c r="H109" s="509"/>
      <c r="I109" s="217"/>
      <c r="J109" s="513"/>
      <c r="K109" s="217"/>
      <c r="L109" s="509"/>
      <c r="M109" s="217"/>
      <c r="N109" s="217"/>
      <c r="O109" s="217"/>
      <c r="P109" s="509"/>
      <c r="Q109" s="217"/>
      <c r="R109" s="217"/>
      <c r="S109" s="11"/>
      <c r="T109" s="11"/>
      <c r="AK109" s="11"/>
      <c r="AL109" s="11"/>
    </row>
    <row r="110" spans="1:38" ht="15.75" thickBot="1">
      <c r="A110" s="217"/>
      <c r="B110" s="217"/>
      <c r="C110" s="217"/>
      <c r="D110" s="520"/>
      <c r="E110" s="217"/>
      <c r="F110" s="217"/>
      <c r="G110" s="217"/>
      <c r="H110" s="520"/>
      <c r="I110" s="521"/>
      <c r="J110" s="522"/>
      <c r="K110" s="521"/>
      <c r="L110" s="520"/>
      <c r="M110" s="521"/>
      <c r="N110" s="521"/>
      <c r="O110" s="521"/>
      <c r="P110" s="520"/>
      <c r="Q110" s="217"/>
      <c r="R110" s="516"/>
      <c r="S110" s="11"/>
      <c r="T110" s="11"/>
      <c r="AK110" s="11"/>
      <c r="AL110" s="11"/>
    </row>
    <row r="111" spans="1:38" ht="15.75" thickTop="1">
      <c r="A111" s="222"/>
      <c r="B111" s="222"/>
      <c r="C111" s="222"/>
      <c r="D111" s="222"/>
      <c r="E111" s="222"/>
      <c r="F111" s="222"/>
      <c r="G111" s="222"/>
      <c r="H111" s="523"/>
      <c r="I111" s="222"/>
      <c r="J111" s="523"/>
      <c r="K111" s="222"/>
      <c r="L111" s="523"/>
      <c r="M111" s="222"/>
      <c r="N111" s="222"/>
      <c r="O111" s="222"/>
      <c r="P111" s="523"/>
      <c r="Q111" s="222"/>
      <c r="R111" s="222"/>
      <c r="S111" s="11"/>
      <c r="T111" s="11"/>
      <c r="AK111" s="11"/>
      <c r="AL111" s="11"/>
    </row>
    <row r="112" spans="1:38" ht="12" customHeight="1">
      <c r="A112" s="467"/>
      <c r="B112" s="468"/>
      <c r="C112" s="468"/>
      <c r="D112" s="222"/>
      <c r="E112" s="222"/>
      <c r="F112" s="222"/>
      <c r="G112" s="222"/>
      <c r="H112" s="104"/>
      <c r="I112" s="104"/>
      <c r="J112" s="104"/>
      <c r="K112" s="104"/>
      <c r="L112" s="104"/>
      <c r="M112" s="222"/>
      <c r="N112" s="222"/>
      <c r="O112" s="222"/>
      <c r="P112" s="222"/>
      <c r="Q112" s="222"/>
      <c r="R112" s="222"/>
      <c r="S112" s="11"/>
      <c r="T112" s="11"/>
      <c r="AK112" s="11"/>
      <c r="AL112" s="11"/>
    </row>
    <row r="113" spans="1:38">
      <c r="A113" s="469"/>
      <c r="B113" s="222"/>
      <c r="C113" s="222"/>
      <c r="D113" s="222"/>
      <c r="E113" s="222"/>
      <c r="F113" s="222"/>
      <c r="G113" s="222"/>
      <c r="H113" s="104"/>
      <c r="I113" s="104"/>
      <c r="J113" s="104"/>
      <c r="K113" s="104"/>
      <c r="L113" s="104"/>
      <c r="M113" s="222"/>
      <c r="N113" s="222"/>
      <c r="O113" s="222"/>
      <c r="P113" s="222"/>
      <c r="Q113" s="222"/>
      <c r="R113" s="222"/>
      <c r="S113" s="11"/>
      <c r="T113" s="11"/>
      <c r="AK113" s="11"/>
      <c r="AL113" s="11"/>
    </row>
    <row r="114" spans="1:38">
      <c r="A114" s="11"/>
      <c r="B114" s="11"/>
      <c r="C114" s="11"/>
      <c r="D114" s="11"/>
      <c r="E114" s="11"/>
      <c r="F114" s="11"/>
      <c r="G114" s="11"/>
      <c r="H114" s="432"/>
      <c r="I114" s="431"/>
      <c r="J114" s="433"/>
      <c r="K114" s="431"/>
      <c r="L114" s="432"/>
      <c r="M114" s="11"/>
      <c r="N114" s="11"/>
      <c r="O114" s="11"/>
      <c r="P114" s="11"/>
      <c r="Q114" s="11"/>
      <c r="R114" s="11"/>
      <c r="S114" s="11"/>
      <c r="T114" s="11"/>
      <c r="AK114" s="11"/>
      <c r="AL114" s="11"/>
    </row>
    <row r="115" spans="1:38">
      <c r="A115" s="11"/>
      <c r="B115" s="11"/>
      <c r="C115" s="11"/>
      <c r="D115" s="11"/>
      <c r="E115" s="11"/>
      <c r="F115" s="11"/>
      <c r="G115" s="11"/>
      <c r="H115" s="431"/>
      <c r="I115" s="431"/>
      <c r="J115" s="431"/>
      <c r="K115" s="431"/>
      <c r="L115" s="431"/>
      <c r="M115" s="11"/>
      <c r="N115" s="11"/>
      <c r="O115" s="11"/>
      <c r="P115" s="11"/>
      <c r="Q115" s="11"/>
      <c r="R115" s="11"/>
      <c r="S115" s="11"/>
      <c r="T115" s="11"/>
      <c r="AK115" s="11"/>
      <c r="AL115" s="11"/>
    </row>
    <row r="116" spans="1:38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AK116" s="11"/>
      <c r="AL116" s="11"/>
    </row>
    <row r="117" spans="1:38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AK117" s="11"/>
      <c r="AL117" s="11"/>
    </row>
    <row r="118" spans="1:3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AK118" s="11"/>
      <c r="AL118" s="11"/>
    </row>
    <row r="119" spans="1:38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AK119" s="11"/>
      <c r="AL119" s="11"/>
    </row>
    <row r="120" spans="1:38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AK120" s="11"/>
      <c r="AL120" s="11"/>
    </row>
    <row r="121" spans="1:38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AK121" s="11"/>
      <c r="AL121" s="11"/>
    </row>
    <row r="122" spans="1:38" ht="6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AK122" s="11"/>
      <c r="AL122" s="11"/>
    </row>
    <row r="123" spans="1:38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AK123" s="11"/>
      <c r="AL123" s="11"/>
    </row>
    <row r="124" spans="1:38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AK124" s="11"/>
      <c r="AL124" s="11"/>
    </row>
    <row r="125" spans="1:38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AK125" s="11"/>
      <c r="AL125" s="11"/>
    </row>
    <row r="126" spans="1:38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AK126" s="11"/>
      <c r="AL126" s="11"/>
    </row>
    <row r="127" spans="1:38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AK127" s="11"/>
      <c r="AL127" s="11"/>
    </row>
    <row r="128" spans="1:3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AK128" s="11"/>
      <c r="AL128" s="11"/>
    </row>
    <row r="129" spans="1:38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AK129" s="11"/>
      <c r="AL129" s="11"/>
    </row>
    <row r="130" spans="1:38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AK130" s="11"/>
      <c r="AL130" s="11"/>
    </row>
    <row r="131" spans="1:38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AK131" s="11"/>
      <c r="AL131" s="11"/>
    </row>
    <row r="132" spans="1:38" ht="6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AK132" s="11"/>
      <c r="AL132" s="11"/>
    </row>
    <row r="133" spans="1:38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AK133" s="11"/>
      <c r="AL133" s="11"/>
    </row>
    <row r="134" spans="1:38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AK134" s="11"/>
      <c r="AL134" s="11"/>
    </row>
    <row r="135" spans="1:38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AK135" s="11"/>
      <c r="AL135" s="11"/>
    </row>
    <row r="136" spans="1:38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AK136" s="11"/>
      <c r="AL136" s="11"/>
    </row>
    <row r="137" spans="1:38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AK137" s="11"/>
      <c r="AL137" s="11"/>
    </row>
    <row r="138" spans="1: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AK138" s="11"/>
      <c r="AL138" s="11"/>
    </row>
    <row r="139" spans="1:38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AK139" s="11"/>
      <c r="AL139" s="11"/>
    </row>
    <row r="140" spans="1:38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AK140" s="11"/>
      <c r="AL140" s="11"/>
    </row>
    <row r="141" spans="1:38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AK141" s="11"/>
      <c r="AL141" s="11"/>
    </row>
    <row r="142" spans="1:38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AK142" s="11"/>
      <c r="AL142" s="11"/>
    </row>
    <row r="143" spans="1:38" ht="6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AK143" s="11"/>
      <c r="AL143" s="11"/>
    </row>
    <row r="144" spans="1:38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AK144" s="11"/>
      <c r="AL144" s="11"/>
    </row>
    <row r="145" spans="1:4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AK145" s="11"/>
      <c r="AL145" s="11"/>
    </row>
    <row r="146" spans="1:4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AK146" s="11"/>
      <c r="AL146" s="11"/>
    </row>
    <row r="147" spans="1:4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AK147" s="11"/>
      <c r="AL147" s="11"/>
    </row>
    <row r="148" spans="1:4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AK148" s="11"/>
      <c r="AL148" s="11"/>
    </row>
    <row r="149" spans="1:4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AK149" s="11"/>
      <c r="AL149" s="11"/>
    </row>
    <row r="150" spans="1:4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AK150" s="11"/>
      <c r="AL150" s="11"/>
    </row>
    <row r="151" spans="1:4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AK151" s="11"/>
      <c r="AL151" s="11"/>
    </row>
    <row r="152" spans="1:4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AK152" s="11"/>
      <c r="AL152" s="11"/>
    </row>
    <row r="153" spans="1:4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AK153" s="11"/>
      <c r="AL153" s="11"/>
    </row>
    <row r="154" spans="1:4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AK154" s="11"/>
      <c r="AL154" s="11"/>
    </row>
    <row r="155" spans="1:4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88"/>
      <c r="X155" s="11"/>
      <c r="Y155" s="11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11"/>
      <c r="AL155" s="11"/>
    </row>
    <row r="156" spans="1:4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88"/>
      <c r="X156" s="11"/>
      <c r="Y156" s="11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11"/>
      <c r="AL156" s="11"/>
    </row>
    <row r="157" spans="1:4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88"/>
      <c r="X157" s="11"/>
      <c r="Y157" s="11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11"/>
      <c r="AL157" s="11"/>
    </row>
    <row r="158" spans="1:4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88"/>
      <c r="X158" s="11"/>
      <c r="Y158" s="11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11"/>
      <c r="AL158" s="11"/>
    </row>
    <row r="159" spans="1:4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88"/>
      <c r="X159" s="11"/>
      <c r="Y159" s="11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11"/>
      <c r="AL159" s="11"/>
    </row>
    <row r="160" spans="1:4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88"/>
      <c r="X160" s="11"/>
      <c r="Y160" s="11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11"/>
      <c r="AL160" s="11"/>
      <c r="AM160" s="29"/>
      <c r="AN160" s="29"/>
      <c r="AO160" s="29"/>
      <c r="AP160" s="29"/>
    </row>
    <row r="161" spans="1:4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30"/>
      <c r="V161" s="130"/>
      <c r="W161" s="88"/>
      <c r="X161" s="130"/>
      <c r="Y161" s="130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30"/>
      <c r="AL161" s="130"/>
      <c r="AM161" s="29"/>
      <c r="AN161" s="29"/>
      <c r="AO161" s="29"/>
      <c r="AP161" s="29"/>
    </row>
    <row r="162" spans="1:4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30"/>
      <c r="V162" s="130"/>
      <c r="W162" s="88"/>
      <c r="X162" s="130"/>
      <c r="Y162" s="130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30"/>
      <c r="AL162" s="130"/>
      <c r="AM162" s="29"/>
      <c r="AN162" s="29"/>
      <c r="AO162" s="29"/>
      <c r="AP162" s="29"/>
    </row>
    <row r="163" spans="1:4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30"/>
      <c r="V163" s="130"/>
      <c r="W163" s="142"/>
      <c r="X163" s="130"/>
      <c r="Y163" s="130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30"/>
      <c r="AL163" s="130"/>
      <c r="AM163" s="29"/>
      <c r="AN163" s="29"/>
      <c r="AO163" s="29"/>
      <c r="AP163" s="29"/>
    </row>
    <row r="164" spans="1:4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42"/>
      <c r="V164" s="130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30"/>
      <c r="AL164" s="130"/>
      <c r="AM164" s="29"/>
      <c r="AN164" s="29"/>
      <c r="AO164" s="29"/>
      <c r="AP164" s="29"/>
    </row>
    <row r="165" spans="1:4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30"/>
      <c r="AL165" s="130"/>
      <c r="AM165" s="29"/>
      <c r="AN165" s="29"/>
      <c r="AO165" s="29"/>
      <c r="AP165" s="29"/>
    </row>
    <row r="166" spans="1:4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42"/>
      <c r="V166" s="142"/>
      <c r="W166" s="142"/>
      <c r="X166" s="142"/>
      <c r="Y166" s="142"/>
      <c r="Z166" s="187"/>
      <c r="AA166" s="142"/>
      <c r="AB166" s="187"/>
      <c r="AC166" s="142"/>
      <c r="AD166" s="187"/>
      <c r="AE166" s="187"/>
      <c r="AF166" s="187"/>
      <c r="AG166" s="142"/>
      <c r="AH166" s="187"/>
      <c r="AI166" s="187"/>
      <c r="AJ166" s="187"/>
      <c r="AK166" s="130"/>
      <c r="AL166" s="130"/>
      <c r="AM166" s="29"/>
      <c r="AN166" s="29"/>
      <c r="AO166" s="29"/>
      <c r="AP166" s="29"/>
    </row>
    <row r="167" spans="1:4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29"/>
      <c r="AN167" s="29"/>
      <c r="AO167" s="29"/>
      <c r="AP167" s="29"/>
    </row>
    <row r="168" spans="1:4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29"/>
      <c r="AN168" s="29"/>
      <c r="AO168" s="29"/>
      <c r="AP168" s="29"/>
    </row>
    <row r="169" spans="1:4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29"/>
      <c r="AN169" s="29"/>
      <c r="AO169" s="29"/>
      <c r="AP169" s="29"/>
    </row>
    <row r="170" spans="1:4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88"/>
      <c r="AI170" s="188"/>
      <c r="AJ170" s="130"/>
      <c r="AK170" s="130"/>
      <c r="AL170" s="130"/>
      <c r="AM170" s="29"/>
      <c r="AN170" s="29"/>
      <c r="AO170" s="29"/>
      <c r="AP170" s="29"/>
    </row>
    <row r="171" spans="1:4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88"/>
      <c r="AI171" s="188"/>
      <c r="AJ171" s="130"/>
      <c r="AK171" s="130"/>
      <c r="AL171" s="130"/>
      <c r="AM171" s="29"/>
      <c r="AN171" s="29"/>
      <c r="AO171" s="29"/>
      <c r="AP171" s="29"/>
    </row>
    <row r="172" spans="1:4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88"/>
      <c r="AI172" s="188"/>
      <c r="AJ172" s="130"/>
      <c r="AK172" s="130"/>
      <c r="AL172" s="130"/>
      <c r="AM172" s="29"/>
      <c r="AN172" s="29"/>
      <c r="AO172" s="29"/>
      <c r="AP172" s="29"/>
    </row>
    <row r="173" spans="1:4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88"/>
      <c r="AI173" s="188"/>
      <c r="AJ173" s="130"/>
      <c r="AK173" s="130"/>
      <c r="AL173" s="130"/>
      <c r="AM173" s="29"/>
      <c r="AN173" s="29"/>
      <c r="AO173" s="29"/>
      <c r="AP173" s="29"/>
    </row>
    <row r="174" spans="1:4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88"/>
      <c r="AI174" s="188"/>
      <c r="AJ174" s="130"/>
      <c r="AK174" s="130"/>
      <c r="AL174" s="130"/>
      <c r="AM174" s="29"/>
      <c r="AN174" s="29"/>
      <c r="AO174" s="29"/>
      <c r="AP174" s="29"/>
    </row>
    <row r="175" spans="1:4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88"/>
      <c r="AI175" s="188"/>
      <c r="AJ175" s="130"/>
      <c r="AK175" s="130"/>
      <c r="AL175" s="130"/>
      <c r="AM175" s="29"/>
      <c r="AN175" s="29"/>
      <c r="AO175" s="29"/>
      <c r="AP175" s="29"/>
    </row>
    <row r="176" spans="1:4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30"/>
      <c r="V176" s="130"/>
      <c r="W176" s="130"/>
      <c r="X176" s="130"/>
      <c r="Y176" s="130"/>
      <c r="Z176" s="189"/>
      <c r="AA176" s="130"/>
      <c r="AB176" s="189"/>
      <c r="AC176" s="130"/>
      <c r="AD176" s="189"/>
      <c r="AE176" s="189"/>
      <c r="AF176" s="189"/>
      <c r="AG176" s="130"/>
      <c r="AH176" s="188"/>
      <c r="AI176" s="188"/>
      <c r="AJ176" s="189"/>
      <c r="AK176" s="130"/>
      <c r="AL176" s="130"/>
      <c r="AM176" s="29"/>
      <c r="AN176" s="29"/>
      <c r="AO176" s="29"/>
      <c r="AP176" s="29"/>
    </row>
    <row r="177" spans="1:4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88"/>
      <c r="AI177" s="188"/>
      <c r="AJ177" s="130"/>
      <c r="AK177" s="130"/>
      <c r="AL177" s="130"/>
      <c r="AM177" s="29"/>
      <c r="AN177" s="29"/>
      <c r="AO177" s="29"/>
      <c r="AP177" s="29"/>
    </row>
    <row r="178" spans="1:4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88"/>
      <c r="AI178" s="188"/>
      <c r="AJ178" s="130"/>
      <c r="AK178" s="130"/>
      <c r="AL178" s="130"/>
      <c r="AM178" s="29"/>
      <c r="AN178" s="29"/>
      <c r="AO178" s="29"/>
      <c r="AP178" s="29"/>
    </row>
    <row r="179" spans="1:4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88"/>
      <c r="AI179" s="188"/>
      <c r="AJ179" s="190"/>
      <c r="AK179" s="130"/>
      <c r="AL179" s="130"/>
      <c r="AM179" s="29"/>
      <c r="AN179" s="29"/>
      <c r="AO179" s="29"/>
      <c r="AP179" s="29"/>
    </row>
    <row r="180" spans="1:4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88"/>
      <c r="AI180" s="188"/>
      <c r="AJ180" s="130"/>
      <c r="AK180" s="130"/>
      <c r="AL180" s="130"/>
      <c r="AM180" s="29"/>
      <c r="AN180" s="29"/>
      <c r="AO180" s="29"/>
      <c r="AP180" s="29"/>
    </row>
    <row r="181" spans="1:4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88"/>
      <c r="AI181" s="188"/>
      <c r="AJ181" s="130"/>
      <c r="AK181" s="130"/>
      <c r="AL181" s="130"/>
      <c r="AM181" s="29"/>
      <c r="AN181" s="29"/>
      <c r="AO181" s="29"/>
      <c r="AP181" s="29"/>
    </row>
    <row r="182" spans="1:4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88"/>
      <c r="AI182" s="188"/>
      <c r="AJ182" s="130"/>
      <c r="AK182" s="130"/>
      <c r="AL182" s="130"/>
      <c r="AM182" s="29"/>
      <c r="AN182" s="29"/>
      <c r="AO182" s="29"/>
      <c r="AP182" s="29"/>
    </row>
    <row r="183" spans="1:4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91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3"/>
      <c r="AI183" s="193"/>
      <c r="AJ183" s="192"/>
      <c r="AK183" s="130"/>
      <c r="AL183" s="130"/>
      <c r="AM183" s="29"/>
      <c r="AN183" s="29"/>
      <c r="AO183" s="29"/>
      <c r="AP183" s="29"/>
    </row>
    <row r="184" spans="1:4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88"/>
      <c r="AI184" s="188"/>
      <c r="AJ184" s="130"/>
      <c r="AK184" s="130"/>
      <c r="AL184" s="130"/>
      <c r="AM184" s="29"/>
      <c r="AN184" s="29"/>
      <c r="AO184" s="29"/>
      <c r="AP184" s="29"/>
    </row>
    <row r="185" spans="1:4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3"/>
      <c r="AI185" s="193"/>
      <c r="AJ185" s="192"/>
      <c r="AK185" s="130"/>
      <c r="AL185" s="130"/>
      <c r="AM185" s="29"/>
      <c r="AN185" s="29"/>
      <c r="AO185" s="29"/>
      <c r="AP185" s="29"/>
    </row>
    <row r="186" spans="1:4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30"/>
      <c r="V186" s="130"/>
      <c r="W186" s="130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5"/>
      <c r="AI186" s="195"/>
      <c r="AJ186" s="194"/>
      <c r="AK186" s="130"/>
      <c r="AL186" s="130"/>
      <c r="AM186" s="29"/>
      <c r="AN186" s="29"/>
      <c r="AO186" s="29"/>
      <c r="AP186" s="29"/>
    </row>
    <row r="187" spans="1:4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30"/>
      <c r="V187" s="130"/>
      <c r="W187" s="130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5"/>
      <c r="AI187" s="195"/>
      <c r="AJ187" s="194"/>
      <c r="AK187" s="130"/>
      <c r="AL187" s="130"/>
      <c r="AM187" s="29"/>
      <c r="AN187" s="29"/>
      <c r="AO187" s="29"/>
      <c r="AP187" s="29"/>
    </row>
    <row r="188" spans="1:4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30"/>
      <c r="V188" s="130"/>
      <c r="W188" s="130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5"/>
      <c r="AI188" s="195"/>
      <c r="AJ188" s="194"/>
      <c r="AK188" s="130"/>
      <c r="AL188" s="130"/>
      <c r="AM188" s="29"/>
      <c r="AN188" s="29"/>
      <c r="AO188" s="29"/>
      <c r="AP188" s="29"/>
    </row>
    <row r="189" spans="1:4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92"/>
      <c r="V189" s="192"/>
      <c r="W189" s="130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5"/>
      <c r="AI189" s="195"/>
      <c r="AJ189" s="194"/>
      <c r="AK189" s="130"/>
      <c r="AL189" s="130"/>
      <c r="AM189" s="29"/>
      <c r="AN189" s="29"/>
      <c r="AO189" s="29"/>
      <c r="AP189" s="29"/>
    </row>
    <row r="190" spans="1:4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92"/>
      <c r="V190" s="192"/>
      <c r="W190" s="130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5"/>
      <c r="AI190" s="195"/>
      <c r="AJ190" s="194"/>
      <c r="AK190" s="130"/>
      <c r="AL190" s="130"/>
      <c r="AM190" s="29"/>
      <c r="AN190" s="29"/>
      <c r="AO190" s="29"/>
      <c r="AP190" s="29"/>
    </row>
    <row r="191" spans="1:4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92"/>
      <c r="V191" s="192"/>
      <c r="W191" s="130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5"/>
      <c r="AI191" s="195"/>
      <c r="AJ191" s="194"/>
      <c r="AK191" s="130"/>
      <c r="AL191" s="130"/>
      <c r="AM191" s="29"/>
      <c r="AN191" s="29"/>
      <c r="AO191" s="29"/>
      <c r="AP191" s="29"/>
    </row>
    <row r="192" spans="1:4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88"/>
      <c r="AI192" s="188"/>
      <c r="AJ192" s="130"/>
      <c r="AK192" s="130"/>
      <c r="AL192" s="130"/>
      <c r="AM192" s="29"/>
      <c r="AN192" s="29"/>
      <c r="AO192" s="29"/>
      <c r="AP192" s="29"/>
    </row>
    <row r="193" spans="1:4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30"/>
      <c r="V193" s="130"/>
      <c r="W193" s="130"/>
      <c r="X193" s="188"/>
      <c r="Y193" s="188"/>
      <c r="Z193" s="188"/>
      <c r="AA193" s="188"/>
      <c r="AB193" s="188"/>
      <c r="AC193" s="130"/>
      <c r="AD193" s="143"/>
      <c r="AE193" s="143"/>
      <c r="AF193" s="143"/>
      <c r="AG193" s="130"/>
      <c r="AH193" s="188"/>
      <c r="AI193" s="188"/>
      <c r="AJ193" s="188"/>
      <c r="AK193" s="130"/>
      <c r="AL193" s="130"/>
      <c r="AM193" s="29"/>
      <c r="AN193" s="29"/>
      <c r="AO193" s="29"/>
      <c r="AP193" s="29"/>
    </row>
    <row r="194" spans="1:4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88"/>
      <c r="AI194" s="188"/>
      <c r="AJ194" s="130"/>
      <c r="AK194" s="130"/>
      <c r="AL194" s="130"/>
      <c r="AM194" s="29"/>
      <c r="AN194" s="29"/>
      <c r="AO194" s="29"/>
      <c r="AP194" s="29"/>
    </row>
    <row r="195" spans="1:4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43"/>
      <c r="AE195" s="143"/>
      <c r="AF195" s="143"/>
      <c r="AG195" s="130"/>
      <c r="AH195" s="188"/>
      <c r="AI195" s="188"/>
      <c r="AJ195" s="130"/>
      <c r="AK195" s="130"/>
      <c r="AL195" s="130"/>
      <c r="AM195" s="29"/>
      <c r="AN195" s="29"/>
      <c r="AO195" s="29"/>
      <c r="AP195" s="29"/>
    </row>
    <row r="196" spans="1:4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88"/>
      <c r="AI196" s="188"/>
      <c r="AJ196" s="130"/>
      <c r="AK196" s="130"/>
      <c r="AL196" s="130"/>
      <c r="AM196" s="29"/>
      <c r="AN196" s="29"/>
      <c r="AO196" s="29"/>
      <c r="AP196" s="29"/>
    </row>
    <row r="197" spans="1:4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43"/>
      <c r="AE197" s="143"/>
      <c r="AF197" s="143"/>
      <c r="AG197" s="130"/>
      <c r="AH197" s="188"/>
      <c r="AI197" s="188"/>
      <c r="AJ197" s="130"/>
      <c r="AK197" s="130"/>
      <c r="AL197" s="130"/>
      <c r="AM197" s="29"/>
      <c r="AN197" s="29"/>
      <c r="AO197" s="29"/>
      <c r="AP197" s="29"/>
    </row>
    <row r="198" spans="1:4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88"/>
      <c r="AI198" s="188"/>
      <c r="AJ198" s="130"/>
      <c r="AK198" s="130"/>
      <c r="AL198" s="130"/>
      <c r="AM198" s="29"/>
      <c r="AN198" s="29"/>
      <c r="AO198" s="29"/>
      <c r="AP198" s="29"/>
    </row>
    <row r="199" spans="1:4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43"/>
      <c r="AE199" s="143"/>
      <c r="AF199" s="143"/>
      <c r="AG199" s="130"/>
      <c r="AH199" s="188"/>
      <c r="AI199" s="188"/>
      <c r="AJ199" s="130"/>
      <c r="AK199" s="130"/>
      <c r="AL199" s="130"/>
      <c r="AM199" s="29"/>
      <c r="AN199" s="29"/>
      <c r="AO199" s="29"/>
      <c r="AP199" s="29"/>
    </row>
    <row r="200" spans="1:4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88"/>
      <c r="AI200" s="188"/>
      <c r="AJ200" s="130"/>
      <c r="AK200" s="130"/>
      <c r="AL200" s="130"/>
      <c r="AM200" s="29"/>
      <c r="AN200" s="29"/>
      <c r="AO200" s="29"/>
      <c r="AP200" s="29"/>
    </row>
    <row r="201" spans="1:4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88"/>
      <c r="AI201" s="188"/>
      <c r="AJ201" s="130"/>
      <c r="AK201" s="130"/>
      <c r="AL201" s="130"/>
      <c r="AM201" s="29"/>
      <c r="AN201" s="29"/>
      <c r="AO201" s="29"/>
      <c r="AP201" s="29"/>
    </row>
    <row r="202" spans="1:4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88"/>
      <c r="AI202" s="188"/>
      <c r="AJ202" s="130"/>
      <c r="AK202" s="130"/>
      <c r="AL202" s="130"/>
      <c r="AM202" s="29"/>
      <c r="AN202" s="29"/>
      <c r="AO202" s="29"/>
      <c r="AP202" s="29"/>
    </row>
    <row r="203" spans="1:4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30"/>
      <c r="V203" s="130"/>
      <c r="W203" s="130"/>
      <c r="X203" s="183"/>
      <c r="Y203" s="188"/>
      <c r="Z203" s="183"/>
      <c r="AA203" s="188"/>
      <c r="AB203" s="183"/>
      <c r="AC203" s="130"/>
      <c r="AD203" s="130"/>
      <c r="AE203" s="130"/>
      <c r="AF203" s="130"/>
      <c r="AG203" s="130"/>
      <c r="AH203" s="188"/>
      <c r="AI203" s="188"/>
      <c r="AJ203" s="183"/>
      <c r="AK203" s="130"/>
      <c r="AL203" s="130"/>
      <c r="AM203" s="29"/>
      <c r="AN203" s="29"/>
      <c r="AO203" s="29"/>
      <c r="AP203" s="29"/>
    </row>
    <row r="204" spans="1:4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88"/>
      <c r="AI204" s="188"/>
      <c r="AJ204" s="130"/>
      <c r="AK204" s="130"/>
      <c r="AL204" s="130"/>
      <c r="AM204" s="29"/>
      <c r="AN204" s="29"/>
      <c r="AO204" s="29"/>
      <c r="AP204" s="29"/>
    </row>
    <row r="205" spans="1:4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88"/>
      <c r="AI205" s="188"/>
      <c r="AJ205" s="130"/>
      <c r="AK205" s="130"/>
      <c r="AL205" s="130"/>
      <c r="AM205" s="29"/>
      <c r="AN205" s="29"/>
      <c r="AO205" s="29"/>
      <c r="AP205" s="29"/>
    </row>
    <row r="206" spans="1:4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88"/>
      <c r="AI206" s="188"/>
      <c r="AJ206" s="130"/>
      <c r="AK206" s="130"/>
      <c r="AL206" s="130"/>
      <c r="AM206" s="29"/>
      <c r="AN206" s="29"/>
      <c r="AO206" s="29"/>
      <c r="AP206" s="29"/>
    </row>
    <row r="207" spans="1:4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88"/>
      <c r="AI207" s="188"/>
      <c r="AJ207" s="130"/>
      <c r="AK207" s="130"/>
      <c r="AL207" s="130"/>
      <c r="AM207" s="29"/>
      <c r="AN207" s="29"/>
      <c r="AO207" s="29"/>
      <c r="AP207" s="29"/>
    </row>
    <row r="208" spans="1:4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88"/>
      <c r="AI208" s="188"/>
      <c r="AJ208" s="130"/>
      <c r="AK208" s="130"/>
      <c r="AL208" s="130"/>
      <c r="AM208" s="29"/>
      <c r="AN208" s="29"/>
      <c r="AO208" s="29"/>
      <c r="AP208" s="29"/>
    </row>
    <row r="209" spans="1:4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88"/>
      <c r="AI209" s="188"/>
      <c r="AJ209" s="130"/>
      <c r="AK209" s="130"/>
      <c r="AL209" s="130"/>
      <c r="AM209" s="29"/>
      <c r="AN209" s="29"/>
      <c r="AO209" s="29"/>
      <c r="AP209" s="29"/>
    </row>
    <row r="210" spans="1:4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88"/>
      <c r="AI210" s="188"/>
      <c r="AJ210" s="130"/>
      <c r="AK210" s="130"/>
      <c r="AL210" s="130"/>
      <c r="AM210" s="29"/>
      <c r="AN210" s="29"/>
      <c r="AO210" s="29"/>
      <c r="AP210" s="29"/>
    </row>
    <row r="211" spans="1:4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88"/>
      <c r="AI211" s="188"/>
      <c r="AJ211" s="190"/>
      <c r="AK211" s="130"/>
      <c r="AL211" s="130"/>
      <c r="AM211" s="29"/>
      <c r="AN211" s="29"/>
      <c r="AO211" s="29"/>
      <c r="AP211" s="29"/>
    </row>
    <row r="212" spans="1:4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88"/>
      <c r="AI212" s="188"/>
      <c r="AJ212" s="130"/>
      <c r="AK212" s="130"/>
      <c r="AL212" s="130"/>
      <c r="AM212" s="29"/>
      <c r="AN212" s="29"/>
      <c r="AO212" s="29"/>
      <c r="AP212" s="29"/>
    </row>
    <row r="213" spans="1:4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88"/>
      <c r="AI213" s="188"/>
      <c r="AJ213" s="130"/>
      <c r="AK213" s="130"/>
      <c r="AL213" s="130"/>
      <c r="AM213" s="29"/>
      <c r="AN213" s="29"/>
      <c r="AO213" s="29"/>
      <c r="AP213" s="29"/>
    </row>
    <row r="214" spans="1:4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91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3"/>
      <c r="AI214" s="193"/>
      <c r="AJ214" s="192"/>
      <c r="AK214" s="130"/>
      <c r="AL214" s="130"/>
      <c r="AM214" s="29"/>
      <c r="AN214" s="29"/>
      <c r="AO214" s="29"/>
      <c r="AP214" s="29"/>
    </row>
    <row r="215" spans="1:4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3"/>
      <c r="AI215" s="193"/>
      <c r="AJ215" s="192"/>
      <c r="AK215" s="130"/>
      <c r="AL215" s="130"/>
      <c r="AM215" s="29"/>
      <c r="AN215" s="29"/>
      <c r="AO215" s="29"/>
      <c r="AP215" s="29"/>
    </row>
    <row r="216" spans="1:4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3"/>
      <c r="AI216" s="193"/>
      <c r="AJ216" s="192"/>
      <c r="AK216" s="130"/>
      <c r="AL216" s="130"/>
      <c r="AM216" s="29"/>
      <c r="AN216" s="29"/>
      <c r="AO216" s="29"/>
      <c r="AP216" s="29"/>
    </row>
    <row r="217" spans="1:4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96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3"/>
      <c r="AI217" s="193"/>
      <c r="AJ217" s="192"/>
      <c r="AK217" s="130"/>
      <c r="AL217" s="130"/>
      <c r="AM217" s="29"/>
      <c r="AN217" s="29"/>
      <c r="AO217" s="29"/>
      <c r="AP217" s="29"/>
    </row>
    <row r="218" spans="1:4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88"/>
      <c r="AI218" s="188"/>
      <c r="AJ218" s="130"/>
      <c r="AK218" s="130"/>
      <c r="AL218" s="130"/>
      <c r="AM218" s="29"/>
      <c r="AN218" s="29"/>
      <c r="AO218" s="29"/>
      <c r="AP218" s="29"/>
    </row>
    <row r="219" spans="1:4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30"/>
      <c r="V219" s="130"/>
      <c r="W219" s="130"/>
      <c r="X219" s="194"/>
      <c r="Y219" s="130"/>
      <c r="Z219" s="130"/>
      <c r="AA219" s="130"/>
      <c r="AB219" s="194"/>
      <c r="AC219" s="130"/>
      <c r="AD219" s="194"/>
      <c r="AE219" s="194"/>
      <c r="AF219" s="194"/>
      <c r="AG219" s="130"/>
      <c r="AH219" s="188"/>
      <c r="AI219" s="188"/>
      <c r="AJ219" s="130"/>
      <c r="AK219" s="130"/>
      <c r="AL219" s="130"/>
      <c r="AM219" s="29"/>
      <c r="AN219" s="29"/>
      <c r="AO219" s="29"/>
      <c r="AP219" s="29"/>
    </row>
    <row r="220" spans="1:4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30"/>
      <c r="V220" s="130"/>
      <c r="W220" s="130"/>
      <c r="X220" s="194"/>
      <c r="Y220" s="130"/>
      <c r="Z220" s="194"/>
      <c r="AA220" s="130"/>
      <c r="AB220" s="194"/>
      <c r="AC220" s="130"/>
      <c r="AD220" s="194"/>
      <c r="AE220" s="194"/>
      <c r="AF220" s="194"/>
      <c r="AG220" s="130"/>
      <c r="AH220" s="188"/>
      <c r="AI220" s="188"/>
      <c r="AJ220" s="194"/>
      <c r="AK220" s="130"/>
      <c r="AL220" s="130"/>
      <c r="AM220" s="29"/>
      <c r="AN220" s="29"/>
      <c r="AO220" s="29"/>
      <c r="AP220" s="29"/>
    </row>
    <row r="221" spans="1:4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92"/>
      <c r="V221" s="192"/>
      <c r="W221" s="130"/>
      <c r="X221" s="194"/>
      <c r="Y221" s="130"/>
      <c r="Z221" s="194"/>
      <c r="AA221" s="130"/>
      <c r="AB221" s="194"/>
      <c r="AC221" s="130"/>
      <c r="AD221" s="194"/>
      <c r="AE221" s="194"/>
      <c r="AF221" s="194"/>
      <c r="AG221" s="130"/>
      <c r="AH221" s="188"/>
      <c r="AI221" s="188"/>
      <c r="AJ221" s="194"/>
      <c r="AK221" s="130"/>
      <c r="AL221" s="130"/>
      <c r="AM221" s="29"/>
      <c r="AN221" s="29"/>
      <c r="AO221" s="29"/>
      <c r="AP221" s="29"/>
    </row>
    <row r="222" spans="1:4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92"/>
      <c r="V222" s="192"/>
      <c r="W222" s="130"/>
      <c r="X222" s="194"/>
      <c r="Y222" s="130"/>
      <c r="Z222" s="194"/>
      <c r="AA222" s="130"/>
      <c r="AB222" s="194"/>
      <c r="AC222" s="130"/>
      <c r="AD222" s="194"/>
      <c r="AE222" s="194"/>
      <c r="AF222" s="194"/>
      <c r="AG222" s="130"/>
      <c r="AH222" s="188"/>
      <c r="AI222" s="188"/>
      <c r="AJ222" s="194"/>
      <c r="AK222" s="130"/>
      <c r="AL222" s="130"/>
      <c r="AM222" s="29"/>
      <c r="AN222" s="29"/>
      <c r="AO222" s="29"/>
      <c r="AP222" s="29"/>
    </row>
    <row r="223" spans="1:4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88"/>
      <c r="AI223" s="188"/>
      <c r="AJ223" s="130"/>
      <c r="AK223" s="130"/>
      <c r="AL223" s="130"/>
      <c r="AM223" s="29"/>
      <c r="AN223" s="29"/>
      <c r="AO223" s="29"/>
      <c r="AP223" s="29"/>
    </row>
    <row r="224" spans="1:4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97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88"/>
      <c r="AI224" s="188"/>
      <c r="AJ224" s="130"/>
      <c r="AK224" s="130"/>
      <c r="AL224" s="130"/>
      <c r="AM224" s="29"/>
      <c r="AN224" s="29"/>
      <c r="AO224" s="29"/>
      <c r="AP224" s="29"/>
    </row>
    <row r="225" spans="1:4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30"/>
      <c r="V225" s="130"/>
      <c r="W225" s="130"/>
      <c r="X225" s="188"/>
      <c r="Y225" s="130"/>
      <c r="Z225" s="188"/>
      <c r="AA225" s="130"/>
      <c r="AB225" s="130"/>
      <c r="AC225" s="130"/>
      <c r="AD225" s="130"/>
      <c r="AE225" s="130"/>
      <c r="AF225" s="130"/>
      <c r="AG225" s="130"/>
      <c r="AH225" s="188"/>
      <c r="AI225" s="188"/>
      <c r="AJ225" s="130"/>
      <c r="AK225" s="130"/>
      <c r="AL225" s="130"/>
      <c r="AM225" s="29"/>
      <c r="AN225" s="29"/>
      <c r="AO225" s="29"/>
      <c r="AP225" s="29"/>
    </row>
    <row r="226" spans="1:4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30"/>
      <c r="V226" s="130"/>
      <c r="W226" s="130"/>
      <c r="X226" s="130"/>
      <c r="Y226" s="130"/>
      <c r="Z226" s="130"/>
      <c r="AA226" s="130"/>
      <c r="AB226" s="188"/>
      <c r="AC226" s="130"/>
      <c r="AD226" s="130"/>
      <c r="AE226" s="130"/>
      <c r="AF226" s="130"/>
      <c r="AG226" s="130"/>
      <c r="AH226" s="188"/>
      <c r="AI226" s="188"/>
      <c r="AJ226" s="130"/>
      <c r="AK226" s="130"/>
      <c r="AL226" s="130"/>
      <c r="AM226" s="29"/>
      <c r="AN226" s="29"/>
      <c r="AO226" s="29"/>
      <c r="AP226" s="29"/>
    </row>
    <row r="227" spans="1:4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30"/>
      <c r="V227" s="130"/>
      <c r="W227" s="130"/>
      <c r="X227" s="130"/>
      <c r="Y227" s="130"/>
      <c r="Z227" s="130"/>
      <c r="AA227" s="130"/>
      <c r="AB227" s="188"/>
      <c r="AC227" s="130"/>
      <c r="AD227" s="188"/>
      <c r="AE227" s="188"/>
      <c r="AF227" s="188"/>
      <c r="AG227" s="130"/>
      <c r="AH227" s="188"/>
      <c r="AI227" s="188"/>
      <c r="AJ227" s="130"/>
      <c r="AK227" s="130"/>
      <c r="AL227" s="130"/>
      <c r="AM227" s="29"/>
      <c r="AN227" s="29"/>
      <c r="AO227" s="29"/>
      <c r="AP227" s="29"/>
    </row>
    <row r="228" spans="1:4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88"/>
      <c r="AI228" s="188"/>
      <c r="AJ228" s="188"/>
      <c r="AK228" s="130"/>
      <c r="AL228" s="130"/>
      <c r="AM228" s="29"/>
      <c r="AN228" s="29"/>
      <c r="AO228" s="29"/>
      <c r="AP228" s="29"/>
    </row>
    <row r="229" spans="1:4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88"/>
      <c r="AI229" s="188"/>
      <c r="AJ229" s="130"/>
      <c r="AK229" s="130"/>
      <c r="AL229" s="130"/>
      <c r="AM229" s="29"/>
      <c r="AN229" s="29"/>
      <c r="AO229" s="29"/>
      <c r="AP229" s="29"/>
    </row>
    <row r="230" spans="1:4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88"/>
      <c r="AI230" s="188"/>
      <c r="AJ230" s="130"/>
      <c r="AK230" s="130"/>
      <c r="AL230" s="130"/>
      <c r="AM230" s="29"/>
      <c r="AN230" s="29"/>
      <c r="AO230" s="29"/>
      <c r="AP230" s="29"/>
    </row>
    <row r="231" spans="1:4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97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88"/>
      <c r="AI231" s="188"/>
      <c r="AJ231" s="130"/>
      <c r="AK231" s="130"/>
      <c r="AL231" s="130"/>
      <c r="AM231" s="29"/>
      <c r="AN231" s="29"/>
      <c r="AO231" s="29"/>
      <c r="AP231" s="29"/>
    </row>
    <row r="232" spans="1:4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88"/>
      <c r="AI232" s="188"/>
      <c r="AJ232" s="130"/>
      <c r="AK232" s="130"/>
      <c r="AL232" s="130"/>
      <c r="AM232" s="29"/>
      <c r="AN232" s="29"/>
      <c r="AO232" s="29"/>
      <c r="AP232" s="29"/>
    </row>
    <row r="233" spans="1:4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88"/>
      <c r="AI233" s="188"/>
      <c r="AJ233" s="130"/>
      <c r="AK233" s="130"/>
      <c r="AL233" s="130"/>
      <c r="AM233" s="29"/>
      <c r="AN233" s="29"/>
      <c r="AO233" s="29"/>
      <c r="AP233" s="29"/>
    </row>
    <row r="234" spans="1:4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88"/>
      <c r="AI234" s="188"/>
      <c r="AJ234" s="130"/>
      <c r="AK234" s="130"/>
      <c r="AL234" s="130"/>
      <c r="AM234" s="29"/>
      <c r="AN234" s="29"/>
      <c r="AO234" s="29"/>
      <c r="AP234" s="29"/>
    </row>
    <row r="235" spans="1:4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88"/>
      <c r="AI235" s="188"/>
      <c r="AJ235" s="130"/>
      <c r="AK235" s="130"/>
      <c r="AL235" s="130"/>
      <c r="AM235" s="29"/>
      <c r="AN235" s="29"/>
      <c r="AO235" s="29"/>
      <c r="AP235" s="29"/>
    </row>
    <row r="236" spans="1:4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88"/>
      <c r="AI236" s="188"/>
      <c r="AJ236" s="130"/>
      <c r="AK236" s="130"/>
      <c r="AL236" s="130"/>
      <c r="AM236" s="29"/>
      <c r="AN236" s="29"/>
      <c r="AO236" s="29"/>
      <c r="AP236" s="29"/>
    </row>
    <row r="237" spans="1:4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88"/>
      <c r="AI237" s="188"/>
      <c r="AJ237" s="130"/>
      <c r="AK237" s="130"/>
      <c r="AL237" s="130"/>
      <c r="AM237" s="29"/>
      <c r="AN237" s="29"/>
      <c r="AO237" s="29"/>
      <c r="AP237" s="29"/>
    </row>
    <row r="238" spans="1:4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88"/>
      <c r="AI238" s="188"/>
      <c r="AJ238" s="130"/>
      <c r="AK238" s="130"/>
      <c r="AL238" s="130"/>
      <c r="AM238" s="29"/>
      <c r="AN238" s="29"/>
      <c r="AO238" s="29"/>
      <c r="AP238" s="29"/>
    </row>
    <row r="239" spans="1:4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88"/>
      <c r="AI239" s="188"/>
      <c r="AJ239" s="130"/>
      <c r="AK239" s="130"/>
      <c r="AL239" s="130"/>
      <c r="AM239" s="29"/>
      <c r="AN239" s="29"/>
      <c r="AO239" s="29"/>
      <c r="AP239" s="29"/>
    </row>
    <row r="240" spans="1:4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88"/>
      <c r="AI240" s="188"/>
      <c r="AJ240" s="130"/>
      <c r="AK240" s="130"/>
      <c r="AL240" s="130"/>
      <c r="AM240" s="29"/>
      <c r="AN240" s="29"/>
      <c r="AO240" s="29"/>
      <c r="AP240" s="29"/>
    </row>
    <row r="241" spans="1:4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88"/>
      <c r="AI241" s="188"/>
      <c r="AJ241" s="130"/>
      <c r="AK241" s="130"/>
      <c r="AL241" s="130"/>
      <c r="AM241" s="29"/>
      <c r="AN241" s="29"/>
      <c r="AO241" s="29"/>
      <c r="AP241" s="29"/>
    </row>
    <row r="242" spans="1:4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88"/>
      <c r="AI242" s="188"/>
      <c r="AJ242" s="130"/>
      <c r="AK242" s="130"/>
      <c r="AL242" s="130"/>
      <c r="AM242" s="29"/>
      <c r="AN242" s="29"/>
      <c r="AO242" s="29"/>
      <c r="AP242" s="29"/>
    </row>
    <row r="243" spans="1:4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88"/>
      <c r="AI243" s="188"/>
      <c r="AJ243" s="130"/>
      <c r="AK243" s="130"/>
      <c r="AL243" s="130"/>
      <c r="AM243" s="29"/>
      <c r="AN243" s="29"/>
      <c r="AO243" s="29"/>
      <c r="AP243" s="29"/>
    </row>
    <row r="244" spans="1:4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30"/>
      <c r="V244" s="130"/>
      <c r="W244" s="130"/>
      <c r="X244" s="183"/>
      <c r="Y244" s="130"/>
      <c r="Z244" s="183"/>
      <c r="AA244" s="130"/>
      <c r="AB244" s="183"/>
      <c r="AC244" s="130"/>
      <c r="AD244" s="183"/>
      <c r="AE244" s="183"/>
      <c r="AF244" s="183"/>
      <c r="AG244" s="130"/>
      <c r="AH244" s="188"/>
      <c r="AI244" s="188"/>
      <c r="AJ244" s="183"/>
      <c r="AK244" s="130"/>
      <c r="AL244" s="130"/>
      <c r="AM244" s="29"/>
      <c r="AN244" s="29"/>
      <c r="AO244" s="29"/>
      <c r="AP244" s="29"/>
    </row>
    <row r="245" spans="1:4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88"/>
      <c r="AI245" s="188"/>
      <c r="AJ245" s="130"/>
      <c r="AK245" s="130"/>
      <c r="AL245" s="130"/>
      <c r="AM245" s="29"/>
      <c r="AN245" s="29"/>
      <c r="AO245" s="29"/>
      <c r="AP245" s="29"/>
    </row>
    <row r="246" spans="1:4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88"/>
      <c r="AI246" s="188"/>
      <c r="AJ246" s="130"/>
      <c r="AK246" s="130"/>
      <c r="AL246" s="130"/>
      <c r="AM246" s="29"/>
      <c r="AN246" s="29"/>
      <c r="AO246" s="29"/>
      <c r="AP246" s="29"/>
    </row>
    <row r="247" spans="1:4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88"/>
      <c r="AI247" s="188"/>
      <c r="AJ247" s="130"/>
      <c r="AK247" s="130"/>
      <c r="AL247" s="130"/>
      <c r="AM247" s="29"/>
      <c r="AN247" s="29"/>
      <c r="AO247" s="29"/>
      <c r="AP247" s="29"/>
    </row>
    <row r="248" spans="1:4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88"/>
      <c r="AI248" s="188"/>
      <c r="AJ248" s="130"/>
      <c r="AK248" s="130"/>
      <c r="AL248" s="130"/>
      <c r="AM248" s="29"/>
      <c r="AN248" s="29"/>
      <c r="AO248" s="29"/>
      <c r="AP248" s="29"/>
    </row>
    <row r="249" spans="1:4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88"/>
      <c r="AI249" s="188"/>
      <c r="AJ249" s="130"/>
      <c r="AK249" s="130"/>
      <c r="AL249" s="130"/>
      <c r="AM249" s="29"/>
      <c r="AN249" s="29"/>
      <c r="AO249" s="29"/>
      <c r="AP249" s="29"/>
    </row>
    <row r="250" spans="1:4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88"/>
      <c r="AI250" s="188"/>
      <c r="AJ250" s="130"/>
      <c r="AK250" s="130"/>
      <c r="AL250" s="130"/>
      <c r="AM250" s="29"/>
      <c r="AN250" s="29"/>
      <c r="AO250" s="29"/>
      <c r="AP250" s="29"/>
    </row>
    <row r="251" spans="1:4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88"/>
      <c r="AI251" s="188"/>
      <c r="AJ251" s="130"/>
      <c r="AK251" s="130"/>
      <c r="AL251" s="130"/>
      <c r="AM251" s="29"/>
      <c r="AN251" s="29"/>
      <c r="AO251" s="29"/>
      <c r="AP251" s="29"/>
    </row>
    <row r="252" spans="1:4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88"/>
      <c r="AI252" s="188"/>
      <c r="AJ252" s="130"/>
      <c r="AK252" s="130"/>
      <c r="AL252" s="130"/>
      <c r="AM252" s="29"/>
      <c r="AN252" s="29"/>
      <c r="AO252" s="29"/>
      <c r="AP252" s="29"/>
    </row>
    <row r="253" spans="1:4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88"/>
      <c r="AI253" s="188"/>
      <c r="AJ253" s="130"/>
      <c r="AK253" s="130"/>
      <c r="AL253" s="130"/>
      <c r="AM253" s="29"/>
      <c r="AN253" s="29"/>
      <c r="AO253" s="29"/>
      <c r="AP253" s="29"/>
    </row>
    <row r="254" spans="1:4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88"/>
      <c r="AI254" s="188"/>
      <c r="AJ254" s="130"/>
      <c r="AK254" s="130"/>
      <c r="AL254" s="130"/>
      <c r="AM254" s="29"/>
      <c r="AN254" s="29"/>
      <c r="AO254" s="29"/>
      <c r="AP254" s="29"/>
    </row>
    <row r="255" spans="1:4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88"/>
      <c r="AI255" s="188"/>
      <c r="AJ255" s="130"/>
      <c r="AK255" s="130"/>
      <c r="AL255" s="130"/>
      <c r="AM255" s="29"/>
      <c r="AN255" s="29"/>
      <c r="AO255" s="29"/>
      <c r="AP255" s="29"/>
    </row>
    <row r="256" spans="1:4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88"/>
      <c r="AI256" s="188"/>
      <c r="AJ256" s="130"/>
      <c r="AK256" s="130"/>
      <c r="AL256" s="130"/>
      <c r="AM256" s="29"/>
      <c r="AN256" s="29"/>
      <c r="AO256" s="29"/>
      <c r="AP256" s="29"/>
    </row>
    <row r="257" spans="1:4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88"/>
      <c r="AI257" s="188"/>
      <c r="AJ257" s="130"/>
      <c r="AK257" s="130"/>
      <c r="AL257" s="130"/>
      <c r="AM257" s="29"/>
      <c r="AN257" s="29"/>
      <c r="AO257" s="29"/>
      <c r="AP257" s="29"/>
    </row>
    <row r="258" spans="1:4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88"/>
      <c r="AI258" s="188"/>
      <c r="AJ258" s="130"/>
      <c r="AK258" s="130"/>
      <c r="AL258" s="130"/>
      <c r="AM258" s="29"/>
      <c r="AN258" s="29"/>
      <c r="AO258" s="29"/>
      <c r="AP258" s="29"/>
    </row>
    <row r="259" spans="1:4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88"/>
      <c r="AI259" s="188"/>
      <c r="AJ259" s="130"/>
      <c r="AK259" s="130"/>
      <c r="AL259" s="130"/>
      <c r="AM259" s="29"/>
      <c r="AN259" s="29"/>
      <c r="AO259" s="29"/>
      <c r="AP259" s="29"/>
    </row>
    <row r="260" spans="1:4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88"/>
      <c r="AI260" s="188"/>
      <c r="AJ260" s="130"/>
      <c r="AK260" s="130"/>
      <c r="AL260" s="130"/>
      <c r="AM260" s="29"/>
      <c r="AN260" s="29"/>
      <c r="AO260" s="29"/>
      <c r="AP260" s="29"/>
    </row>
    <row r="261" spans="1:4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88"/>
      <c r="AI261" s="188"/>
      <c r="AJ261" s="190"/>
      <c r="AK261" s="130"/>
      <c r="AL261" s="130"/>
      <c r="AM261" s="29"/>
      <c r="AN261" s="29"/>
      <c r="AO261" s="29"/>
      <c r="AP261" s="29"/>
    </row>
    <row r="262" spans="1:4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88"/>
      <c r="AI262" s="188"/>
      <c r="AJ262" s="190"/>
      <c r="AK262" s="130"/>
      <c r="AL262" s="130"/>
      <c r="AM262" s="29"/>
      <c r="AN262" s="29"/>
      <c r="AO262" s="29"/>
      <c r="AP262" s="29"/>
    </row>
    <row r="263" spans="1:4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88"/>
      <c r="AI263" s="188"/>
      <c r="AJ263" s="130"/>
      <c r="AK263" s="130"/>
      <c r="AL263" s="130"/>
      <c r="AM263" s="29"/>
      <c r="AN263" s="29"/>
      <c r="AO263" s="29"/>
      <c r="AP263" s="29"/>
    </row>
    <row r="264" spans="1:4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91"/>
      <c r="V264" s="192"/>
      <c r="W264" s="192"/>
      <c r="X264" s="192"/>
      <c r="Y264" s="192"/>
      <c r="Z264" s="192"/>
      <c r="AA264" s="192"/>
      <c r="AB264" s="192"/>
      <c r="AC264" s="192"/>
      <c r="AD264" s="192"/>
      <c r="AE264" s="192"/>
      <c r="AF264" s="192"/>
      <c r="AG264" s="192"/>
      <c r="AH264" s="193"/>
      <c r="AI264" s="193"/>
      <c r="AJ264" s="192"/>
      <c r="AK264" s="130"/>
      <c r="AL264" s="130"/>
      <c r="AM264" s="29"/>
      <c r="AN264" s="29"/>
      <c r="AO264" s="29"/>
      <c r="AP264" s="29"/>
    </row>
    <row r="265" spans="1:4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92"/>
      <c r="V265" s="192"/>
      <c r="W265" s="192"/>
      <c r="X265" s="192"/>
      <c r="Y265" s="192"/>
      <c r="Z265" s="192"/>
      <c r="AA265" s="192"/>
      <c r="AB265" s="192"/>
      <c r="AC265" s="192"/>
      <c r="AD265" s="192"/>
      <c r="AE265" s="192"/>
      <c r="AF265" s="192"/>
      <c r="AG265" s="192"/>
      <c r="AH265" s="193"/>
      <c r="AI265" s="193"/>
      <c r="AJ265" s="192"/>
      <c r="AK265" s="130"/>
      <c r="AL265" s="130"/>
      <c r="AM265" s="29"/>
      <c r="AN265" s="29"/>
      <c r="AO265" s="29"/>
      <c r="AP265" s="29"/>
    </row>
    <row r="266" spans="1:4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92"/>
      <c r="V266" s="192"/>
      <c r="W266" s="192"/>
      <c r="X266" s="192"/>
      <c r="Y266" s="192"/>
      <c r="Z266" s="192"/>
      <c r="AA266" s="192"/>
      <c r="AB266" s="192"/>
      <c r="AC266" s="192"/>
      <c r="AD266" s="192"/>
      <c r="AE266" s="192"/>
      <c r="AF266" s="192"/>
      <c r="AG266" s="192"/>
      <c r="AH266" s="193"/>
      <c r="AI266" s="193"/>
      <c r="AJ266" s="192"/>
      <c r="AK266" s="130"/>
      <c r="AL266" s="130"/>
      <c r="AM266" s="29"/>
      <c r="AN266" s="29"/>
      <c r="AO266" s="29"/>
      <c r="AP266" s="29"/>
    </row>
    <row r="267" spans="1:4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2"/>
      <c r="AG267" s="192"/>
      <c r="AH267" s="193"/>
      <c r="AI267" s="193"/>
      <c r="AJ267" s="192"/>
      <c r="AK267" s="130"/>
      <c r="AL267" s="130"/>
      <c r="AM267" s="29"/>
      <c r="AN267" s="29"/>
      <c r="AO267" s="29"/>
      <c r="AP267" s="29"/>
    </row>
    <row r="268" spans="1:4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88"/>
      <c r="AI268" s="188"/>
      <c r="AJ268" s="130"/>
      <c r="AK268" s="130"/>
      <c r="AL268" s="130"/>
      <c r="AM268" s="29"/>
      <c r="AN268" s="29"/>
      <c r="AO268" s="29"/>
      <c r="AP268" s="29"/>
    </row>
    <row r="269" spans="1:4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30"/>
      <c r="V269" s="130"/>
      <c r="W269" s="130"/>
      <c r="X269" s="194"/>
      <c r="Y269" s="130"/>
      <c r="Z269" s="130"/>
      <c r="AA269" s="130"/>
      <c r="AB269" s="194"/>
      <c r="AC269" s="130"/>
      <c r="AD269" s="194"/>
      <c r="AE269" s="194"/>
      <c r="AF269" s="194"/>
      <c r="AG269" s="130"/>
      <c r="AH269" s="188"/>
      <c r="AI269" s="188"/>
      <c r="AJ269" s="130"/>
      <c r="AK269" s="130"/>
      <c r="AL269" s="130"/>
      <c r="AM269" s="29"/>
      <c r="AN269" s="29"/>
      <c r="AO269" s="29"/>
      <c r="AP269" s="29"/>
    </row>
    <row r="270" spans="1:4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30"/>
      <c r="V270" s="130"/>
      <c r="W270" s="130"/>
      <c r="X270" s="194"/>
      <c r="Y270" s="130"/>
      <c r="Z270" s="194"/>
      <c r="AA270" s="130"/>
      <c r="AB270" s="194"/>
      <c r="AC270" s="130"/>
      <c r="AD270" s="194"/>
      <c r="AE270" s="194"/>
      <c r="AF270" s="194"/>
      <c r="AG270" s="130"/>
      <c r="AH270" s="188"/>
      <c r="AI270" s="188"/>
      <c r="AJ270" s="194"/>
      <c r="AK270" s="130"/>
      <c r="AL270" s="130"/>
      <c r="AM270" s="29"/>
      <c r="AN270" s="29"/>
      <c r="AO270" s="29"/>
      <c r="AP270" s="29"/>
    </row>
    <row r="271" spans="1:4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92"/>
      <c r="V271" s="192"/>
      <c r="W271" s="130"/>
      <c r="X271" s="194"/>
      <c r="Y271" s="130"/>
      <c r="Z271" s="194"/>
      <c r="AA271" s="130"/>
      <c r="AB271" s="194"/>
      <c r="AC271" s="130"/>
      <c r="AD271" s="194"/>
      <c r="AE271" s="194"/>
      <c r="AF271" s="194"/>
      <c r="AG271" s="130"/>
      <c r="AH271" s="188"/>
      <c r="AI271" s="188"/>
      <c r="AJ271" s="194"/>
      <c r="AK271" s="130"/>
      <c r="AL271" s="130"/>
      <c r="AM271" s="29"/>
      <c r="AN271" s="29"/>
      <c r="AO271" s="29"/>
      <c r="AP271" s="29"/>
    </row>
    <row r="272" spans="1:4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92"/>
      <c r="V272" s="192"/>
      <c r="W272" s="130"/>
      <c r="X272" s="194"/>
      <c r="Y272" s="130"/>
      <c r="Z272" s="194"/>
      <c r="AA272" s="130"/>
      <c r="AB272" s="194"/>
      <c r="AC272" s="130"/>
      <c r="AD272" s="194"/>
      <c r="AE272" s="194"/>
      <c r="AF272" s="194"/>
      <c r="AG272" s="130"/>
      <c r="AH272" s="188"/>
      <c r="AI272" s="188"/>
      <c r="AJ272" s="194"/>
      <c r="AK272" s="130"/>
      <c r="AL272" s="130"/>
      <c r="AM272" s="29"/>
      <c r="AN272" s="29"/>
      <c r="AO272" s="29"/>
      <c r="AP272" s="29"/>
    </row>
    <row r="273" spans="1:4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88"/>
      <c r="AI273" s="188"/>
      <c r="AJ273" s="130"/>
      <c r="AK273" s="130"/>
      <c r="AL273" s="130"/>
      <c r="AM273" s="29"/>
      <c r="AN273" s="29"/>
      <c r="AO273" s="29"/>
      <c r="AP273" s="29"/>
    </row>
    <row r="274" spans="1:4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97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88"/>
      <c r="AI274" s="188"/>
      <c r="AJ274" s="130"/>
      <c r="AK274" s="130"/>
      <c r="AL274" s="130"/>
      <c r="AM274" s="29"/>
      <c r="AN274" s="29"/>
      <c r="AO274" s="29"/>
      <c r="AP274" s="29"/>
    </row>
    <row r="275" spans="1:4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30"/>
      <c r="V275" s="130"/>
      <c r="W275" s="130"/>
      <c r="X275" s="188"/>
      <c r="Y275" s="130"/>
      <c r="Z275" s="188"/>
      <c r="AA275" s="130"/>
      <c r="AB275" s="130"/>
      <c r="AC275" s="130"/>
      <c r="AD275" s="130"/>
      <c r="AE275" s="130"/>
      <c r="AF275" s="130"/>
      <c r="AG275" s="130"/>
      <c r="AH275" s="188"/>
      <c r="AI275" s="188"/>
      <c r="AJ275" s="130"/>
      <c r="AK275" s="130"/>
      <c r="AL275" s="130"/>
      <c r="AM275" s="29"/>
      <c r="AN275" s="29"/>
      <c r="AO275" s="29"/>
      <c r="AP275" s="29"/>
    </row>
    <row r="276" spans="1:4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30"/>
      <c r="V276" s="130"/>
      <c r="W276" s="130"/>
      <c r="X276" s="130"/>
      <c r="Y276" s="130"/>
      <c r="Z276" s="130"/>
      <c r="AA276" s="130"/>
      <c r="AB276" s="188"/>
      <c r="AC276" s="130"/>
      <c r="AD276" s="130"/>
      <c r="AE276" s="130"/>
      <c r="AF276" s="130"/>
      <c r="AG276" s="130"/>
      <c r="AH276" s="188"/>
      <c r="AI276" s="188"/>
      <c r="AJ276" s="130"/>
      <c r="AK276" s="130"/>
      <c r="AL276" s="130"/>
      <c r="AM276" s="29"/>
      <c r="AN276" s="29"/>
      <c r="AO276" s="29"/>
      <c r="AP276" s="29"/>
    </row>
    <row r="277" spans="1:4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30"/>
      <c r="V277" s="130"/>
      <c r="W277" s="130"/>
      <c r="X277" s="130"/>
      <c r="Y277" s="130"/>
      <c r="Z277" s="130"/>
      <c r="AA277" s="130"/>
      <c r="AB277" s="188"/>
      <c r="AC277" s="130"/>
      <c r="AD277" s="188"/>
      <c r="AE277" s="188"/>
      <c r="AF277" s="188"/>
      <c r="AG277" s="130"/>
      <c r="AH277" s="188"/>
      <c r="AI277" s="188"/>
      <c r="AJ277" s="130"/>
      <c r="AK277" s="130"/>
      <c r="AL277" s="130"/>
      <c r="AM277" s="29"/>
      <c r="AN277" s="29"/>
      <c r="AO277" s="29"/>
      <c r="AP277" s="29"/>
    </row>
    <row r="278" spans="1:4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88"/>
      <c r="AI278" s="188"/>
      <c r="AJ278" s="188"/>
      <c r="AK278" s="130"/>
      <c r="AL278" s="130"/>
      <c r="AM278" s="29"/>
      <c r="AN278" s="29"/>
      <c r="AO278" s="29"/>
      <c r="AP278" s="29"/>
    </row>
    <row r="279" spans="1:4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88"/>
      <c r="AI279" s="188"/>
      <c r="AJ279" s="130"/>
      <c r="AK279" s="130"/>
      <c r="AL279" s="130"/>
      <c r="AM279" s="29"/>
      <c r="AN279" s="29"/>
      <c r="AO279" s="29"/>
      <c r="AP279" s="29"/>
    </row>
    <row r="280" spans="1:4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88"/>
      <c r="AI280" s="188"/>
      <c r="AJ280" s="130"/>
      <c r="AK280" s="130"/>
      <c r="AL280" s="130"/>
      <c r="AM280" s="29"/>
      <c r="AN280" s="29"/>
      <c r="AO280" s="29"/>
      <c r="AP280" s="29"/>
    </row>
    <row r="281" spans="1:4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97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88"/>
      <c r="AI281" s="188"/>
      <c r="AJ281" s="130"/>
      <c r="AK281" s="130"/>
      <c r="AL281" s="130"/>
      <c r="AM281" s="29"/>
      <c r="AN281" s="29"/>
      <c r="AO281" s="29"/>
      <c r="AP281" s="29"/>
    </row>
    <row r="282" spans="1:4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88"/>
      <c r="AI282" s="188"/>
      <c r="AJ282" s="130"/>
      <c r="AK282" s="130"/>
      <c r="AL282" s="130"/>
      <c r="AM282" s="29"/>
      <c r="AN282" s="29"/>
      <c r="AO282" s="29"/>
      <c r="AP282" s="29"/>
    </row>
    <row r="283" spans="1:4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88"/>
      <c r="AI283" s="188"/>
      <c r="AJ283" s="130"/>
      <c r="AK283" s="130"/>
      <c r="AL283" s="130"/>
      <c r="AM283" s="29"/>
      <c r="AN283" s="29"/>
      <c r="AO283" s="29"/>
      <c r="AP283" s="29"/>
    </row>
    <row r="284" spans="1:4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88"/>
      <c r="AI284" s="188"/>
      <c r="AJ284" s="130"/>
      <c r="AK284" s="130"/>
      <c r="AL284" s="130"/>
      <c r="AM284" s="29"/>
      <c r="AN284" s="29"/>
      <c r="AO284" s="29"/>
      <c r="AP284" s="29"/>
    </row>
    <row r="285" spans="1:4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88"/>
      <c r="AI285" s="188"/>
      <c r="AJ285" s="130"/>
      <c r="AK285" s="130"/>
      <c r="AL285" s="130"/>
      <c r="AM285" s="29"/>
      <c r="AN285" s="29"/>
      <c r="AO285" s="29"/>
      <c r="AP285" s="29"/>
    </row>
    <row r="286" spans="1:4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88"/>
      <c r="AI286" s="188"/>
      <c r="AJ286" s="130"/>
      <c r="AK286" s="130"/>
      <c r="AL286" s="130"/>
      <c r="AM286" s="29"/>
      <c r="AN286" s="29"/>
      <c r="AO286" s="29"/>
      <c r="AP286" s="29"/>
    </row>
    <row r="287" spans="1:4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88"/>
      <c r="AI287" s="188"/>
      <c r="AJ287" s="130"/>
      <c r="AK287" s="130"/>
      <c r="AL287" s="130"/>
      <c r="AM287" s="29"/>
      <c r="AN287" s="29"/>
      <c r="AO287" s="29"/>
      <c r="AP287" s="29"/>
    </row>
    <row r="288" spans="1:4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88"/>
      <c r="AI288" s="188"/>
      <c r="AJ288" s="130"/>
      <c r="AK288" s="130"/>
      <c r="AL288" s="130"/>
      <c r="AM288" s="29"/>
      <c r="AN288" s="29"/>
      <c r="AO288" s="29"/>
      <c r="AP288" s="29"/>
    </row>
    <row r="289" spans="1:4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88"/>
      <c r="AI289" s="188"/>
      <c r="AJ289" s="130"/>
      <c r="AK289" s="130"/>
      <c r="AL289" s="130"/>
      <c r="AM289" s="29"/>
      <c r="AN289" s="29"/>
      <c r="AO289" s="29"/>
      <c r="AP289" s="29"/>
    </row>
    <row r="290" spans="1:4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88"/>
      <c r="AI290" s="188"/>
      <c r="AJ290" s="130"/>
      <c r="AK290" s="130"/>
      <c r="AL290" s="130"/>
      <c r="AM290" s="29"/>
      <c r="AN290" s="29"/>
      <c r="AO290" s="29"/>
      <c r="AP290" s="29"/>
    </row>
    <row r="291" spans="1:4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88"/>
      <c r="AI291" s="188"/>
      <c r="AJ291" s="130"/>
      <c r="AK291" s="130"/>
      <c r="AL291" s="130"/>
      <c r="AM291" s="29"/>
      <c r="AN291" s="29"/>
      <c r="AO291" s="29"/>
      <c r="AP291" s="29"/>
    </row>
    <row r="292" spans="1:4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88"/>
      <c r="AI292" s="188"/>
      <c r="AJ292" s="130"/>
      <c r="AK292" s="130"/>
      <c r="AL292" s="130"/>
      <c r="AM292" s="29"/>
      <c r="AN292" s="29"/>
      <c r="AO292" s="29"/>
      <c r="AP292" s="29"/>
    </row>
    <row r="293" spans="1:4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88"/>
      <c r="AI293" s="188"/>
      <c r="AJ293" s="130"/>
      <c r="AK293" s="130"/>
      <c r="AL293" s="130"/>
      <c r="AM293" s="29"/>
      <c r="AN293" s="29"/>
      <c r="AO293" s="29"/>
      <c r="AP293" s="29"/>
    </row>
    <row r="294" spans="1:4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88"/>
      <c r="AI294" s="188"/>
      <c r="AJ294" s="130"/>
      <c r="AK294" s="130"/>
      <c r="AL294" s="130"/>
      <c r="AM294" s="29"/>
      <c r="AN294" s="29"/>
      <c r="AO294" s="29"/>
      <c r="AP294" s="29"/>
    </row>
    <row r="295" spans="1:4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30"/>
      <c r="V295" s="130"/>
      <c r="W295" s="130"/>
      <c r="X295" s="183"/>
      <c r="Y295" s="130"/>
      <c r="Z295" s="183"/>
      <c r="AA295" s="130"/>
      <c r="AB295" s="183"/>
      <c r="AC295" s="130"/>
      <c r="AD295" s="183"/>
      <c r="AE295" s="183"/>
      <c r="AF295" s="183"/>
      <c r="AG295" s="130"/>
      <c r="AH295" s="188"/>
      <c r="AI295" s="188"/>
      <c r="AJ295" s="183"/>
      <c r="AK295" s="130"/>
      <c r="AL295" s="130"/>
      <c r="AM295" s="29"/>
      <c r="AN295" s="29"/>
      <c r="AO295" s="29"/>
      <c r="AP295" s="29"/>
    </row>
    <row r="296" spans="1:4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88"/>
      <c r="AI296" s="188"/>
      <c r="AJ296" s="130"/>
      <c r="AK296" s="130"/>
      <c r="AL296" s="130"/>
      <c r="AM296" s="29"/>
      <c r="AN296" s="29"/>
      <c r="AO296" s="29"/>
      <c r="AP296" s="29"/>
    </row>
    <row r="297" spans="1:4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88"/>
      <c r="AI297" s="188"/>
      <c r="AJ297" s="130"/>
      <c r="AK297" s="130"/>
      <c r="AL297" s="130"/>
      <c r="AM297" s="29"/>
      <c r="AN297" s="29"/>
      <c r="AO297" s="29"/>
      <c r="AP297" s="29"/>
    </row>
    <row r="298" spans="1:4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88"/>
      <c r="AI298" s="188"/>
      <c r="AJ298" s="130"/>
      <c r="AK298" s="130"/>
      <c r="AL298" s="130"/>
      <c r="AM298" s="29"/>
      <c r="AN298" s="29"/>
      <c r="AO298" s="29"/>
      <c r="AP298" s="29"/>
    </row>
    <row r="299" spans="1:4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88"/>
      <c r="AI299" s="188"/>
      <c r="AJ299" s="130"/>
      <c r="AK299" s="130"/>
      <c r="AL299" s="130"/>
      <c r="AM299" s="29"/>
      <c r="AN299" s="29"/>
      <c r="AO299" s="29"/>
      <c r="AP299" s="29"/>
    </row>
    <row r="300" spans="1:4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88"/>
      <c r="AI300" s="188"/>
      <c r="AJ300" s="130"/>
      <c r="AK300" s="130"/>
      <c r="AL300" s="130"/>
      <c r="AM300" s="29"/>
      <c r="AN300" s="29"/>
      <c r="AO300" s="29"/>
      <c r="AP300" s="29"/>
    </row>
    <row r="301" spans="1:4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88"/>
      <c r="AI301" s="188"/>
      <c r="AJ301" s="130"/>
      <c r="AK301" s="130"/>
      <c r="AL301" s="130"/>
      <c r="AM301" s="29"/>
      <c r="AN301" s="29"/>
      <c r="AO301" s="29"/>
      <c r="AP301" s="29"/>
    </row>
    <row r="302" spans="1:4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88"/>
      <c r="AI302" s="188"/>
      <c r="AJ302" s="130"/>
      <c r="AK302" s="130"/>
      <c r="AL302" s="130"/>
      <c r="AM302" s="29"/>
      <c r="AN302" s="29"/>
      <c r="AO302" s="29"/>
      <c r="AP302" s="29"/>
    </row>
    <row r="303" spans="1:4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88"/>
      <c r="AI303" s="188"/>
      <c r="AJ303" s="130"/>
      <c r="AK303" s="130"/>
      <c r="AL303" s="130"/>
      <c r="AM303" s="29"/>
      <c r="AN303" s="29"/>
      <c r="AO303" s="29"/>
      <c r="AP303" s="29"/>
    </row>
    <row r="304" spans="1:4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88"/>
      <c r="AI304" s="188"/>
      <c r="AJ304" s="130"/>
      <c r="AK304" s="130"/>
      <c r="AL304" s="130"/>
      <c r="AM304" s="29"/>
      <c r="AN304" s="29"/>
      <c r="AO304" s="29"/>
      <c r="AP304" s="29"/>
    </row>
    <row r="305" spans="1:4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88"/>
      <c r="AI305" s="188"/>
      <c r="AJ305" s="130"/>
      <c r="AK305" s="130"/>
      <c r="AL305" s="130"/>
      <c r="AM305" s="29"/>
      <c r="AN305" s="29"/>
      <c r="AO305" s="29"/>
      <c r="AP305" s="29"/>
    </row>
    <row r="306" spans="1:4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88"/>
      <c r="AI306" s="188"/>
      <c r="AJ306" s="130"/>
      <c r="AK306" s="130"/>
      <c r="AL306" s="130"/>
      <c r="AM306" s="29"/>
      <c r="AN306" s="29"/>
      <c r="AO306" s="29"/>
      <c r="AP306" s="29"/>
    </row>
    <row r="307" spans="1:4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88"/>
      <c r="AI307" s="188"/>
      <c r="AJ307" s="130"/>
      <c r="AK307" s="130"/>
      <c r="AL307" s="130"/>
      <c r="AM307" s="29"/>
      <c r="AN307" s="29"/>
      <c r="AO307" s="29"/>
      <c r="AP307" s="29"/>
    </row>
    <row r="308" spans="1:4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88"/>
      <c r="AI308" s="188"/>
      <c r="AJ308" s="130"/>
      <c r="AK308" s="130"/>
      <c r="AL308" s="130"/>
      <c r="AM308" s="29"/>
      <c r="AN308" s="29"/>
      <c r="AO308" s="29"/>
      <c r="AP308" s="29"/>
    </row>
    <row r="309" spans="1:4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88"/>
      <c r="AI309" s="188"/>
      <c r="AJ309" s="130"/>
      <c r="AK309" s="130"/>
      <c r="AL309" s="130"/>
      <c r="AM309" s="29"/>
      <c r="AN309" s="29"/>
      <c r="AO309" s="29"/>
      <c r="AP309" s="29"/>
    </row>
    <row r="310" spans="1:4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88"/>
      <c r="AI310" s="188"/>
      <c r="AJ310" s="130"/>
      <c r="AK310" s="130"/>
      <c r="AL310" s="130"/>
      <c r="AM310" s="29"/>
      <c r="AN310" s="29"/>
      <c r="AO310" s="29"/>
      <c r="AP310" s="29"/>
    </row>
    <row r="311" spans="1:4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88"/>
      <c r="AI311" s="188"/>
      <c r="AJ311" s="130"/>
      <c r="AK311" s="130"/>
      <c r="AL311" s="130"/>
      <c r="AM311" s="29"/>
      <c r="AN311" s="29"/>
      <c r="AO311" s="29"/>
      <c r="AP311" s="29"/>
    </row>
    <row r="312" spans="1:4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88"/>
      <c r="AI312" s="188"/>
      <c r="AJ312" s="130"/>
      <c r="AK312" s="130"/>
      <c r="AL312" s="130"/>
      <c r="AM312" s="29"/>
      <c r="AN312" s="29"/>
      <c r="AO312" s="29"/>
      <c r="AP312" s="29"/>
    </row>
    <row r="313" spans="1:4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88"/>
      <c r="AI313" s="188"/>
      <c r="AJ313" s="130"/>
      <c r="AK313" s="130"/>
      <c r="AL313" s="130"/>
      <c r="AM313" s="29"/>
      <c r="AN313" s="29"/>
      <c r="AO313" s="29"/>
      <c r="AP313" s="29"/>
    </row>
    <row r="314" spans="1:4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88"/>
      <c r="AI314" s="188"/>
      <c r="AJ314" s="130"/>
      <c r="AK314" s="130"/>
      <c r="AL314" s="130"/>
      <c r="AM314" s="29"/>
      <c r="AN314" s="29"/>
      <c r="AO314" s="29"/>
      <c r="AP314" s="29"/>
    </row>
    <row r="315" spans="1:4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88"/>
      <c r="AI315" s="188"/>
      <c r="AJ315" s="130"/>
      <c r="AK315" s="130"/>
      <c r="AL315" s="130"/>
      <c r="AM315" s="29"/>
      <c r="AN315" s="29"/>
      <c r="AO315" s="29"/>
      <c r="AP315" s="29"/>
    </row>
    <row r="316" spans="1:4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88"/>
      <c r="AI316" s="188"/>
      <c r="AJ316" s="130"/>
      <c r="AK316" s="130"/>
      <c r="AL316" s="130"/>
      <c r="AM316" s="29"/>
      <c r="AN316" s="29"/>
      <c r="AO316" s="29"/>
      <c r="AP316" s="29"/>
    </row>
    <row r="317" spans="1:4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88"/>
      <c r="AI317" s="188"/>
      <c r="AJ317" s="130"/>
      <c r="AK317" s="130"/>
      <c r="AL317" s="130"/>
      <c r="AM317" s="29"/>
      <c r="AN317" s="29"/>
      <c r="AO317" s="29"/>
      <c r="AP317" s="29"/>
    </row>
    <row r="318" spans="1:4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88"/>
      <c r="AI318" s="188"/>
      <c r="AJ318" s="130"/>
      <c r="AK318" s="130"/>
      <c r="AL318" s="130"/>
      <c r="AM318" s="29"/>
      <c r="AN318" s="29"/>
      <c r="AO318" s="29"/>
      <c r="AP318" s="29"/>
    </row>
    <row r="319" spans="1:4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88"/>
      <c r="AI319" s="188"/>
      <c r="AJ319" s="130"/>
      <c r="AK319" s="130"/>
      <c r="AL319" s="130"/>
      <c r="AM319" s="29"/>
      <c r="AN319" s="29"/>
      <c r="AO319" s="29"/>
      <c r="AP319" s="29"/>
    </row>
    <row r="320" spans="1:4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88"/>
      <c r="AI320" s="188"/>
      <c r="AJ320" s="130"/>
      <c r="AK320" s="130"/>
      <c r="AL320" s="130"/>
      <c r="AM320" s="29"/>
      <c r="AN320" s="29"/>
      <c r="AO320" s="29"/>
      <c r="AP320" s="29"/>
    </row>
    <row r="321" spans="1:4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88"/>
      <c r="AI321" s="188"/>
      <c r="AJ321" s="130"/>
      <c r="AK321" s="130"/>
      <c r="AL321" s="130"/>
      <c r="AM321" s="29"/>
      <c r="AN321" s="29"/>
      <c r="AO321" s="29"/>
      <c r="AP321" s="29"/>
    </row>
    <row r="322" spans="1:4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88"/>
      <c r="AI322" s="188"/>
      <c r="AJ322" s="130"/>
      <c r="AK322" s="130"/>
      <c r="AL322" s="130"/>
      <c r="AM322" s="29"/>
      <c r="AN322" s="29"/>
      <c r="AO322" s="29"/>
      <c r="AP322" s="29"/>
    </row>
    <row r="323" spans="1:4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88"/>
      <c r="AI323" s="188"/>
      <c r="AJ323" s="130"/>
      <c r="AK323" s="130"/>
      <c r="AL323" s="130"/>
      <c r="AM323" s="29"/>
      <c r="AN323" s="29"/>
      <c r="AO323" s="29"/>
      <c r="AP323" s="29"/>
    </row>
    <row r="324" spans="1:4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88"/>
      <c r="AI324" s="188"/>
      <c r="AJ324" s="130"/>
      <c r="AK324" s="130"/>
      <c r="AL324" s="130"/>
      <c r="AM324" s="29"/>
      <c r="AN324" s="29"/>
      <c r="AO324" s="29"/>
      <c r="AP324" s="29"/>
    </row>
    <row r="325" spans="1:4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88"/>
      <c r="AI325" s="188"/>
      <c r="AJ325" s="130"/>
      <c r="AK325" s="130"/>
      <c r="AL325" s="130"/>
      <c r="AM325" s="29"/>
      <c r="AN325" s="29"/>
      <c r="AO325" s="29"/>
      <c r="AP325" s="29"/>
    </row>
    <row r="326" spans="1:4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88"/>
      <c r="AI326" s="188"/>
      <c r="AJ326" s="130"/>
      <c r="AK326" s="130"/>
      <c r="AL326" s="130"/>
      <c r="AM326" s="29"/>
      <c r="AN326" s="29"/>
      <c r="AO326" s="29"/>
      <c r="AP326" s="29"/>
    </row>
    <row r="327" spans="1:4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88"/>
      <c r="AI327" s="188"/>
      <c r="AJ327" s="130"/>
      <c r="AK327" s="130"/>
      <c r="AL327" s="130"/>
      <c r="AM327" s="29"/>
      <c r="AN327" s="29"/>
      <c r="AO327" s="29"/>
      <c r="AP327" s="29"/>
    </row>
    <row r="328" spans="1:4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88"/>
      <c r="AI328" s="188"/>
      <c r="AJ328" s="130"/>
      <c r="AK328" s="130"/>
      <c r="AL328" s="130"/>
      <c r="AM328" s="29"/>
      <c r="AN328" s="29"/>
      <c r="AO328" s="29"/>
      <c r="AP328" s="29"/>
    </row>
    <row r="329" spans="1:4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88"/>
      <c r="AI329" s="188"/>
      <c r="AJ329" s="130"/>
      <c r="AK329" s="130"/>
      <c r="AL329" s="130"/>
      <c r="AM329" s="29"/>
      <c r="AN329" s="29"/>
      <c r="AO329" s="29"/>
      <c r="AP329" s="29"/>
    </row>
    <row r="330" spans="1:4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88"/>
      <c r="AI330" s="188"/>
      <c r="AJ330" s="130"/>
      <c r="AK330" s="130"/>
      <c r="AL330" s="130"/>
      <c r="AM330" s="29"/>
      <c r="AN330" s="29"/>
      <c r="AO330" s="29"/>
      <c r="AP330" s="29"/>
    </row>
    <row r="331" spans="1:4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88"/>
      <c r="AI331" s="188"/>
      <c r="AJ331" s="130"/>
      <c r="AK331" s="130"/>
      <c r="AL331" s="130"/>
      <c r="AM331" s="29"/>
      <c r="AN331" s="29"/>
      <c r="AO331" s="29"/>
      <c r="AP331" s="29"/>
    </row>
    <row r="332" spans="1:4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88"/>
      <c r="AI332" s="188"/>
      <c r="AJ332" s="130"/>
      <c r="AK332" s="130"/>
      <c r="AL332" s="130"/>
      <c r="AM332" s="29"/>
      <c r="AN332" s="29"/>
      <c r="AO332" s="29"/>
      <c r="AP332" s="29"/>
    </row>
    <row r="333" spans="1:4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88"/>
      <c r="AI333" s="188"/>
      <c r="AJ333" s="130"/>
      <c r="AK333" s="130"/>
      <c r="AL333" s="130"/>
      <c r="AM333" s="29"/>
      <c r="AN333" s="29"/>
      <c r="AO333" s="29"/>
      <c r="AP333" s="29"/>
    </row>
    <row r="334" spans="1:4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88"/>
      <c r="AI334" s="188"/>
      <c r="AJ334" s="130"/>
      <c r="AK334" s="130"/>
      <c r="AL334" s="130"/>
      <c r="AM334" s="29"/>
      <c r="AN334" s="29"/>
      <c r="AO334" s="29"/>
      <c r="AP334" s="29"/>
    </row>
    <row r="335" spans="1:4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88"/>
      <c r="AI335" s="188"/>
      <c r="AJ335" s="130"/>
      <c r="AK335" s="130"/>
      <c r="AL335" s="130"/>
      <c r="AM335" s="29"/>
      <c r="AN335" s="29"/>
      <c r="AO335" s="29"/>
      <c r="AP335" s="29"/>
    </row>
    <row r="336" spans="1:4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88"/>
      <c r="AI336" s="188"/>
      <c r="AJ336" s="130"/>
      <c r="AK336" s="130"/>
      <c r="AL336" s="130"/>
      <c r="AM336" s="29"/>
      <c r="AN336" s="29"/>
      <c r="AO336" s="29"/>
      <c r="AP336" s="29"/>
    </row>
    <row r="337" spans="1:4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88"/>
      <c r="AI337" s="188"/>
      <c r="AJ337" s="130"/>
      <c r="AK337" s="130"/>
      <c r="AL337" s="130"/>
      <c r="AM337" s="29"/>
      <c r="AN337" s="29"/>
      <c r="AO337" s="29"/>
      <c r="AP337" s="29"/>
    </row>
    <row r="338" spans="1:4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88"/>
      <c r="AI338" s="188"/>
      <c r="AJ338" s="130"/>
      <c r="AK338" s="130"/>
      <c r="AL338" s="130"/>
      <c r="AM338" s="29"/>
      <c r="AN338" s="29"/>
      <c r="AO338" s="29"/>
      <c r="AP338" s="29"/>
    </row>
    <row r="339" spans="1:4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88"/>
      <c r="AI339" s="188"/>
      <c r="AJ339" s="130"/>
      <c r="AK339" s="130"/>
      <c r="AL339" s="130"/>
      <c r="AM339" s="29"/>
      <c r="AN339" s="29"/>
      <c r="AO339" s="29"/>
      <c r="AP339" s="29"/>
    </row>
    <row r="340" spans="1:4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88"/>
      <c r="AI340" s="188"/>
      <c r="AJ340" s="130"/>
      <c r="AK340" s="130"/>
      <c r="AL340" s="130"/>
      <c r="AM340" s="29"/>
      <c r="AN340" s="29"/>
      <c r="AO340" s="29"/>
      <c r="AP340" s="29"/>
    </row>
    <row r="341" spans="1:4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88"/>
      <c r="AI341" s="188"/>
      <c r="AJ341" s="130"/>
      <c r="AK341" s="130"/>
      <c r="AL341" s="130"/>
      <c r="AM341" s="29"/>
      <c r="AN341" s="29"/>
      <c r="AO341" s="29"/>
      <c r="AP341" s="29"/>
    </row>
    <row r="342" spans="1:4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88"/>
      <c r="AI342" s="188"/>
      <c r="AJ342" s="130"/>
      <c r="AK342" s="130"/>
      <c r="AL342" s="130"/>
      <c r="AM342" s="29"/>
      <c r="AN342" s="29"/>
      <c r="AO342" s="29"/>
      <c r="AP342" s="29"/>
    </row>
    <row r="343" spans="1:4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88"/>
      <c r="AI343" s="188"/>
      <c r="AJ343" s="130"/>
      <c r="AK343" s="130"/>
      <c r="AL343" s="130"/>
      <c r="AM343" s="29"/>
      <c r="AN343" s="29"/>
      <c r="AO343" s="29"/>
      <c r="AP343" s="29"/>
    </row>
    <row r="344" spans="1:4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88"/>
      <c r="AI344" s="188"/>
      <c r="AJ344" s="130"/>
      <c r="AK344" s="130"/>
      <c r="AL344" s="130"/>
      <c r="AM344" s="29"/>
      <c r="AN344" s="29"/>
      <c r="AO344" s="29"/>
      <c r="AP344" s="29"/>
    </row>
    <row r="345" spans="1:4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88"/>
      <c r="AI345" s="188"/>
      <c r="AJ345" s="130"/>
      <c r="AK345" s="130"/>
      <c r="AL345" s="130"/>
      <c r="AM345" s="29"/>
      <c r="AN345" s="29"/>
      <c r="AO345" s="29"/>
      <c r="AP345" s="29"/>
    </row>
    <row r="346" spans="1:4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88"/>
      <c r="AI346" s="188"/>
      <c r="AJ346" s="130"/>
      <c r="AK346" s="130"/>
      <c r="AL346" s="130"/>
      <c r="AM346" s="29"/>
      <c r="AN346" s="29"/>
      <c r="AO346" s="29"/>
      <c r="AP346" s="29"/>
    </row>
    <row r="347" spans="1:4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88"/>
      <c r="AI347" s="188"/>
      <c r="AJ347" s="130"/>
      <c r="AK347" s="130"/>
      <c r="AL347" s="130"/>
      <c r="AM347" s="29"/>
      <c r="AN347" s="29"/>
      <c r="AO347" s="29"/>
      <c r="AP347" s="29"/>
    </row>
    <row r="348" spans="1:4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88"/>
      <c r="AI348" s="188"/>
      <c r="AJ348" s="130"/>
      <c r="AK348" s="130"/>
      <c r="AL348" s="130"/>
      <c r="AM348" s="29"/>
      <c r="AN348" s="29"/>
      <c r="AO348" s="29"/>
      <c r="AP348" s="29"/>
    </row>
    <row r="349" spans="1:42">
      <c r="S349" s="11"/>
      <c r="T349" s="11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88"/>
      <c r="AI349" s="188"/>
      <c r="AJ349" s="130"/>
      <c r="AK349" s="130"/>
      <c r="AL349" s="130"/>
      <c r="AM349" s="29"/>
      <c r="AN349" s="29"/>
      <c r="AO349" s="29"/>
      <c r="AP349" s="29"/>
    </row>
    <row r="350" spans="1:42"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</row>
    <row r="351" spans="1:42"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</row>
    <row r="352" spans="1:42"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</row>
    <row r="353" spans="20:42"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</row>
    <row r="354" spans="20:42"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</row>
    <row r="355" spans="20:42"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</row>
    <row r="356" spans="20:42"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</row>
    <row r="357" spans="20:42"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</row>
    <row r="358" spans="20:42"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</row>
    <row r="359" spans="20:42"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</row>
    <row r="360" spans="20:42"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</row>
    <row r="361" spans="20:42"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</row>
    <row r="362" spans="20:42"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</row>
    <row r="363" spans="20:42"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</row>
    <row r="364" spans="20:42"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</row>
    <row r="365" spans="20:42"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</row>
    <row r="366" spans="20:42"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</row>
    <row r="367" spans="20:42"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</row>
    <row r="368" spans="20:42"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</row>
    <row r="369" spans="20:42"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</row>
    <row r="370" spans="20:42"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</row>
    <row r="371" spans="20:42"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</row>
    <row r="372" spans="20:42"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</row>
    <row r="373" spans="20:42"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</row>
    <row r="374" spans="20:42"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</row>
    <row r="375" spans="20:42"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</row>
    <row r="376" spans="20:42"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</row>
    <row r="377" spans="20:42"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</row>
    <row r="378" spans="20:42"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</row>
    <row r="379" spans="20:42"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</row>
    <row r="380" spans="20:42"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</row>
    <row r="381" spans="20:42"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</row>
    <row r="382" spans="20:42"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</row>
    <row r="383" spans="20:42"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</row>
    <row r="384" spans="20:42"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</row>
    <row r="385" spans="20:42"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</row>
    <row r="386" spans="20:42"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</row>
    <row r="387" spans="20:42"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</row>
    <row r="388" spans="20:42"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</row>
    <row r="389" spans="20:42"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</row>
    <row r="390" spans="20:42"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</row>
    <row r="391" spans="20:42"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</row>
    <row r="392" spans="20:42"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</row>
    <row r="393" spans="20:42"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</row>
    <row r="394" spans="20:42"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</row>
    <row r="395" spans="20:42"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</row>
    <row r="396" spans="20:42"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</row>
    <row r="397" spans="20:42"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</row>
    <row r="398" spans="20:42"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</row>
    <row r="399" spans="20:42"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</row>
    <row r="400" spans="20:42"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</row>
    <row r="401" spans="20:42"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</row>
    <row r="402" spans="20:42"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</row>
    <row r="403" spans="20:42"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</row>
    <row r="404" spans="20:42"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</row>
    <row r="405" spans="20:42"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</row>
    <row r="406" spans="20:42"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</row>
    <row r="407" spans="20:42"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</row>
    <row r="408" spans="20:42"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</row>
    <row r="409" spans="20:42"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</row>
    <row r="410" spans="20:42"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</row>
    <row r="411" spans="20:42"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</row>
    <row r="412" spans="20:42"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</row>
    <row r="413" spans="20:42"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</row>
  </sheetData>
  <mergeCells count="1">
    <mergeCell ref="U39:AJ39"/>
  </mergeCells>
  <phoneticPr fontId="9" type="noConversion"/>
  <pageMargins left="0.85" right="0.2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I145"/>
  <sheetViews>
    <sheetView workbookViewId="0">
      <selection sqref="A1:K1"/>
    </sheetView>
  </sheetViews>
  <sheetFormatPr defaultColWidth="9.6640625" defaultRowHeight="15"/>
  <cols>
    <col min="1" max="1" width="7.6640625" style="1" customWidth="1"/>
    <col min="2" max="2" width="8.6640625" style="1" customWidth="1"/>
    <col min="3" max="3" width="2.6640625" style="1" customWidth="1"/>
    <col min="4" max="4" width="8.77734375" style="1" customWidth="1"/>
    <col min="5" max="5" width="2.6640625" style="1" customWidth="1"/>
    <col min="6" max="6" width="9.88671875" style="1" customWidth="1"/>
    <col min="7" max="7" width="5" style="1" customWidth="1"/>
    <col min="8" max="8" width="9.6640625" style="1" customWidth="1"/>
    <col min="9" max="9" width="0.6640625" style="1" customWidth="1"/>
    <col min="10" max="10" width="2.77734375" style="1" customWidth="1"/>
    <col min="11" max="11" width="10.6640625" style="1" customWidth="1"/>
    <col min="12" max="12" width="0.77734375" style="1" customWidth="1"/>
    <col min="13" max="13" width="13.5546875" style="1" bestFit="1" customWidth="1"/>
    <col min="14" max="14" width="9.6640625" style="1" customWidth="1"/>
    <col min="15" max="15" width="13.77734375" style="1" customWidth="1"/>
    <col min="16" max="16" width="6.109375" style="1" customWidth="1"/>
    <col min="17" max="17" width="10.109375" style="1" customWidth="1"/>
    <col min="18" max="18" width="12.21875" style="1" customWidth="1"/>
    <col min="19" max="19" width="1.33203125" style="1" customWidth="1"/>
    <col min="20" max="20" width="11.77734375" style="1" customWidth="1"/>
    <col min="21" max="21" width="3.109375" style="1" customWidth="1"/>
    <col min="22" max="22" width="9.5546875" style="1" bestFit="1" customWidth="1"/>
    <col min="23" max="23" width="2.109375" style="1" customWidth="1"/>
    <col min="24" max="24" width="10.5546875" style="1" bestFit="1" customWidth="1"/>
    <col min="25" max="25" width="1.44140625" style="1" customWidth="1"/>
    <col min="26" max="26" width="10.109375" style="1" customWidth="1"/>
    <col min="27" max="27" width="14" style="1" customWidth="1"/>
    <col min="28" max="16384" width="9.6640625" style="1"/>
  </cols>
  <sheetData>
    <row r="1" spans="1:31">
      <c r="A1" s="1088" t="s">
        <v>826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3"/>
      <c r="O1" s="1088" t="s">
        <v>826</v>
      </c>
      <c r="P1" s="1091"/>
      <c r="Q1" s="1091"/>
      <c r="R1" s="1091"/>
      <c r="S1" s="1091"/>
      <c r="T1" s="1091"/>
      <c r="U1" s="1091"/>
      <c r="V1" s="1091"/>
      <c r="W1" s="1091"/>
      <c r="X1" s="19"/>
      <c r="Y1" s="2"/>
      <c r="Z1" s="3"/>
    </row>
    <row r="2" spans="1:3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E2" s="11" t="s">
        <v>835</v>
      </c>
    </row>
    <row r="3" spans="1:31">
      <c r="A3" s="1089" t="s">
        <v>167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319"/>
      <c r="O3" s="1089" t="s">
        <v>167</v>
      </c>
      <c r="P3" s="1089"/>
      <c r="Q3" s="1089"/>
      <c r="R3" s="1089"/>
      <c r="S3" s="1089"/>
      <c r="T3" s="1089"/>
      <c r="U3" s="1089"/>
      <c r="V3" s="1089"/>
      <c r="W3" s="1089"/>
      <c r="X3" s="306"/>
      <c r="Y3" s="319"/>
      <c r="Z3" s="319"/>
    </row>
    <row r="5" spans="1:31" ht="15.75">
      <c r="A5" s="320"/>
      <c r="O5" s="320"/>
    </row>
    <row r="6" spans="1:31">
      <c r="A6" s="307" t="s">
        <v>609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O6" s="306" t="s">
        <v>551</v>
      </c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spans="1:31">
      <c r="A7" s="306" t="s">
        <v>610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spans="1:31"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O8" s="306" t="s">
        <v>562</v>
      </c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spans="1:31">
      <c r="A9" s="306" t="s">
        <v>429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O9" s="306" t="s">
        <v>552</v>
      </c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spans="1:31">
      <c r="A10" s="306" t="s">
        <v>430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spans="1:31" ht="24.6" customHeight="1">
      <c r="A11" s="306"/>
      <c r="B11" s="306"/>
      <c r="C11" s="306"/>
      <c r="D11" s="309" t="s">
        <v>179</v>
      </c>
      <c r="E11" s="306"/>
      <c r="F11" s="306"/>
      <c r="I11" s="306"/>
      <c r="J11" s="306"/>
      <c r="K11" s="306"/>
      <c r="L11" s="306"/>
      <c r="O11" s="306"/>
      <c r="P11" s="306"/>
      <c r="Q11" s="306"/>
      <c r="R11" s="309" t="s">
        <v>179</v>
      </c>
      <c r="S11" s="306"/>
      <c r="U11" s="306"/>
      <c r="V11" s="306"/>
      <c r="W11" s="306"/>
      <c r="X11" s="306"/>
      <c r="Y11" s="317"/>
      <c r="Z11" s="317"/>
    </row>
    <row r="12" spans="1:31">
      <c r="A12" s="306"/>
      <c r="B12" s="306"/>
      <c r="C12" s="306"/>
      <c r="D12" s="309" t="s">
        <v>176</v>
      </c>
      <c r="E12" s="306"/>
      <c r="H12" s="470" t="s">
        <v>587</v>
      </c>
      <c r="J12" s="306"/>
      <c r="K12" s="306"/>
      <c r="L12" s="306"/>
      <c r="O12" s="306"/>
      <c r="P12" s="306"/>
      <c r="Q12" s="306"/>
      <c r="R12" s="309" t="s">
        <v>196</v>
      </c>
      <c r="S12" s="306"/>
      <c r="U12" s="306"/>
      <c r="V12" s="306"/>
      <c r="W12" s="306"/>
      <c r="AB12" s="309" t="s">
        <v>428</v>
      </c>
      <c r="AC12" s="317"/>
      <c r="AD12" s="317"/>
    </row>
    <row r="13" spans="1:31">
      <c r="A13" s="306"/>
      <c r="B13" s="306"/>
      <c r="C13" s="306"/>
      <c r="D13" s="309" t="s">
        <v>422</v>
      </c>
      <c r="E13" s="306"/>
      <c r="H13" s="470" t="s">
        <v>588</v>
      </c>
      <c r="J13" s="306"/>
      <c r="K13" s="306"/>
      <c r="L13" s="306"/>
      <c r="O13" s="306"/>
      <c r="P13" s="306"/>
      <c r="Q13" s="306"/>
      <c r="R13" s="309" t="s">
        <v>193</v>
      </c>
      <c r="S13" s="306"/>
      <c r="U13" s="306"/>
      <c r="V13" s="306"/>
      <c r="W13" s="306"/>
      <c r="AB13" s="309" t="s">
        <v>431</v>
      </c>
      <c r="AC13" s="317"/>
      <c r="AD13" s="313"/>
    </row>
    <row r="14" spans="1:31">
      <c r="A14" s="305" t="s">
        <v>168</v>
      </c>
      <c r="B14" s="305"/>
      <c r="C14" s="306"/>
      <c r="D14" s="309" t="s">
        <v>180</v>
      </c>
      <c r="E14" s="306"/>
      <c r="F14" s="309" t="s">
        <v>177</v>
      </c>
      <c r="H14" s="470" t="s">
        <v>180</v>
      </c>
      <c r="K14" s="475" t="s">
        <v>177</v>
      </c>
      <c r="L14" s="306"/>
      <c r="O14" s="305" t="s">
        <v>168</v>
      </c>
      <c r="P14" s="305"/>
      <c r="Q14" s="306"/>
      <c r="R14" s="309" t="s">
        <v>180</v>
      </c>
      <c r="S14" s="306"/>
      <c r="U14" s="306"/>
      <c r="V14" s="309" t="s">
        <v>177</v>
      </c>
      <c r="W14" s="306"/>
      <c r="AB14" s="309" t="s">
        <v>180</v>
      </c>
      <c r="AC14" s="317"/>
      <c r="AD14" s="309" t="s">
        <v>177</v>
      </c>
    </row>
    <row r="15" spans="1:31">
      <c r="A15" s="305" t="s">
        <v>169</v>
      </c>
      <c r="B15" s="305"/>
      <c r="C15" s="306"/>
      <c r="D15" s="309" t="s">
        <v>181</v>
      </c>
      <c r="E15" s="306"/>
      <c r="F15" s="309" t="s">
        <v>590</v>
      </c>
      <c r="H15" s="471" t="s">
        <v>181</v>
      </c>
      <c r="K15" s="476" t="s">
        <v>586</v>
      </c>
      <c r="L15" s="306"/>
      <c r="O15" s="305" t="s">
        <v>169</v>
      </c>
      <c r="P15" s="312"/>
      <c r="Q15" s="306"/>
      <c r="R15" s="309" t="s">
        <v>181</v>
      </c>
      <c r="S15" s="306"/>
      <c r="U15" s="306"/>
      <c r="V15" s="309" t="s">
        <v>251</v>
      </c>
      <c r="W15" s="306"/>
      <c r="AB15" s="321" t="s">
        <v>181</v>
      </c>
      <c r="AC15" s="317"/>
      <c r="AD15" s="321" t="s">
        <v>302</v>
      </c>
    </row>
    <row r="16" spans="1:31">
      <c r="A16" s="310" t="s">
        <v>170</v>
      </c>
      <c r="B16" s="310"/>
      <c r="C16" s="306"/>
      <c r="D16" s="311" t="s">
        <v>178</v>
      </c>
      <c r="E16" s="306"/>
      <c r="F16" s="311" t="s">
        <v>191</v>
      </c>
      <c r="H16" s="306"/>
      <c r="K16" s="219"/>
      <c r="L16" s="306"/>
      <c r="O16" s="310" t="s">
        <v>170</v>
      </c>
      <c r="P16" s="312"/>
      <c r="Q16" s="306"/>
      <c r="R16" s="311" t="s">
        <v>178</v>
      </c>
      <c r="S16" s="306"/>
      <c r="U16" s="306"/>
      <c r="V16" s="311" t="s">
        <v>191</v>
      </c>
      <c r="W16" s="306"/>
      <c r="AB16" s="330">
        <v>-4</v>
      </c>
      <c r="AC16" s="317"/>
      <c r="AD16" s="330">
        <v>-5</v>
      </c>
    </row>
    <row r="17" spans="1:30" ht="10.5" customHeight="1">
      <c r="A17" s="312"/>
      <c r="B17" s="312"/>
      <c r="C17" s="306"/>
      <c r="D17" s="313"/>
      <c r="E17" s="306"/>
      <c r="F17" s="313"/>
      <c r="H17" s="306"/>
      <c r="K17" s="219"/>
      <c r="L17" s="306"/>
      <c r="O17" s="312"/>
      <c r="P17" s="312"/>
      <c r="Q17" s="306"/>
      <c r="R17" s="323"/>
      <c r="S17" s="315"/>
      <c r="U17" s="315"/>
      <c r="V17" s="313"/>
      <c r="W17" s="306"/>
      <c r="AB17" s="306"/>
      <c r="AC17" s="317"/>
      <c r="AD17" s="313"/>
    </row>
    <row r="18" spans="1:30">
      <c r="A18" s="314" t="s">
        <v>248</v>
      </c>
      <c r="B18" s="306"/>
      <c r="C18" s="306"/>
      <c r="D18" s="315"/>
      <c r="E18" s="306"/>
      <c r="F18" s="306"/>
      <c r="H18" s="306"/>
      <c r="K18" s="477"/>
      <c r="L18" s="306"/>
      <c r="O18" s="314" t="s">
        <v>248</v>
      </c>
      <c r="P18" s="306"/>
      <c r="Q18" s="306"/>
      <c r="R18" s="315"/>
      <c r="S18" s="315"/>
      <c r="U18" s="315"/>
      <c r="V18" s="306"/>
      <c r="W18" s="306"/>
      <c r="AB18" s="306"/>
      <c r="AC18" s="317"/>
      <c r="AD18" s="317"/>
    </row>
    <row r="19" spans="1:30">
      <c r="A19" s="306" t="s">
        <v>314</v>
      </c>
      <c r="B19" s="306"/>
      <c r="C19" s="306"/>
      <c r="D19" s="332">
        <f>ROUND(F86/365,0)</f>
        <v>120105</v>
      </c>
      <c r="E19" s="306"/>
      <c r="F19" s="366">
        <f t="shared" ref="F19:F24" si="0">ROUND(+D19/$D$26,4)</f>
        <v>0.71220000000000006</v>
      </c>
      <c r="H19" s="390">
        <f>+R19</f>
        <v>138446</v>
      </c>
      <c r="K19" s="418">
        <f>ROUND(+R19/M28,4)</f>
        <v>0.61880000000000002</v>
      </c>
      <c r="L19" s="306"/>
      <c r="O19" s="306" t="s">
        <v>314</v>
      </c>
      <c r="P19" s="306"/>
      <c r="Q19" s="306"/>
      <c r="R19" s="332">
        <f t="shared" ref="R19:R24" si="1">ROUND(K86/365,0)</f>
        <v>138446</v>
      </c>
      <c r="S19" s="315"/>
      <c r="U19" s="315"/>
      <c r="V19" s="366">
        <f>ROUND(+R19/$R$26,4)</f>
        <v>0.15060000000000001</v>
      </c>
      <c r="W19" s="306"/>
      <c r="AB19" s="332">
        <f>+R19-D19</f>
        <v>18341</v>
      </c>
      <c r="AC19" s="317"/>
      <c r="AD19" s="366">
        <f>ROUND(+AB19/$AB$26,4)</f>
        <v>3.0700000000000002E-2</v>
      </c>
    </row>
    <row r="20" spans="1:30">
      <c r="A20" s="306" t="s">
        <v>310</v>
      </c>
      <c r="B20" s="306"/>
      <c r="C20" s="306"/>
      <c r="D20" s="332">
        <f>ROUND(F87/365,0)</f>
        <v>48526</v>
      </c>
      <c r="E20" s="306"/>
      <c r="F20" s="366">
        <f t="shared" si="0"/>
        <v>0.2878</v>
      </c>
      <c r="H20" s="390">
        <f>+R20</f>
        <v>85282</v>
      </c>
      <c r="K20" s="418">
        <f>ROUND(+R20/M28,4)</f>
        <v>0.38119999999999998</v>
      </c>
      <c r="L20" s="306"/>
      <c r="O20" s="306" t="s">
        <v>310</v>
      </c>
      <c r="P20" s="306"/>
      <c r="Q20" s="306"/>
      <c r="R20" s="332">
        <f t="shared" si="1"/>
        <v>85282</v>
      </c>
      <c r="S20" s="315"/>
      <c r="U20" s="315"/>
      <c r="V20" s="366">
        <f t="shared" ref="V20:V24" si="2">ROUND(+R20/$R$26,4)</f>
        <v>9.2799999999999994E-2</v>
      </c>
      <c r="W20" s="306"/>
      <c r="AB20" s="332">
        <f>+R20-D20</f>
        <v>36756</v>
      </c>
      <c r="AC20" s="317"/>
      <c r="AD20" s="366">
        <f t="shared" ref="AD20:AD24" si="3">ROUND(+AB20/$AB$26,4)</f>
        <v>6.1400000000000003E-2</v>
      </c>
    </row>
    <row r="21" spans="1:30">
      <c r="A21" s="306" t="s">
        <v>311</v>
      </c>
      <c r="B21" s="306"/>
      <c r="C21" s="306"/>
      <c r="D21" s="332"/>
      <c r="E21" s="306"/>
      <c r="F21" s="366">
        <f t="shared" si="0"/>
        <v>0</v>
      </c>
      <c r="H21" s="306"/>
      <c r="K21" s="477"/>
      <c r="L21" s="306"/>
      <c r="O21" s="306" t="s">
        <v>311</v>
      </c>
      <c r="P21" s="306"/>
      <c r="Q21" s="306"/>
      <c r="R21" s="332">
        <f t="shared" si="1"/>
        <v>28500</v>
      </c>
      <c r="S21" s="315"/>
      <c r="U21" s="315"/>
      <c r="V21" s="366">
        <f t="shared" si="2"/>
        <v>3.1E-2</v>
      </c>
      <c r="W21" s="306"/>
      <c r="AB21" s="332">
        <f>+R21</f>
        <v>28500</v>
      </c>
      <c r="AC21" s="317"/>
      <c r="AD21" s="366">
        <f t="shared" si="3"/>
        <v>4.7600000000000003E-2</v>
      </c>
    </row>
    <row r="22" spans="1:30">
      <c r="A22" s="306" t="s">
        <v>312</v>
      </c>
      <c r="B22" s="306"/>
      <c r="C22" s="306"/>
      <c r="D22" s="332"/>
      <c r="E22" s="306"/>
      <c r="F22" s="366">
        <f t="shared" si="0"/>
        <v>0</v>
      </c>
      <c r="H22" s="306"/>
      <c r="K22" s="477"/>
      <c r="L22" s="306"/>
      <c r="O22" s="306" t="s">
        <v>312</v>
      </c>
      <c r="P22" s="306"/>
      <c r="Q22" s="306"/>
      <c r="R22" s="332">
        <f t="shared" si="1"/>
        <v>60891</v>
      </c>
      <c r="S22" s="315"/>
      <c r="U22" s="315"/>
      <c r="V22" s="366">
        <f t="shared" si="2"/>
        <v>6.6199999999999995E-2</v>
      </c>
      <c r="W22" s="306"/>
      <c r="AB22" s="332">
        <f>+R22</f>
        <v>60891</v>
      </c>
      <c r="AC22" s="317"/>
      <c r="AD22" s="366">
        <f t="shared" si="3"/>
        <v>0.1018</v>
      </c>
    </row>
    <row r="23" spans="1:30">
      <c r="A23" s="306" t="s">
        <v>313</v>
      </c>
      <c r="B23" s="306"/>
      <c r="C23" s="306"/>
      <c r="D23" s="332">
        <f>ROUND(F90/365,0)</f>
        <v>0</v>
      </c>
      <c r="E23" s="306"/>
      <c r="F23" s="366">
        <f t="shared" si="0"/>
        <v>0</v>
      </c>
      <c r="H23" s="306"/>
      <c r="K23" s="477"/>
      <c r="L23" s="306"/>
      <c r="O23" s="306" t="s">
        <v>452</v>
      </c>
      <c r="P23" s="306"/>
      <c r="Q23" s="306"/>
      <c r="R23" s="332">
        <f t="shared" si="1"/>
        <v>453691</v>
      </c>
      <c r="S23" s="315"/>
      <c r="U23" s="315"/>
      <c r="V23" s="366">
        <f t="shared" si="2"/>
        <v>0.49349999999999999</v>
      </c>
      <c r="W23" s="306"/>
      <c r="AB23" s="332">
        <f>+R23</f>
        <v>453691</v>
      </c>
      <c r="AC23" s="317"/>
      <c r="AD23" s="366">
        <f t="shared" si="3"/>
        <v>0.75849999999999995</v>
      </c>
    </row>
    <row r="24" spans="1:30">
      <c r="A24" s="306" t="s">
        <v>414</v>
      </c>
      <c r="B24" s="306"/>
      <c r="C24" s="306"/>
      <c r="D24" s="332">
        <f>ROUND(F91/365,0)</f>
        <v>0</v>
      </c>
      <c r="E24" s="317"/>
      <c r="F24" s="366">
        <f t="shared" si="0"/>
        <v>0</v>
      </c>
      <c r="H24" s="499"/>
      <c r="K24" s="478"/>
      <c r="L24" s="306"/>
      <c r="O24" s="306" t="s">
        <v>414</v>
      </c>
      <c r="P24" s="306"/>
      <c r="Q24" s="306"/>
      <c r="R24" s="332">
        <f t="shared" si="1"/>
        <v>152534</v>
      </c>
      <c r="S24" s="315"/>
      <c r="U24" s="315"/>
      <c r="V24" s="366">
        <f t="shared" si="2"/>
        <v>0.16589999999999999</v>
      </c>
      <c r="W24" s="306"/>
      <c r="AB24" s="332">
        <v>0</v>
      </c>
      <c r="AC24" s="317"/>
      <c r="AD24" s="366">
        <f t="shared" si="3"/>
        <v>0</v>
      </c>
    </row>
    <row r="25" spans="1:30" ht="12.75" customHeight="1">
      <c r="A25" s="306"/>
      <c r="B25" s="306"/>
      <c r="C25" s="306"/>
      <c r="D25" s="339"/>
      <c r="E25" s="306"/>
      <c r="F25" s="367"/>
      <c r="H25" s="306"/>
      <c r="K25" s="219"/>
      <c r="L25" s="306"/>
      <c r="O25" s="306"/>
      <c r="P25" s="306"/>
      <c r="Q25" s="306"/>
      <c r="R25" s="339"/>
      <c r="S25" s="315"/>
      <c r="U25" s="315"/>
      <c r="V25" s="367"/>
      <c r="W25" s="306"/>
      <c r="AB25" s="339"/>
      <c r="AC25" s="317"/>
      <c r="AD25" s="367"/>
    </row>
    <row r="26" spans="1:30" ht="17.100000000000001" customHeight="1" thickBot="1">
      <c r="A26" s="306" t="s">
        <v>173</v>
      </c>
      <c r="B26" s="306"/>
      <c r="C26" s="306"/>
      <c r="D26" s="361">
        <f>+SUM(D19:D22)</f>
        <v>168631</v>
      </c>
      <c r="E26" s="306"/>
      <c r="F26" s="368">
        <f>+SUM(F19:F24)</f>
        <v>1</v>
      </c>
      <c r="H26" s="361">
        <f t="shared" ref="H26" si="4">+SUM(H19:H22)</f>
        <v>223728</v>
      </c>
      <c r="K26" s="479">
        <f t="shared" ref="K26" si="5">+SUM(K19:K24)</f>
        <v>1</v>
      </c>
      <c r="L26" s="306"/>
      <c r="O26" s="306" t="s">
        <v>173</v>
      </c>
      <c r="P26" s="306"/>
      <c r="Q26" s="306"/>
      <c r="R26" s="361">
        <f>SUM(R19:R24)</f>
        <v>919344</v>
      </c>
      <c r="S26" s="306"/>
      <c r="U26" s="324"/>
      <c r="V26" s="368">
        <f>SUM(V19:V24)</f>
        <v>1</v>
      </c>
      <c r="W26" s="306"/>
      <c r="AB26" s="361">
        <f>SUM(AB19:AB24)</f>
        <v>598179</v>
      </c>
      <c r="AC26" s="317"/>
      <c r="AD26" s="368">
        <f>SUM(AD19:AD24)</f>
        <v>1</v>
      </c>
    </row>
    <row r="27" spans="1:30" ht="14.1" customHeight="1" thickTop="1">
      <c r="A27" s="306"/>
      <c r="B27" s="306"/>
      <c r="C27" s="306"/>
      <c r="D27" s="364"/>
      <c r="E27" s="318"/>
      <c r="H27" s="317"/>
      <c r="I27" s="317"/>
      <c r="K27" s="219"/>
      <c r="L27" s="318"/>
      <c r="V27" s="326"/>
      <c r="W27" s="327"/>
      <c r="AC27" s="36"/>
      <c r="AD27" s="328"/>
    </row>
    <row r="28" spans="1:30">
      <c r="A28" s="4"/>
      <c r="B28" s="4"/>
      <c r="C28" s="4"/>
      <c r="D28" s="4"/>
      <c r="E28" s="4"/>
      <c r="F28" s="280"/>
      <c r="G28" s="4"/>
      <c r="H28" s="4"/>
      <c r="I28" s="4"/>
      <c r="J28" s="4"/>
      <c r="K28" s="4"/>
      <c r="M28" s="375">
        <f>SUM(R19:R20)</f>
        <v>223728</v>
      </c>
      <c r="O28" s="1091" t="s">
        <v>826</v>
      </c>
      <c r="P28" s="1091"/>
      <c r="Q28" s="1091"/>
      <c r="R28" s="1091"/>
      <c r="S28" s="1091"/>
      <c r="T28" s="1091"/>
      <c r="U28" s="1091"/>
      <c r="V28" s="1091"/>
      <c r="W28" s="1091"/>
      <c r="X28" s="1091"/>
      <c r="Y28" s="1091"/>
      <c r="Z28" s="1091"/>
    </row>
    <row r="29" spans="1:30" ht="10.15" customHeight="1">
      <c r="A29" s="4"/>
      <c r="B29" s="4"/>
      <c r="C29" s="4"/>
      <c r="D29" s="4"/>
      <c r="E29" s="4"/>
      <c r="F29" s="280"/>
      <c r="G29" s="4"/>
      <c r="H29" s="4"/>
      <c r="I29" s="4"/>
      <c r="J29" s="4"/>
      <c r="K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</row>
    <row r="30" spans="1:30">
      <c r="A30" s="4"/>
      <c r="B30" s="4"/>
      <c r="C30" s="4"/>
      <c r="D30" s="4"/>
      <c r="E30" s="4"/>
      <c r="F30" s="280"/>
      <c r="G30" s="4"/>
      <c r="H30" s="4"/>
      <c r="I30" s="4"/>
      <c r="J30" s="4"/>
      <c r="K30" s="4"/>
      <c r="O30" s="1089" t="s">
        <v>167</v>
      </c>
      <c r="P30" s="1089"/>
      <c r="Q30" s="1089"/>
      <c r="R30" s="1089"/>
      <c r="S30" s="1089"/>
      <c r="T30" s="1089"/>
      <c r="U30" s="1089"/>
      <c r="V30" s="1089"/>
      <c r="W30" s="1089"/>
      <c r="X30" s="1089"/>
      <c r="Y30" s="1089"/>
      <c r="Z30" s="1089"/>
    </row>
    <row r="31" spans="1:30">
      <c r="A31" s="4"/>
      <c r="B31" s="4"/>
      <c r="C31" s="4"/>
      <c r="D31" s="4"/>
      <c r="E31" s="4"/>
      <c r="F31" s="280"/>
      <c r="G31" s="4"/>
      <c r="H31" s="4"/>
      <c r="I31" s="4"/>
      <c r="J31" s="4"/>
      <c r="K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40"/>
      <c r="Z31" s="36"/>
    </row>
    <row r="32" spans="1:30">
      <c r="A32" s="132"/>
      <c r="B32" s="133"/>
      <c r="C32" s="134"/>
      <c r="D32" s="134"/>
      <c r="E32" s="134"/>
      <c r="F32" s="289"/>
      <c r="G32" s="134"/>
      <c r="H32" s="134"/>
      <c r="I32" s="134"/>
      <c r="J32" s="134"/>
      <c r="K32" s="134"/>
      <c r="L32" s="134"/>
      <c r="O32" s="307" t="s">
        <v>744</v>
      </c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</row>
    <row r="33" spans="1:29" ht="11.45" customHeight="1">
      <c r="A33" s="135"/>
      <c r="B33" s="135"/>
      <c r="C33" s="135"/>
      <c r="D33" s="135"/>
      <c r="E33" s="135"/>
      <c r="F33" s="290"/>
      <c r="G33" s="135"/>
      <c r="H33" s="135"/>
      <c r="I33" s="135"/>
      <c r="J33" s="135"/>
      <c r="K33" s="135"/>
      <c r="L33" s="135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spans="1:29" ht="13.5" customHeight="1">
      <c r="A34" s="134"/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O34" s="306" t="s">
        <v>432</v>
      </c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spans="1:29">
      <c r="A35" s="134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O35" s="306" t="s">
        <v>433</v>
      </c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spans="1:29" ht="10.1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spans="1:29">
      <c r="A37" s="135"/>
      <c r="B37" s="135"/>
      <c r="C37" s="135"/>
      <c r="D37" s="136"/>
      <c r="E37" s="136"/>
      <c r="F37" s="136"/>
      <c r="G37" s="135"/>
      <c r="H37" s="136"/>
      <c r="I37" s="136"/>
      <c r="J37" s="136"/>
      <c r="K37" s="135"/>
      <c r="L37" s="135"/>
      <c r="O37" s="306"/>
      <c r="P37" s="306"/>
      <c r="Q37" s="1089" t="s">
        <v>176</v>
      </c>
      <c r="R37" s="1089"/>
      <c r="S37" s="1089"/>
      <c r="T37" s="1089"/>
      <c r="U37" s="306"/>
      <c r="V37" s="305" t="s">
        <v>185</v>
      </c>
      <c r="W37" s="305"/>
      <c r="X37" s="305"/>
      <c r="Y37" s="306"/>
      <c r="Z37" s="306"/>
    </row>
    <row r="38" spans="1:29">
      <c r="A38" s="135"/>
      <c r="B38" s="135"/>
      <c r="C38" s="135"/>
      <c r="D38" s="136"/>
      <c r="E38" s="136"/>
      <c r="F38" s="136"/>
      <c r="G38" s="135"/>
      <c r="H38" s="136"/>
      <c r="I38" s="136"/>
      <c r="J38" s="136"/>
      <c r="K38" s="135"/>
      <c r="L38" s="135"/>
      <c r="O38" s="306"/>
      <c r="P38" s="306"/>
      <c r="Q38" s="1090" t="s">
        <v>420</v>
      </c>
      <c r="R38" s="1090"/>
      <c r="S38" s="1090"/>
      <c r="T38" s="1090"/>
      <c r="U38" s="306"/>
      <c r="V38" s="305" t="s">
        <v>186</v>
      </c>
      <c r="W38" s="305"/>
      <c r="X38" s="305"/>
      <c r="Y38" s="306"/>
      <c r="Z38" s="309"/>
      <c r="AA38" s="202"/>
      <c r="AB38" s="33"/>
      <c r="AC38" s="36"/>
    </row>
    <row r="39" spans="1:29">
      <c r="A39" s="136"/>
      <c r="B39" s="136"/>
      <c r="C39" s="135"/>
      <c r="D39" s="137"/>
      <c r="E39" s="135"/>
      <c r="F39" s="137"/>
      <c r="G39" s="135"/>
      <c r="H39" s="137"/>
      <c r="I39" s="135"/>
      <c r="J39" s="137"/>
      <c r="K39" s="135"/>
      <c r="L39" s="137"/>
      <c r="O39" s="305" t="s">
        <v>168</v>
      </c>
      <c r="P39" s="305"/>
      <c r="Q39" s="392"/>
      <c r="R39" s="313" t="s">
        <v>177</v>
      </c>
      <c r="S39" s="317"/>
      <c r="T39" s="1060" t="s">
        <v>182</v>
      </c>
      <c r="U39" s="363"/>
      <c r="V39" s="1061" t="s">
        <v>177</v>
      </c>
      <c r="W39" s="1062"/>
      <c r="X39" s="1061" t="s">
        <v>182</v>
      </c>
      <c r="Y39" s="306"/>
      <c r="Z39" s="309" t="s">
        <v>177</v>
      </c>
      <c r="AA39" s="36"/>
      <c r="AB39" s="33"/>
      <c r="AC39" s="36"/>
    </row>
    <row r="40" spans="1:29">
      <c r="A40" s="136"/>
      <c r="B40" s="136"/>
      <c r="C40" s="135"/>
      <c r="D40" s="137"/>
      <c r="E40" s="135"/>
      <c r="F40" s="137"/>
      <c r="G40" s="135"/>
      <c r="H40" s="137"/>
      <c r="I40" s="135"/>
      <c r="J40" s="137"/>
      <c r="K40" s="135"/>
      <c r="L40" s="137"/>
      <c r="O40" s="305" t="s">
        <v>169</v>
      </c>
      <c r="P40" s="306"/>
      <c r="Q40" s="321" t="s">
        <v>608</v>
      </c>
      <c r="R40" s="309" t="s">
        <v>183</v>
      </c>
      <c r="S40" s="306"/>
      <c r="T40" s="475" t="s">
        <v>563</v>
      </c>
      <c r="U40" s="363"/>
      <c r="V40" s="475" t="s">
        <v>301</v>
      </c>
      <c r="W40" s="363"/>
      <c r="X40" s="475" t="s">
        <v>563</v>
      </c>
      <c r="Y40" s="306"/>
      <c r="Z40" s="309" t="s">
        <v>434</v>
      </c>
      <c r="AA40" s="36"/>
      <c r="AB40" s="33"/>
      <c r="AC40" s="36"/>
    </row>
    <row r="41" spans="1:29">
      <c r="A41" s="136"/>
      <c r="B41" s="136"/>
      <c r="C41" s="135"/>
      <c r="D41" s="137"/>
      <c r="E41" s="135"/>
      <c r="F41" s="137"/>
      <c r="G41" s="135"/>
      <c r="H41" s="137"/>
      <c r="I41" s="135"/>
      <c r="J41" s="137"/>
      <c r="K41" s="135"/>
      <c r="L41" s="137"/>
      <c r="O41" s="310" t="s">
        <v>170</v>
      </c>
      <c r="P41" s="310"/>
      <c r="Q41" s="311" t="s">
        <v>178</v>
      </c>
      <c r="R41" s="330">
        <v>-3</v>
      </c>
      <c r="S41" s="306"/>
      <c r="T41" s="1061" t="s">
        <v>445</v>
      </c>
      <c r="U41" s="363"/>
      <c r="V41" s="1063">
        <v>-5</v>
      </c>
      <c r="W41" s="363"/>
      <c r="X41" s="1061" t="s">
        <v>446</v>
      </c>
      <c r="Y41" s="306"/>
      <c r="Z41" s="398" t="s">
        <v>455</v>
      </c>
      <c r="AA41" s="36"/>
      <c r="AB41" s="144"/>
      <c r="AC41" s="36"/>
    </row>
    <row r="42" spans="1:29">
      <c r="A42" s="135"/>
      <c r="B42" s="135"/>
      <c r="C42" s="135"/>
      <c r="D42" s="135"/>
      <c r="E42" s="135"/>
      <c r="F42" s="138"/>
      <c r="G42" s="138"/>
      <c r="H42" s="138"/>
      <c r="I42" s="138"/>
      <c r="J42" s="138"/>
      <c r="K42" s="135"/>
      <c r="L42" s="135"/>
      <c r="O42" s="306"/>
      <c r="P42" s="306"/>
      <c r="Q42" s="306"/>
      <c r="R42" s="306"/>
      <c r="S42" s="306"/>
      <c r="T42" s="365">
        <f>+R99*0+'Ftr 3 &amp; 6'!C25</f>
        <v>0.39589999999999997</v>
      </c>
      <c r="U42" s="365"/>
      <c r="V42" s="365"/>
      <c r="W42" s="365"/>
      <c r="X42" s="365">
        <f>1-T42</f>
        <v>0.60410000000000008</v>
      </c>
      <c r="Y42" s="306"/>
      <c r="Z42" s="306"/>
      <c r="AA42" s="36"/>
      <c r="AB42" s="36"/>
      <c r="AC42" s="36"/>
    </row>
    <row r="43" spans="1:29">
      <c r="A43" s="139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O43" s="314" t="s">
        <v>248</v>
      </c>
      <c r="P43" s="306"/>
      <c r="Q43" s="306"/>
      <c r="R43" s="306"/>
      <c r="S43" s="306"/>
      <c r="T43" s="363"/>
      <c r="U43" s="363"/>
      <c r="V43" s="363"/>
      <c r="W43" s="363"/>
      <c r="X43" s="363"/>
      <c r="Y43" s="306"/>
      <c r="Z43" s="306"/>
    </row>
    <row r="44" spans="1:29">
      <c r="A44" s="140"/>
      <c r="B44" s="140"/>
      <c r="C44" s="135"/>
      <c r="D44" s="138"/>
      <c r="E44" s="138"/>
      <c r="F44" s="138"/>
      <c r="G44" s="138"/>
      <c r="H44" s="138"/>
      <c r="I44" s="138"/>
      <c r="J44" s="138"/>
      <c r="K44" s="138"/>
      <c r="L44" s="138"/>
      <c r="O44" s="306" t="s">
        <v>314</v>
      </c>
      <c r="P44" s="306"/>
      <c r="Q44" s="390">
        <f>+R19</f>
        <v>138446</v>
      </c>
      <c r="R44" s="366">
        <f>ROUND(Q44/Q$51,4)</f>
        <v>0.39119999999999999</v>
      </c>
      <c r="S44" s="316"/>
      <c r="T44" s="418">
        <f>ROUND(+R44*$T$42,4)</f>
        <v>0.15490000000000001</v>
      </c>
      <c r="U44" s="365"/>
      <c r="V44" s="418">
        <f>+'Ftr 3 &amp; 6'!K17</f>
        <v>0.5353</v>
      </c>
      <c r="W44" s="365"/>
      <c r="X44" s="418">
        <f>ROUND(+V44*$X$42,4)</f>
        <v>0.32340000000000002</v>
      </c>
      <c r="Y44" s="316"/>
      <c r="Z44" s="366">
        <f t="shared" ref="Z44:Z49" si="6">X44+T44</f>
        <v>0.47830000000000006</v>
      </c>
    </row>
    <row r="45" spans="1:29">
      <c r="A45" s="140"/>
      <c r="B45" s="140"/>
      <c r="C45" s="135"/>
      <c r="D45" s="138"/>
      <c r="E45" s="138"/>
      <c r="F45" s="138"/>
      <c r="G45" s="138"/>
      <c r="H45" s="138"/>
      <c r="I45" s="138"/>
      <c r="J45" s="141"/>
      <c r="K45" s="138"/>
      <c r="L45" s="138"/>
      <c r="O45" s="306" t="s">
        <v>310</v>
      </c>
      <c r="P45" s="306"/>
      <c r="Q45" s="390">
        <f>+R20</f>
        <v>85282</v>
      </c>
      <c r="R45" s="366">
        <f t="shared" ref="R45:R49" si="7">ROUND(Q45/Q$51,4)</f>
        <v>0.24099999999999999</v>
      </c>
      <c r="S45" s="316"/>
      <c r="T45" s="366">
        <f>ROUND(+R45*$T$42,4)</f>
        <v>9.5399999999999999E-2</v>
      </c>
      <c r="U45" s="316"/>
      <c r="V45" s="366">
        <f>+'Ftr 3 &amp; 6'!K18</f>
        <v>0.33479999999999999</v>
      </c>
      <c r="W45" s="316"/>
      <c r="X45" s="366">
        <f t="shared" ref="X45:X49" si="8">ROUND(+V45*$X$42,4)</f>
        <v>0.20230000000000001</v>
      </c>
      <c r="Y45" s="316"/>
      <c r="Z45" s="366">
        <f t="shared" si="6"/>
        <v>0.29770000000000002</v>
      </c>
    </row>
    <row r="46" spans="1:29">
      <c r="A46" s="140"/>
      <c r="B46" s="140"/>
      <c r="C46" s="135"/>
      <c r="D46" s="138"/>
      <c r="E46" s="138"/>
      <c r="F46" s="141"/>
      <c r="G46" s="138"/>
      <c r="H46" s="138"/>
      <c r="I46" s="138"/>
      <c r="J46" s="138"/>
      <c r="K46" s="138"/>
      <c r="L46" s="138"/>
      <c r="O46" s="306" t="s">
        <v>311</v>
      </c>
      <c r="P46" s="306"/>
      <c r="Q46" s="390">
        <f>+R21</f>
        <v>28500</v>
      </c>
      <c r="R46" s="366">
        <f t="shared" si="7"/>
        <v>8.0500000000000002E-2</v>
      </c>
      <c r="S46" s="316"/>
      <c r="T46" s="366">
        <f t="shared" ref="T46:T49" si="9">ROUND(+R46*$T$42,4)</f>
        <v>3.1899999999999998E-2</v>
      </c>
      <c r="U46" s="316"/>
      <c r="V46" s="366">
        <f>+'Ftr 3 &amp; 6'!K19</f>
        <v>8.48E-2</v>
      </c>
      <c r="W46" s="316"/>
      <c r="X46" s="366">
        <f t="shared" si="8"/>
        <v>5.1200000000000002E-2</v>
      </c>
      <c r="Y46" s="316"/>
      <c r="Z46" s="366">
        <f t="shared" si="6"/>
        <v>8.3100000000000007E-2</v>
      </c>
    </row>
    <row r="47" spans="1:29">
      <c r="A47" s="140"/>
      <c r="B47" s="140"/>
      <c r="C47" s="135"/>
      <c r="D47" s="138"/>
      <c r="E47" s="138"/>
      <c r="F47" s="141"/>
      <c r="G47" s="138"/>
      <c r="H47" s="138"/>
      <c r="I47" s="138"/>
      <c r="J47" s="138"/>
      <c r="K47" s="138"/>
      <c r="L47" s="138"/>
      <c r="O47" s="306" t="s">
        <v>312</v>
      </c>
      <c r="P47" s="306"/>
      <c r="Q47" s="390">
        <f>+R22</f>
        <v>60891</v>
      </c>
      <c r="R47" s="366">
        <f t="shared" si="7"/>
        <v>0.1721</v>
      </c>
      <c r="S47" s="316"/>
      <c r="T47" s="366">
        <f t="shared" si="9"/>
        <v>6.8099999999999994E-2</v>
      </c>
      <c r="U47" s="316"/>
      <c r="V47" s="366">
        <f>+'Ftr 3 &amp; 6'!K20</f>
        <v>4.5100000000000001E-2</v>
      </c>
      <c r="W47" s="316"/>
      <c r="X47" s="366">
        <f t="shared" si="8"/>
        <v>2.7199999999999998E-2</v>
      </c>
      <c r="Y47" s="316"/>
      <c r="Z47" s="366">
        <f t="shared" si="6"/>
        <v>9.5299999999999996E-2</v>
      </c>
    </row>
    <row r="48" spans="1:29">
      <c r="A48" s="140"/>
      <c r="B48" s="140"/>
      <c r="C48" s="135"/>
      <c r="D48" s="138"/>
      <c r="E48" s="138"/>
      <c r="F48" s="141"/>
      <c r="G48" s="138"/>
      <c r="H48" s="138"/>
      <c r="I48" s="138"/>
      <c r="J48" s="138"/>
      <c r="K48" s="138"/>
      <c r="L48" s="138"/>
      <c r="O48" s="306" t="s">
        <v>452</v>
      </c>
      <c r="P48" s="306"/>
      <c r="Q48" s="390"/>
      <c r="R48" s="366">
        <f t="shared" si="7"/>
        <v>0</v>
      </c>
      <c r="S48" s="316"/>
      <c r="T48" s="366">
        <f t="shared" si="9"/>
        <v>0</v>
      </c>
      <c r="U48" s="316"/>
      <c r="V48" s="366">
        <f>+'Ftr 3 &amp; 6'!K22</f>
        <v>0</v>
      </c>
      <c r="W48" s="316"/>
      <c r="X48" s="366">
        <f t="shared" si="8"/>
        <v>0</v>
      </c>
      <c r="Y48" s="316"/>
      <c r="Z48" s="366">
        <f t="shared" si="6"/>
        <v>0</v>
      </c>
    </row>
    <row r="49" spans="1:26">
      <c r="A49" s="140"/>
      <c r="B49" s="140"/>
      <c r="C49" s="135"/>
      <c r="D49" s="138"/>
      <c r="E49" s="138"/>
      <c r="F49" s="138"/>
      <c r="G49" s="138"/>
      <c r="H49" s="138"/>
      <c r="I49" s="138"/>
      <c r="J49" s="138"/>
      <c r="K49" s="138"/>
      <c r="L49" s="138"/>
      <c r="O49" s="306" t="s">
        <v>782</v>
      </c>
      <c r="P49" s="306"/>
      <c r="Q49" s="425">
        <f>ROUND((+K91)/365-40793694/365,0)</f>
        <v>40770</v>
      </c>
      <c r="R49" s="366">
        <f t="shared" si="7"/>
        <v>0.1152</v>
      </c>
      <c r="S49" s="316"/>
      <c r="T49" s="366">
        <f t="shared" si="9"/>
        <v>4.5600000000000002E-2</v>
      </c>
      <c r="U49" s="316"/>
      <c r="V49" s="366"/>
      <c r="W49" s="316"/>
      <c r="X49" s="366">
        <f t="shared" si="8"/>
        <v>0</v>
      </c>
      <c r="Y49" s="316"/>
      <c r="Z49" s="366">
        <f t="shared" si="6"/>
        <v>4.5600000000000002E-2</v>
      </c>
    </row>
    <row r="50" spans="1:26">
      <c r="A50" s="135"/>
      <c r="B50" s="135"/>
      <c r="C50" s="135"/>
      <c r="D50" s="138"/>
      <c r="E50" s="138"/>
      <c r="F50" s="138"/>
      <c r="G50" s="138"/>
      <c r="H50" s="138"/>
      <c r="I50" s="138"/>
      <c r="J50" s="138"/>
      <c r="K50" s="138"/>
      <c r="L50" s="138"/>
      <c r="O50" s="306"/>
      <c r="P50" s="306"/>
      <c r="Q50" s="306"/>
      <c r="R50" s="367"/>
      <c r="S50" s="316"/>
      <c r="T50" s="367"/>
      <c r="U50" s="316"/>
      <c r="V50" s="367"/>
      <c r="W50" s="316"/>
      <c r="X50" s="367"/>
      <c r="Y50" s="316"/>
      <c r="Z50" s="367"/>
    </row>
    <row r="51" spans="1:26" ht="15.75" thickBot="1">
      <c r="A51" s="135"/>
      <c r="B51" s="135"/>
      <c r="C51" s="135"/>
      <c r="D51" s="138"/>
      <c r="E51" s="135"/>
      <c r="F51" s="138"/>
      <c r="G51" s="135"/>
      <c r="H51" s="138"/>
      <c r="I51" s="135"/>
      <c r="J51" s="138"/>
      <c r="K51" s="135"/>
      <c r="L51" s="138"/>
      <c r="O51" s="4" t="s">
        <v>173</v>
      </c>
      <c r="P51" s="4"/>
      <c r="Q51" s="409">
        <f>SUM(Q44:Q50)</f>
        <v>353889</v>
      </c>
      <c r="R51" s="368">
        <f>SUM(R44:R49)</f>
        <v>1</v>
      </c>
      <c r="S51" s="4"/>
      <c r="T51" s="368">
        <f>SUM(T44:T49)</f>
        <v>0.39590000000000003</v>
      </c>
      <c r="U51" s="4"/>
      <c r="V51" s="368">
        <f>SUM(V44:V49)</f>
        <v>1</v>
      </c>
      <c r="W51" s="4"/>
      <c r="X51" s="368">
        <f>SUM(X44:X49)</f>
        <v>0.60410000000000008</v>
      </c>
      <c r="Y51" s="4"/>
      <c r="Z51" s="368">
        <f>SUM(Z44:Z49)</f>
        <v>0.99999999999999989</v>
      </c>
    </row>
    <row r="52" spans="1:26" ht="10.9" customHeight="1" thickTop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O52" s="440"/>
      <c r="P52" s="440"/>
      <c r="Q52" s="440"/>
      <c r="R52" s="13"/>
      <c r="S52" s="4"/>
      <c r="T52" s="13"/>
      <c r="U52" s="4"/>
      <c r="V52" s="13"/>
      <c r="W52" s="4"/>
      <c r="X52" s="13"/>
      <c r="Y52" s="4"/>
      <c r="Z52" s="13"/>
    </row>
    <row r="53" spans="1:26" ht="17.100000000000001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O53" s="1064" t="s">
        <v>848</v>
      </c>
      <c r="P53" s="502"/>
      <c r="Q53" s="502"/>
      <c r="R53" s="1065"/>
      <c r="S53" s="502"/>
      <c r="T53" s="1065"/>
      <c r="U53" s="502"/>
      <c r="V53" s="1065"/>
      <c r="W53" s="502"/>
      <c r="X53" s="523"/>
      <c r="Y53" s="502"/>
      <c r="Z53" s="1065"/>
    </row>
    <row r="54" spans="1:26" ht="12.6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O54" s="1064" t="s">
        <v>783</v>
      </c>
      <c r="P54" s="219"/>
      <c r="Q54" s="219"/>
      <c r="R54" s="219"/>
      <c r="S54" s="219"/>
      <c r="T54" s="219"/>
      <c r="U54" s="219"/>
      <c r="V54" s="219"/>
      <c r="W54" s="219"/>
      <c r="X54" s="219"/>
      <c r="Y54" s="1066"/>
      <c r="Z54" s="1066"/>
    </row>
    <row r="55" spans="1:26" ht="19.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O55" s="799"/>
      <c r="Y55" s="5"/>
      <c r="Z55" s="5"/>
    </row>
    <row r="56" spans="1:26" ht="16.899999999999999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O56" s="307" t="s">
        <v>565</v>
      </c>
      <c r="P56" s="391"/>
      <c r="Q56" s="5"/>
      <c r="R56" s="5"/>
      <c r="S56" s="5"/>
      <c r="T56" s="5"/>
      <c r="U56" s="5"/>
      <c r="V56" s="5"/>
      <c r="W56" s="5"/>
      <c r="X56" s="5"/>
      <c r="Y56" s="4"/>
      <c r="Z56" s="4"/>
    </row>
    <row r="57" spans="1:26" ht="15.6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O57" s="306" t="s">
        <v>564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7.100000000000001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O58" s="306" t="s">
        <v>130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6" ht="17.100000000000001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O59" s="306" t="s">
        <v>449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6" ht="9.6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6" ht="17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O61" s="306"/>
      <c r="P61" s="306"/>
      <c r="Q61" s="306"/>
      <c r="R61" s="305" t="s">
        <v>176</v>
      </c>
      <c r="S61" s="305"/>
      <c r="T61" s="305"/>
      <c r="U61" s="306"/>
      <c r="V61" s="305" t="s">
        <v>185</v>
      </c>
      <c r="W61" s="305"/>
      <c r="X61" s="305"/>
      <c r="Y61" s="306"/>
      <c r="Z61" s="306"/>
    </row>
    <row r="62" spans="1:26" ht="17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O62" s="306"/>
      <c r="P62" s="306"/>
      <c r="Q62" s="306"/>
      <c r="R62" s="305" t="s">
        <v>420</v>
      </c>
      <c r="S62" s="305"/>
      <c r="T62" s="305"/>
      <c r="U62" s="306"/>
      <c r="V62" s="305" t="s">
        <v>186</v>
      </c>
      <c r="W62" s="305"/>
      <c r="X62" s="305"/>
      <c r="Y62" s="306"/>
      <c r="Z62" s="396"/>
    </row>
    <row r="63" spans="1:26" ht="17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O63" s="305" t="s">
        <v>168</v>
      </c>
      <c r="P63" s="305"/>
      <c r="Q63" s="306"/>
      <c r="R63" s="311" t="s">
        <v>177</v>
      </c>
      <c r="S63" s="331"/>
      <c r="T63" s="311" t="s">
        <v>182</v>
      </c>
      <c r="U63" s="306"/>
      <c r="V63" s="311" t="s">
        <v>177</v>
      </c>
      <c r="W63" s="331"/>
      <c r="X63" s="311" t="s">
        <v>182</v>
      </c>
      <c r="Y63" s="306"/>
      <c r="Z63" s="396" t="s">
        <v>177</v>
      </c>
    </row>
    <row r="64" spans="1:26" ht="17.10000000000000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O64" s="305" t="s">
        <v>169</v>
      </c>
      <c r="P64" s="305"/>
      <c r="Q64" s="396" t="s">
        <v>193</v>
      </c>
      <c r="R64" s="396" t="s">
        <v>251</v>
      </c>
      <c r="S64" s="306"/>
      <c r="T64" s="396" t="s">
        <v>183</v>
      </c>
      <c r="U64" s="306"/>
      <c r="V64" s="396" t="s">
        <v>273</v>
      </c>
      <c r="W64" s="306"/>
      <c r="X64" s="396" t="s">
        <v>183</v>
      </c>
      <c r="Y64" s="306"/>
      <c r="Z64" s="396" t="s">
        <v>183</v>
      </c>
    </row>
    <row r="65" spans="1:35" ht="17.10000000000000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O65" s="310" t="s">
        <v>170</v>
      </c>
      <c r="P65" s="310"/>
      <c r="Q65" s="311" t="s">
        <v>178</v>
      </c>
      <c r="R65" s="330">
        <v>-3</v>
      </c>
      <c r="S65" s="306"/>
      <c r="T65" s="311" t="s">
        <v>445</v>
      </c>
      <c r="U65" s="306"/>
      <c r="V65" s="330">
        <v>-5</v>
      </c>
      <c r="W65" s="306"/>
      <c r="X65" s="311" t="s">
        <v>446</v>
      </c>
      <c r="Y65" s="306"/>
      <c r="Z65" s="398" t="s">
        <v>455</v>
      </c>
    </row>
    <row r="66" spans="1:35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O66" s="306"/>
      <c r="P66" s="306"/>
      <c r="Q66" s="306"/>
      <c r="R66" s="306"/>
      <c r="S66" s="306"/>
      <c r="T66" s="365">
        <f>+R94</f>
        <v>0.47470000000000001</v>
      </c>
      <c r="U66" s="316"/>
      <c r="V66" s="316"/>
      <c r="W66" s="316"/>
      <c r="X66" s="316">
        <f>1-T66</f>
        <v>0.52529999999999999</v>
      </c>
      <c r="Y66" s="306"/>
      <c r="Z66" s="306"/>
    </row>
    <row r="67" spans="1:35" ht="17.10000000000000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O67" s="314" t="s">
        <v>171</v>
      </c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spans="1:35" ht="17.10000000000000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O68" s="306" t="s">
        <v>314</v>
      </c>
      <c r="P68" s="306"/>
      <c r="Q68" s="390">
        <f t="shared" ref="Q68:Q73" si="10">+R19</f>
        <v>138446</v>
      </c>
      <c r="R68" s="366">
        <f t="shared" ref="R68:R73" si="11">+V19</f>
        <v>0.15060000000000001</v>
      </c>
      <c r="S68" s="316"/>
      <c r="T68" s="366">
        <f>ROUND(+R68*$T$66,4)</f>
        <v>7.1499999999999994E-2</v>
      </c>
      <c r="U68" s="316"/>
      <c r="V68" s="366">
        <f>+'Ftr 3 &amp; 6'!I17</f>
        <v>0.4486</v>
      </c>
      <c r="W68" s="316"/>
      <c r="X68" s="366">
        <f>ROUND(+V68*$X$66,4)+0.0001</f>
        <v>0.23569999999999999</v>
      </c>
      <c r="Y68" s="316"/>
      <c r="Z68" s="366">
        <f t="shared" ref="Z68:Z73" si="12">X68+T68</f>
        <v>0.30719999999999997</v>
      </c>
      <c r="AA68" s="34">
        <f>+'Ftr 3 &amp; 6'!G17</f>
        <v>524875.90777623386</v>
      </c>
    </row>
    <row r="69" spans="1:35" ht="17.10000000000000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O69" s="306" t="s">
        <v>310</v>
      </c>
      <c r="P69" s="306"/>
      <c r="Q69" s="390">
        <f t="shared" si="10"/>
        <v>85282</v>
      </c>
      <c r="R69" s="366">
        <f t="shared" si="11"/>
        <v>9.2799999999999994E-2</v>
      </c>
      <c r="S69" s="316"/>
      <c r="T69" s="366">
        <f>ROUND(+R69*$T$66,4)</f>
        <v>4.41E-2</v>
      </c>
      <c r="U69" s="316"/>
      <c r="V69" s="366">
        <f>+'Ftr 3 &amp; 6'!I18</f>
        <v>0.28060000000000002</v>
      </c>
      <c r="W69" s="316"/>
      <c r="X69" s="366">
        <f t="shared" ref="X69:X73" si="13">ROUND(+V69*$X$66,4)</f>
        <v>0.1474</v>
      </c>
      <c r="Y69" s="316"/>
      <c r="Z69" s="366">
        <f t="shared" si="12"/>
        <v>0.1915</v>
      </c>
      <c r="AA69" s="34">
        <f>+'Ftr 3 &amp; 6'!G18</f>
        <v>328347.33666821051</v>
      </c>
    </row>
    <row r="70" spans="1:35" ht="17.10000000000000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O70" s="306" t="s">
        <v>311</v>
      </c>
      <c r="P70" s="306"/>
      <c r="Q70" s="390">
        <f t="shared" si="10"/>
        <v>28500</v>
      </c>
      <c r="R70" s="366">
        <f t="shared" si="11"/>
        <v>3.1E-2</v>
      </c>
      <c r="S70" s="316"/>
      <c r="T70" s="366">
        <f t="shared" ref="T70:T73" si="14">ROUND(+R70*$T$66,4)</f>
        <v>1.47E-2</v>
      </c>
      <c r="U70" s="316"/>
      <c r="V70" s="366">
        <f>+'Ftr 3 &amp; 6'!I19</f>
        <v>7.1099999999999997E-2</v>
      </c>
      <c r="W70" s="316"/>
      <c r="X70" s="366">
        <f t="shared" si="13"/>
        <v>3.73E-2</v>
      </c>
      <c r="Y70" s="316"/>
      <c r="Z70" s="366">
        <f t="shared" si="12"/>
        <v>5.1999999999999998E-2</v>
      </c>
      <c r="AA70" s="34">
        <f>+'Ftr 3 &amp; 6'!G19</f>
        <v>83172</v>
      </c>
    </row>
    <row r="71" spans="1:35" ht="17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O71" s="306" t="s">
        <v>312</v>
      </c>
      <c r="P71" s="306"/>
      <c r="Q71" s="390">
        <f t="shared" si="10"/>
        <v>60891</v>
      </c>
      <c r="R71" s="366">
        <f t="shared" si="11"/>
        <v>6.6199999999999995E-2</v>
      </c>
      <c r="S71" s="316"/>
      <c r="T71" s="366">
        <f t="shared" si="14"/>
        <v>3.1399999999999997E-2</v>
      </c>
      <c r="U71" s="316"/>
      <c r="V71" s="366">
        <f>+'Ftr 3 &amp; 6'!I20</f>
        <v>3.78E-2</v>
      </c>
      <c r="W71" s="316"/>
      <c r="X71" s="366">
        <f t="shared" si="13"/>
        <v>1.9900000000000001E-2</v>
      </c>
      <c r="Y71" s="316"/>
      <c r="Z71" s="366">
        <f t="shared" si="12"/>
        <v>5.1299999999999998E-2</v>
      </c>
      <c r="AA71" s="34">
        <f>+'Ftr 3 &amp; 6'!G20</f>
        <v>44269</v>
      </c>
    </row>
    <row r="72" spans="1:35" ht="17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O72" s="306" t="s">
        <v>453</v>
      </c>
      <c r="P72" s="306"/>
      <c r="Q72" s="390">
        <f t="shared" si="10"/>
        <v>453691</v>
      </c>
      <c r="R72" s="366">
        <f t="shared" si="11"/>
        <v>0.49349999999999999</v>
      </c>
      <c r="S72" s="316"/>
      <c r="T72" s="366">
        <f>ROUND(+R72*$T$66,4)+-0.0001</f>
        <v>0.23420000000000002</v>
      </c>
      <c r="U72" s="316"/>
      <c r="V72" s="366">
        <f>+'Ftr 3 &amp; 6'!I22</f>
        <v>0.16189999999999999</v>
      </c>
      <c r="W72" s="316"/>
      <c r="X72" s="366">
        <f t="shared" si="13"/>
        <v>8.5000000000000006E-2</v>
      </c>
      <c r="Y72" s="316"/>
      <c r="Z72" s="366">
        <f t="shared" si="12"/>
        <v>0.31920000000000004</v>
      </c>
      <c r="AA72" s="34"/>
    </row>
    <row r="73" spans="1:35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O73" s="306" t="s">
        <v>414</v>
      </c>
      <c r="P73" s="306"/>
      <c r="Q73" s="393">
        <f t="shared" si="10"/>
        <v>152534</v>
      </c>
      <c r="R73" s="366">
        <f t="shared" si="11"/>
        <v>0.16589999999999999</v>
      </c>
      <c r="S73" s="316"/>
      <c r="T73" s="366">
        <f t="shared" si="14"/>
        <v>7.8799999999999995E-2</v>
      </c>
      <c r="U73" s="316"/>
      <c r="V73" s="366">
        <f>+V49</f>
        <v>0</v>
      </c>
      <c r="W73" s="316"/>
      <c r="X73" s="366">
        <f t="shared" si="13"/>
        <v>0</v>
      </c>
      <c r="Y73" s="316"/>
      <c r="Z73" s="366">
        <f t="shared" si="12"/>
        <v>7.8799999999999995E-2</v>
      </c>
      <c r="AA73" s="34"/>
    </row>
    <row r="74" spans="1:35" ht="11.4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O74" s="306"/>
      <c r="P74" s="306"/>
      <c r="Q74" s="306"/>
      <c r="R74" s="399"/>
      <c r="S74" s="316"/>
      <c r="T74" s="399"/>
      <c r="U74" s="316"/>
      <c r="V74" s="399"/>
      <c r="W74" s="316"/>
      <c r="X74" s="399"/>
      <c r="Y74" s="316"/>
      <c r="Z74" s="399"/>
    </row>
    <row r="75" spans="1:35" ht="17.100000000000001" customHeight="1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O75" s="306" t="s">
        <v>173</v>
      </c>
      <c r="P75" s="306"/>
      <c r="Q75" s="409">
        <f>SUM(Q68:Q74)</f>
        <v>919344</v>
      </c>
      <c r="R75" s="368">
        <f>SUM(R68:R73)</f>
        <v>1</v>
      </c>
      <c r="S75" s="4"/>
      <c r="T75" s="368">
        <f>SUM(T68:T73)</f>
        <v>0.47470000000000001</v>
      </c>
      <c r="U75" s="4"/>
      <c r="V75" s="368">
        <f>SUM(V68:V73)</f>
        <v>1</v>
      </c>
      <c r="W75" s="4"/>
      <c r="X75" s="368">
        <f>SUM(X68:X73)</f>
        <v>0.52529999999999999</v>
      </c>
      <c r="Y75" s="4"/>
      <c r="Z75" s="368">
        <f>SUM(Z68:Z73)</f>
        <v>1</v>
      </c>
      <c r="AA75" s="34">
        <f>SUM(AA68:AA74)</f>
        <v>980664.24444444431</v>
      </c>
    </row>
    <row r="76" spans="1:35" ht="6.75" customHeight="1" thickTop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35">
      <c r="A77" s="4"/>
      <c r="B77" s="1088" t="s">
        <v>826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279"/>
      <c r="M77" s="278"/>
      <c r="N77" s="278"/>
    </row>
    <row r="78" spans="1:35">
      <c r="B78" s="1088" t="s">
        <v>174</v>
      </c>
      <c r="C78" s="1088"/>
      <c r="D78" s="1088"/>
      <c r="E78" s="1088"/>
      <c r="F78" s="1088"/>
      <c r="G78" s="1088"/>
      <c r="H78" s="1088"/>
      <c r="I78" s="1088"/>
      <c r="J78" s="1088"/>
      <c r="K78" s="1088"/>
      <c r="L78" s="278"/>
      <c r="M78" s="278"/>
      <c r="N78" s="278"/>
    </row>
    <row r="79" spans="1:35"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278"/>
      <c r="M79" s="278"/>
      <c r="N79" s="278"/>
    </row>
    <row r="80" spans="1:35">
      <c r="A80" s="4"/>
      <c r="B80" s="4"/>
      <c r="C80" s="4"/>
      <c r="D80" s="4"/>
      <c r="E80" s="4"/>
      <c r="F80" s="304"/>
      <c r="G80" s="304"/>
      <c r="H80" s="304"/>
      <c r="I80" s="304"/>
      <c r="K80" s="621" t="s">
        <v>192</v>
      </c>
      <c r="L80" s="281"/>
      <c r="M80" s="281"/>
      <c r="N80" s="281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>
      <c r="A81" s="19"/>
      <c r="B81" s="4"/>
      <c r="F81" s="621" t="s">
        <v>184</v>
      </c>
      <c r="G81" s="304"/>
      <c r="H81" s="304" t="s">
        <v>188</v>
      </c>
      <c r="I81" s="304"/>
      <c r="K81" s="304" t="s">
        <v>175</v>
      </c>
      <c r="L81" s="281"/>
      <c r="M81" s="281"/>
      <c r="N81" s="281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>
      <c r="A82" s="19"/>
      <c r="B82" s="2" t="s">
        <v>168</v>
      </c>
      <c r="C82" s="319"/>
      <c r="D82" s="319"/>
      <c r="F82" s="304" t="s">
        <v>759</v>
      </c>
      <c r="G82" s="304"/>
      <c r="H82" s="304" t="s">
        <v>189</v>
      </c>
      <c r="I82" s="304"/>
      <c r="K82" s="764" t="s">
        <v>769</v>
      </c>
      <c r="L82" s="281"/>
      <c r="M82" s="281"/>
      <c r="N82" s="281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>
      <c r="B83" s="2" t="s">
        <v>169</v>
      </c>
      <c r="C83" s="2"/>
      <c r="D83" s="2"/>
      <c r="F83" s="304" t="s">
        <v>768</v>
      </c>
      <c r="G83" s="304"/>
      <c r="H83" s="304" t="s">
        <v>190</v>
      </c>
      <c r="I83" s="304"/>
      <c r="K83" s="764" t="s">
        <v>193</v>
      </c>
      <c r="L83" s="281"/>
      <c r="M83" s="281"/>
      <c r="N83" s="281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>
      <c r="B84" s="14"/>
      <c r="C84" s="738"/>
      <c r="D84" s="738"/>
      <c r="F84" s="1058"/>
      <c r="G84" s="304"/>
      <c r="H84" s="9"/>
      <c r="I84" s="304"/>
      <c r="K84" s="9"/>
      <c r="L84" s="283"/>
      <c r="M84" s="9"/>
      <c r="N84" s="9" t="s">
        <v>536</v>
      </c>
      <c r="O84" s="9" t="s">
        <v>537</v>
      </c>
      <c r="T84" s="1" t="s">
        <v>193</v>
      </c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>
      <c r="B85" s="4"/>
      <c r="F85" s="222"/>
      <c r="G85" s="11"/>
      <c r="H85" s="11"/>
      <c r="I85" s="11"/>
      <c r="K85" s="11"/>
      <c r="L85" s="284"/>
      <c r="M85" s="739" t="s">
        <v>538</v>
      </c>
      <c r="N85" s="739" t="s">
        <v>823</v>
      </c>
      <c r="O85" s="739" t="s">
        <v>823</v>
      </c>
      <c r="Q85" s="739" t="s">
        <v>539</v>
      </c>
      <c r="R85" s="979" t="s">
        <v>321</v>
      </c>
      <c r="T85" s="979" t="s">
        <v>602</v>
      </c>
      <c r="AA85" s="20"/>
      <c r="AB85" s="20"/>
      <c r="AC85" s="18"/>
      <c r="AD85" s="18"/>
      <c r="AE85" s="18"/>
      <c r="AF85" s="18"/>
      <c r="AG85" s="18"/>
      <c r="AH85" s="18"/>
      <c r="AI85" s="18"/>
    </row>
    <row r="86" spans="1:35">
      <c r="B86" s="4" t="s">
        <v>172</v>
      </c>
      <c r="F86" s="222">
        <f>'[7]Rate R'!$E$12</f>
        <v>43838425.411517061</v>
      </c>
      <c r="G86" s="11"/>
      <c r="H86" s="11"/>
      <c r="I86" s="11"/>
      <c r="K86" s="980">
        <f>'[7]Summary - Total Rev (Excl PGC)'!$C$7</f>
        <v>50532744.923141882</v>
      </c>
      <c r="L86" s="284"/>
      <c r="M86" s="11">
        <f>ROUND(+K86/365,0)</f>
        <v>138446</v>
      </c>
      <c r="N86" s="11">
        <f>'[7]Summary - Total Rev (Excl PGC)'!$M$8</f>
        <v>694174.08953326789</v>
      </c>
      <c r="O86" s="11">
        <f>'[7]Summary - Total Rev (Excl PGC)'!$N$8</f>
        <v>663321.90777623386</v>
      </c>
      <c r="Q86" s="405">
        <f>+O86/M86</f>
        <v>4.7911959014795213</v>
      </c>
      <c r="R86" s="223">
        <f>'[7]Summary - Total Rev (Excl PGC)'!$B$7</f>
        <v>598337</v>
      </c>
      <c r="S86" s="282"/>
      <c r="T86" s="223">
        <f>+K86/R86</f>
        <v>84.455323543658309</v>
      </c>
      <c r="U86" s="282"/>
      <c r="V86" s="487">
        <f t="shared" ref="V86:V91" si="15">+T86/$T$86</f>
        <v>1</v>
      </c>
      <c r="X86" s="472">
        <f>+O86/R86</f>
        <v>1.108609208148976</v>
      </c>
      <c r="Z86" s="487">
        <f>+X86/$X$86</f>
        <v>1</v>
      </c>
      <c r="AA86" s="20"/>
      <c r="AB86" s="20"/>
      <c r="AC86" s="18"/>
      <c r="AD86" s="18"/>
      <c r="AE86" s="18"/>
      <c r="AF86" s="18"/>
      <c r="AG86" s="18"/>
      <c r="AH86" s="18"/>
      <c r="AI86" s="18"/>
    </row>
    <row r="87" spans="1:35">
      <c r="B87" s="4" t="s">
        <v>309</v>
      </c>
      <c r="F87" s="222">
        <f>'[7]Rate N'!$E$28</f>
        <v>17711843.576354589</v>
      </c>
      <c r="G87" s="11"/>
      <c r="H87" s="11"/>
      <c r="I87" s="11"/>
      <c r="K87" s="980">
        <f>'[7]Summary - Total Rev (Excl PGC)'!$C$8</f>
        <v>31127993.101318076</v>
      </c>
      <c r="L87" s="284"/>
      <c r="M87" s="11">
        <f t="shared" ref="M87:M91" si="16">ROUND(+K87/365,0)</f>
        <v>85282</v>
      </c>
      <c r="N87" s="11">
        <f>'[7]Summary - Total Rev (Excl PGC)'!$M$9</f>
        <v>432867.91046673193</v>
      </c>
      <c r="O87" s="11">
        <f>'[7]Summary - Total Rev (Excl PGC)'!$N$9</f>
        <v>413629.33666821051</v>
      </c>
      <c r="Q87" s="405">
        <f t="shared" ref="Q87:Q90" si="17">+O87/M87</f>
        <v>4.8501364492883674</v>
      </c>
      <c r="R87" s="223">
        <f>'[7]Summary - Total Rev (Excl PGC)'!$B$8</f>
        <v>69452</v>
      </c>
      <c r="S87" s="282"/>
      <c r="T87" s="223">
        <f t="shared" ref="T87:T91" si="18">+K87/R87</f>
        <v>448.1943371151022</v>
      </c>
      <c r="U87" s="282"/>
      <c r="V87" s="487">
        <f t="shared" si="15"/>
        <v>5.3068808253799746</v>
      </c>
      <c r="X87" s="472">
        <f t="shared" ref="X87:X90" si="19">+O87/R87</f>
        <v>5.9556144771671153</v>
      </c>
      <c r="Z87" s="487">
        <f t="shared" ref="Z87:Z90" si="20">+X87/$X$86</f>
        <v>5.3721495666729062</v>
      </c>
      <c r="AA87" s="20"/>
      <c r="AB87" s="20"/>
      <c r="AC87" s="18"/>
      <c r="AD87" s="18"/>
      <c r="AE87" s="18"/>
      <c r="AF87" s="18"/>
      <c r="AG87" s="18"/>
      <c r="AH87" s="18"/>
      <c r="AI87" s="18"/>
    </row>
    <row r="88" spans="1:35">
      <c r="B88" s="4" t="s">
        <v>283</v>
      </c>
      <c r="C88" s="282"/>
      <c r="D88" s="282"/>
      <c r="E88" s="282"/>
      <c r="F88" s="222"/>
      <c r="G88" s="284"/>
      <c r="H88" s="284"/>
      <c r="I88" s="284"/>
      <c r="K88" s="980">
        <f>'[7]Summary - Total Rev (Excl PGC)'!$C$9</f>
        <v>10402429.94907777</v>
      </c>
      <c r="L88" s="284"/>
      <c r="M88" s="11">
        <f t="shared" si="16"/>
        <v>28500</v>
      </c>
      <c r="N88" s="11">
        <f>'[7]Summary - Total Rev (Excl PGC)'!$M$10</f>
        <v>117220</v>
      </c>
      <c r="O88" s="11">
        <f>'[7]Summary - Total Rev (Excl PGC)'!$N$10</f>
        <v>111672</v>
      </c>
      <c r="Q88" s="405">
        <f t="shared" si="17"/>
        <v>3.9183157894736844</v>
      </c>
      <c r="R88" s="223">
        <f>'[7]Summary - Total Rev (Excl PGC)'!$B$9</f>
        <v>1510</v>
      </c>
      <c r="S88" s="282"/>
      <c r="T88" s="223">
        <f t="shared" si="18"/>
        <v>6889.0264563428946</v>
      </c>
      <c r="U88" s="282"/>
      <c r="V88" s="487">
        <f t="shared" si="15"/>
        <v>81.57006766757199</v>
      </c>
      <c r="X88" s="472">
        <f t="shared" si="19"/>
        <v>73.954966887417214</v>
      </c>
      <c r="Z88" s="487">
        <f t="shared" si="20"/>
        <v>66.709681232847089</v>
      </c>
      <c r="AA88" s="20"/>
      <c r="AB88" s="20"/>
      <c r="AC88" s="18"/>
      <c r="AD88" s="18"/>
      <c r="AE88" s="18"/>
      <c r="AF88" s="18"/>
      <c r="AG88" s="18"/>
      <c r="AH88" s="18"/>
      <c r="AI88" s="18"/>
    </row>
    <row r="89" spans="1:35">
      <c r="B89" s="4" t="s">
        <v>281</v>
      </c>
      <c r="C89" s="282"/>
      <c r="D89" s="282"/>
      <c r="E89" s="282"/>
      <c r="F89" s="222"/>
      <c r="G89" s="284"/>
      <c r="H89" s="284"/>
      <c r="I89" s="284"/>
      <c r="K89" s="980">
        <f>'[7]Summary - Total Rev (Excl PGC)'!$C$10</f>
        <v>22225308.642074179</v>
      </c>
      <c r="L89" s="284"/>
      <c r="M89" s="11">
        <f t="shared" si="16"/>
        <v>60891</v>
      </c>
      <c r="N89" s="11">
        <f>'[7]Summary - Total Rev (Excl PGC)'!$M$11</f>
        <v>110269</v>
      </c>
      <c r="O89" s="11">
        <f>'[7]Summary - Total Rev (Excl PGC)'!$N$11</f>
        <v>105160</v>
      </c>
      <c r="Q89" s="405">
        <f t="shared" si="17"/>
        <v>1.7270204135258085</v>
      </c>
      <c r="R89" s="223">
        <f>'[7]Summary - Total Rev (Excl PGC)'!$B$10</f>
        <v>508</v>
      </c>
      <c r="S89" s="282"/>
      <c r="T89" s="223">
        <f t="shared" si="18"/>
        <v>43750.607563138146</v>
      </c>
      <c r="U89" s="282"/>
      <c r="V89" s="487">
        <f t="shared" si="15"/>
        <v>518.03256120997185</v>
      </c>
      <c r="X89" s="472">
        <f t="shared" si="19"/>
        <v>207.00787401574803</v>
      </c>
      <c r="Z89" s="487">
        <f t="shared" si="20"/>
        <v>186.727543388698</v>
      </c>
      <c r="AA89" s="20"/>
      <c r="AB89" s="20"/>
      <c r="AC89" s="18"/>
      <c r="AD89" s="18"/>
      <c r="AE89" s="18"/>
      <c r="AF89" s="18"/>
      <c r="AG89" s="18"/>
      <c r="AH89" s="18"/>
      <c r="AI89" s="18"/>
    </row>
    <row r="90" spans="1:35">
      <c r="B90" s="4" t="s">
        <v>767</v>
      </c>
      <c r="C90" s="282"/>
      <c r="D90" s="282"/>
      <c r="E90" s="282"/>
      <c r="F90" s="222"/>
      <c r="G90" s="284"/>
      <c r="H90" s="284"/>
      <c r="I90" s="284"/>
      <c r="K90" s="980">
        <f>'[7]Summary - Total Rev (Excl PGC)'!$C$11</f>
        <v>165597260</v>
      </c>
      <c r="L90" s="284"/>
      <c r="M90" s="11">
        <f t="shared" si="16"/>
        <v>453691</v>
      </c>
      <c r="N90" s="11">
        <f>'[7]Summary - Total Rev (Excl PGC)'!$M$12</f>
        <v>664308</v>
      </c>
      <c r="O90" s="11">
        <f>'[7]Summary - Total Rev (Excl PGC)'!$N$12</f>
        <v>643062</v>
      </c>
      <c r="Q90" s="405">
        <f t="shared" si="17"/>
        <v>1.4174008300803851</v>
      </c>
      <c r="R90" s="223">
        <f>'[7]Summary - Total Rev (Excl PGC)'!$B$11</f>
        <v>54</v>
      </c>
      <c r="S90" s="282"/>
      <c r="T90" s="223">
        <f t="shared" si="18"/>
        <v>3066615.9259259258</v>
      </c>
      <c r="U90" s="282"/>
      <c r="V90" s="487">
        <f t="shared" si="15"/>
        <v>36310.51066118609</v>
      </c>
      <c r="X90" s="472">
        <f t="shared" si="19"/>
        <v>11908.555555555555</v>
      </c>
      <c r="Z90" s="487">
        <f t="shared" si="20"/>
        <v>10741.887644464947</v>
      </c>
      <c r="AA90" s="20"/>
      <c r="AB90" s="20"/>
      <c r="AC90" s="18"/>
      <c r="AD90" s="18"/>
      <c r="AE90" s="18"/>
      <c r="AF90" s="18"/>
      <c r="AG90" s="18"/>
      <c r="AH90" s="18"/>
      <c r="AI90" s="18"/>
    </row>
    <row r="91" spans="1:35">
      <c r="B91" s="4" t="s">
        <v>414</v>
      </c>
      <c r="C91" s="282"/>
      <c r="D91" s="282"/>
      <c r="E91" s="282"/>
      <c r="F91" s="222">
        <v>0</v>
      </c>
      <c r="G91" s="284"/>
      <c r="H91" s="284"/>
      <c r="I91" s="284"/>
      <c r="K91" s="980">
        <f>'[7]Summary - Total Rev (Excl PGC)'!$C$12</f>
        <v>55674914.344801515</v>
      </c>
      <c r="L91" s="284"/>
      <c r="M91" s="11">
        <f t="shared" si="16"/>
        <v>152534</v>
      </c>
      <c r="N91" s="284"/>
      <c r="O91" s="284"/>
      <c r="R91" s="223">
        <f>'[7]Summary - Total Rev (Excl PGC)'!$B$12</f>
        <v>374</v>
      </c>
      <c r="S91" s="282"/>
      <c r="T91" s="223">
        <f t="shared" si="18"/>
        <v>148863.40733904147</v>
      </c>
      <c r="U91" s="282"/>
      <c r="V91" s="487">
        <f t="shared" si="15"/>
        <v>1762.6290575050377</v>
      </c>
      <c r="AA91" s="20"/>
      <c r="AB91" s="20"/>
      <c r="AC91" s="18"/>
      <c r="AD91" s="18"/>
      <c r="AE91" s="18"/>
      <c r="AF91" s="18"/>
      <c r="AG91" s="18"/>
      <c r="AH91" s="18"/>
      <c r="AI91" s="18"/>
    </row>
    <row r="92" spans="1:35">
      <c r="B92" s="4"/>
      <c r="C92" s="282"/>
      <c r="D92" s="282"/>
      <c r="E92" s="282"/>
      <c r="F92" s="222"/>
      <c r="G92" s="284"/>
      <c r="H92" s="284"/>
      <c r="I92" s="284"/>
      <c r="K92" s="284"/>
      <c r="L92" s="284"/>
      <c r="M92" s="284"/>
      <c r="N92" s="284"/>
      <c r="O92" s="221"/>
      <c r="AA92" s="20"/>
      <c r="AB92" s="125"/>
      <c r="AC92" s="18"/>
      <c r="AD92" s="18"/>
      <c r="AE92" s="18"/>
      <c r="AF92" s="18"/>
      <c r="AG92" s="18"/>
      <c r="AH92" s="18"/>
      <c r="AI92" s="18"/>
    </row>
    <row r="93" spans="1:35">
      <c r="B93" s="4"/>
      <c r="C93" s="282"/>
      <c r="D93" s="282"/>
      <c r="E93" s="282"/>
      <c r="F93" s="1059"/>
      <c r="G93" s="284"/>
      <c r="H93" s="285"/>
      <c r="I93" s="284"/>
      <c r="K93" s="285"/>
      <c r="L93" s="285"/>
      <c r="M93" s="285"/>
      <c r="N93" s="285"/>
      <c r="AA93" s="20"/>
      <c r="AB93" s="125"/>
      <c r="AC93" s="18"/>
      <c r="AD93" s="18"/>
      <c r="AE93" s="18"/>
      <c r="AF93" s="18"/>
      <c r="AG93" s="18"/>
      <c r="AH93" s="18"/>
      <c r="AI93" s="18"/>
    </row>
    <row r="94" spans="1:35" ht="15.75" thickBot="1">
      <c r="B94" s="4" t="s">
        <v>175</v>
      </c>
      <c r="C94" s="282"/>
      <c r="D94" s="282"/>
      <c r="E94" s="282"/>
      <c r="F94" s="222">
        <f>SUM(F86:F92)</f>
        <v>61550268.987871647</v>
      </c>
      <c r="G94" s="284"/>
      <c r="H94" s="11">
        <f>SUM(H86:H92)</f>
        <v>0</v>
      </c>
      <c r="I94" s="284"/>
      <c r="K94" s="11">
        <f>SUM(K86:K92)</f>
        <v>335560650.96041346</v>
      </c>
      <c r="L94" s="284"/>
      <c r="M94" s="11">
        <f>SUM(M86:M92)</f>
        <v>919344</v>
      </c>
      <c r="N94" s="11">
        <f>SUM(N86:N92)</f>
        <v>2018838.9999999998</v>
      </c>
      <c r="O94" s="11">
        <f>SUM(O86:O92)</f>
        <v>1936845.2444444443</v>
      </c>
      <c r="P94" s="810">
        <f>+O94/N94</f>
        <v>0.95938568872725583</v>
      </c>
      <c r="Q94" s="405">
        <f>+O94/M94</f>
        <v>2.1067687877926482</v>
      </c>
      <c r="R94" s="414">
        <f>ROUND(M94/O94,4)</f>
        <v>0.47470000000000001</v>
      </c>
      <c r="AA94" s="20"/>
      <c r="AB94" s="20"/>
      <c r="AC94" s="18"/>
      <c r="AD94" s="18"/>
      <c r="AE94" s="18"/>
      <c r="AF94" s="18"/>
      <c r="AG94" s="18"/>
      <c r="AH94" s="18"/>
      <c r="AI94" s="18"/>
    </row>
    <row r="95" spans="1:35" ht="16.5" thickTop="1" thickBot="1">
      <c r="B95" s="280"/>
      <c r="C95" s="286"/>
      <c r="D95" s="286"/>
      <c r="E95" s="286"/>
      <c r="F95" s="287"/>
      <c r="G95" s="284"/>
      <c r="H95" s="287"/>
      <c r="I95" s="284"/>
      <c r="J95" s="11" t="s">
        <v>282</v>
      </c>
      <c r="K95" s="24"/>
      <c r="L95" s="24"/>
      <c r="M95" s="24">
        <f>SUM(M86:M90)</f>
        <v>766810</v>
      </c>
      <c r="N95" s="287"/>
      <c r="O95" s="24">
        <f>+O94</f>
        <v>1936845.2444444443</v>
      </c>
      <c r="Q95" s="809">
        <f>+O95/M95</f>
        <v>2.525847660364946</v>
      </c>
      <c r="AA95" s="992">
        <f>1/Q95</f>
        <v>0.39590669528166056</v>
      </c>
      <c r="AB95" s="20"/>
      <c r="AC95" s="18"/>
      <c r="AD95" s="18"/>
      <c r="AE95" s="18"/>
      <c r="AF95" s="18"/>
      <c r="AG95" s="18"/>
      <c r="AH95" s="18"/>
      <c r="AI95" s="18"/>
    </row>
    <row r="96" spans="1:35" ht="16.5" thickTop="1" thickBot="1">
      <c r="B96" s="280"/>
      <c r="C96" s="282"/>
      <c r="D96" s="282"/>
      <c r="E96" s="282"/>
      <c r="F96" s="284"/>
      <c r="G96" s="284"/>
      <c r="H96" s="284"/>
      <c r="I96" s="284"/>
      <c r="J96" s="11" t="s">
        <v>425</v>
      </c>
      <c r="K96" s="24"/>
      <c r="L96" s="11"/>
      <c r="M96" s="11">
        <f t="shared" ref="M96:M97" si="21">ROUND(+K96/365,0)</f>
        <v>0</v>
      </c>
      <c r="N96" s="284"/>
      <c r="Q96" s="405"/>
      <c r="R96" s="13"/>
      <c r="S96" s="4"/>
      <c r="T96" s="13"/>
      <c r="U96" s="4"/>
      <c r="V96" s="13"/>
      <c r="W96" s="4"/>
      <c r="X96" s="13"/>
      <c r="Y96" s="4"/>
      <c r="Z96" s="13"/>
      <c r="AA96" s="20"/>
      <c r="AB96" s="20"/>
      <c r="AC96" s="18"/>
      <c r="AD96" s="18"/>
      <c r="AE96" s="18"/>
      <c r="AF96" s="18"/>
      <c r="AG96" s="18"/>
      <c r="AH96" s="18"/>
      <c r="AI96" s="18"/>
    </row>
    <row r="97" spans="2:35" ht="15.75" thickTop="1">
      <c r="B97" s="280"/>
      <c r="C97" s="282"/>
      <c r="D97" s="282"/>
      <c r="E97" s="282"/>
      <c r="F97" s="284"/>
      <c r="G97" s="284"/>
      <c r="H97" s="284"/>
      <c r="I97" s="284"/>
      <c r="J97" s="11" t="s">
        <v>548</v>
      </c>
      <c r="K97" s="24"/>
      <c r="L97" s="11"/>
      <c r="M97" s="11">
        <f t="shared" si="21"/>
        <v>0</v>
      </c>
      <c r="N97" s="284"/>
      <c r="Q97" s="405"/>
      <c r="AA97" s="20"/>
      <c r="AB97" s="20"/>
      <c r="AC97" s="18"/>
      <c r="AD97" s="18"/>
      <c r="AE97" s="18"/>
      <c r="AF97" s="18"/>
      <c r="AG97" s="18"/>
      <c r="AH97" s="18"/>
      <c r="AI97" s="18"/>
    </row>
    <row r="98" spans="2:35">
      <c r="B98" s="282"/>
      <c r="C98" s="282"/>
      <c r="D98" s="282"/>
      <c r="E98" s="282"/>
      <c r="F98" s="284"/>
      <c r="G98" s="284"/>
      <c r="H98" s="284"/>
      <c r="I98" s="284"/>
      <c r="J98" s="284"/>
      <c r="L98" s="284"/>
      <c r="M98" s="284">
        <f>SUM(M86:M89)</f>
        <v>313119</v>
      </c>
      <c r="N98" s="284"/>
      <c r="O98" s="284">
        <f>SUM(O86:O89)</f>
        <v>1293783.2444444443</v>
      </c>
      <c r="P98" s="3"/>
      <c r="Q98" s="809">
        <f>+O98/M98</f>
        <v>4.1319218713793937</v>
      </c>
      <c r="R98" s="3"/>
      <c r="S98" s="3"/>
      <c r="T98" s="3"/>
      <c r="U98" s="15"/>
      <c r="AA98" s="20"/>
      <c r="AB98" s="20"/>
      <c r="AC98" s="18"/>
      <c r="AD98" s="18"/>
      <c r="AE98" s="18"/>
      <c r="AF98" s="18"/>
      <c r="AG98" s="18"/>
      <c r="AH98" s="18"/>
      <c r="AI98" s="18"/>
    </row>
    <row r="99" spans="2:35">
      <c r="B99" s="282"/>
      <c r="C99" s="282"/>
      <c r="D99" s="282"/>
      <c r="E99" s="282"/>
      <c r="F99" s="288"/>
      <c r="G99" s="288"/>
      <c r="H99" s="288"/>
      <c r="I99" s="288"/>
      <c r="J99" s="288"/>
      <c r="K99" s="11" t="s">
        <v>781</v>
      </c>
      <c r="L99" s="926"/>
      <c r="M99" s="926">
        <f>SUM(M86:M89)+M91*0+Q49</f>
        <v>353889</v>
      </c>
      <c r="N99" s="926">
        <f>SUM(N86:N89)+N91</f>
        <v>1354530.9999999998</v>
      </c>
      <c r="O99" s="926">
        <f>SUM(O86:O89)+O91</f>
        <v>1293783.2444444443</v>
      </c>
      <c r="P99" s="3"/>
      <c r="Q99" s="405">
        <f t="shared" ref="Q99" si="22">+O99/M99</f>
        <v>3.6559012697327251</v>
      </c>
      <c r="R99" s="481">
        <f>+M99/O99</f>
        <v>0.27353036261646851</v>
      </c>
      <c r="S99" s="3"/>
      <c r="T99" s="3"/>
      <c r="U99" s="15"/>
      <c r="AA99" s="21"/>
      <c r="AB99" s="21"/>
    </row>
    <row r="100" spans="2:35">
      <c r="B100" s="280"/>
      <c r="C100" s="282"/>
      <c r="D100" s="282"/>
      <c r="E100" s="282"/>
      <c r="F100" s="284"/>
      <c r="G100" s="284"/>
      <c r="H100" s="284"/>
      <c r="I100" s="284"/>
      <c r="J100" s="284"/>
      <c r="K100" s="284"/>
      <c r="L100" s="284"/>
      <c r="M100" s="284"/>
      <c r="N100" s="284"/>
      <c r="O100" s="3"/>
      <c r="P100" s="3"/>
      <c r="Q100" s="3"/>
      <c r="R100" s="16"/>
      <c r="S100" s="3"/>
      <c r="T100" s="3"/>
      <c r="U100" s="15"/>
    </row>
    <row r="101" spans="2:35">
      <c r="B101" s="280"/>
      <c r="C101" s="282"/>
      <c r="D101" s="282"/>
      <c r="E101" s="282"/>
      <c r="F101" s="284"/>
      <c r="G101" s="284"/>
      <c r="H101" s="284"/>
      <c r="I101" s="284"/>
      <c r="J101" s="284"/>
      <c r="K101" s="284"/>
      <c r="L101" s="284"/>
      <c r="M101" s="284"/>
      <c r="N101" s="284"/>
      <c r="O101" s="17"/>
      <c r="P101" s="17"/>
      <c r="Q101" s="17"/>
      <c r="S101" s="18"/>
      <c r="T101" s="18"/>
      <c r="U101" s="18"/>
      <c r="V101" s="18"/>
      <c r="W101" s="18"/>
      <c r="X101" s="18"/>
      <c r="Y101" s="18"/>
      <c r="Z101" s="18"/>
    </row>
    <row r="102" spans="2:35">
      <c r="B102" s="280"/>
      <c r="C102" s="282"/>
      <c r="D102" s="282"/>
      <c r="E102" s="282"/>
      <c r="F102" s="284"/>
      <c r="G102" s="284"/>
      <c r="H102" s="284"/>
      <c r="I102" s="284"/>
      <c r="J102" s="284"/>
      <c r="K102" s="284"/>
      <c r="L102" s="284"/>
      <c r="M102" s="284"/>
      <c r="N102" s="284"/>
      <c r="O102" s="203"/>
      <c r="P102" s="203"/>
      <c r="Q102" s="203"/>
      <c r="R102" s="203"/>
      <c r="S102" s="168"/>
      <c r="T102" s="168"/>
      <c r="U102" s="168"/>
      <c r="V102" s="168"/>
      <c r="W102" s="18"/>
      <c r="X102" s="18"/>
      <c r="Y102" s="18"/>
      <c r="Z102" s="18"/>
    </row>
    <row r="103" spans="2:35">
      <c r="B103" s="280"/>
      <c r="C103" s="282"/>
      <c r="D103" s="282"/>
      <c r="E103" s="282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03"/>
      <c r="Q103" s="808"/>
      <c r="R103" s="203"/>
      <c r="S103" s="168"/>
      <c r="T103" s="203"/>
      <c r="U103" s="168"/>
      <c r="V103" s="168"/>
      <c r="W103" s="18"/>
      <c r="X103" s="18"/>
      <c r="Y103" s="18"/>
      <c r="Z103" s="18"/>
    </row>
    <row r="104" spans="2:35">
      <c r="B104" s="280"/>
      <c r="C104" s="282"/>
      <c r="D104" s="282"/>
      <c r="E104" s="282"/>
      <c r="F104" s="284"/>
      <c r="G104" s="284"/>
      <c r="H104" s="284"/>
      <c r="I104" s="284"/>
      <c r="J104" s="284"/>
      <c r="K104" s="284"/>
      <c r="L104" s="284"/>
      <c r="M104" s="284">
        <f>SUM(M86:M89)+M91</f>
        <v>465653</v>
      </c>
      <c r="N104" s="284"/>
      <c r="O104" s="284">
        <f>SUM(O86:O89)+O91</f>
        <v>1293783.2444444443</v>
      </c>
      <c r="P104" s="33"/>
      <c r="Q104" s="808">
        <f>+O104/M104</f>
        <v>2.7784278087856071</v>
      </c>
      <c r="R104" s="33"/>
      <c r="S104" s="168"/>
      <c r="T104" s="33"/>
      <c r="U104" s="168"/>
      <c r="V104" s="168"/>
      <c r="W104" s="18"/>
      <c r="X104" s="18"/>
      <c r="Y104" s="18"/>
      <c r="Z104" s="18"/>
    </row>
    <row r="105" spans="2:35">
      <c r="B105" s="280"/>
      <c r="C105" s="282"/>
      <c r="D105" s="282"/>
      <c r="E105" s="282"/>
      <c r="F105" s="1067"/>
      <c r="G105" s="1067"/>
      <c r="H105" s="1067"/>
      <c r="I105" s="1067"/>
      <c r="J105" s="1067"/>
      <c r="K105" s="1067"/>
      <c r="L105" s="1067"/>
      <c r="M105" s="1067"/>
      <c r="N105" s="1067"/>
      <c r="O105" s="203"/>
      <c r="P105" s="203"/>
      <c r="Q105" s="203"/>
      <c r="R105" s="35"/>
      <c r="S105" s="168"/>
      <c r="T105" s="203"/>
      <c r="U105" s="168"/>
      <c r="V105" s="168"/>
      <c r="W105" s="18"/>
      <c r="X105" s="18"/>
      <c r="Y105" s="18"/>
      <c r="Z105" s="18"/>
    </row>
    <row r="106" spans="2:35">
      <c r="B106" s="280"/>
      <c r="C106" s="282"/>
      <c r="D106" s="282"/>
      <c r="E106" s="282"/>
      <c r="F106" s="1067"/>
      <c r="G106" s="1067"/>
      <c r="H106" s="1067"/>
      <c r="I106" s="1067"/>
      <c r="J106" s="1067"/>
      <c r="K106" s="1067"/>
      <c r="L106" s="1067"/>
      <c r="M106" s="1067"/>
      <c r="N106" s="1067"/>
      <c r="O106" s="178"/>
      <c r="P106" s="36"/>
      <c r="Q106" s="178"/>
      <c r="R106" s="178"/>
      <c r="S106" s="178"/>
      <c r="T106" s="178"/>
      <c r="U106" s="178"/>
      <c r="V106" s="178"/>
      <c r="W106" s="20"/>
      <c r="X106" s="20"/>
      <c r="Y106" s="20"/>
      <c r="Z106" s="20"/>
    </row>
    <row r="107" spans="2:35">
      <c r="B107" s="280"/>
      <c r="C107" s="282"/>
      <c r="D107" s="282"/>
      <c r="E107" s="282"/>
      <c r="F107" s="1067"/>
      <c r="G107" s="1067"/>
      <c r="H107" s="1067"/>
      <c r="I107" s="1067"/>
      <c r="J107" s="1067"/>
      <c r="K107" s="1067"/>
      <c r="L107" s="1067"/>
      <c r="M107" s="1067"/>
      <c r="N107" s="1067"/>
      <c r="O107" s="178"/>
      <c r="P107" s="178"/>
      <c r="Q107" s="178"/>
      <c r="R107" s="178"/>
      <c r="S107" s="178"/>
      <c r="T107" s="178"/>
      <c r="U107" s="178"/>
      <c r="V107" s="178"/>
      <c r="W107" s="20"/>
      <c r="X107" s="20"/>
      <c r="Y107" s="20"/>
      <c r="Z107" s="20"/>
    </row>
    <row r="108" spans="2:35">
      <c r="B108" s="280"/>
      <c r="C108" s="282"/>
      <c r="D108" s="282"/>
      <c r="E108" s="282"/>
      <c r="F108" s="1067"/>
      <c r="G108" s="1067"/>
      <c r="H108" s="1067"/>
      <c r="I108" s="1067"/>
      <c r="J108" s="1067"/>
      <c r="K108" s="1067"/>
      <c r="L108" s="1067"/>
      <c r="M108" s="1067"/>
      <c r="N108" s="1067"/>
      <c r="O108" s="178"/>
      <c r="P108" s="178"/>
      <c r="Q108" s="178"/>
      <c r="R108" s="178"/>
      <c r="S108" s="178"/>
      <c r="T108" s="178"/>
      <c r="U108" s="178"/>
      <c r="V108" s="178"/>
      <c r="W108" s="20"/>
      <c r="X108" s="20"/>
      <c r="Y108" s="20"/>
      <c r="Z108" s="20"/>
    </row>
    <row r="109" spans="2:35">
      <c r="B109" s="282"/>
      <c r="C109" s="282"/>
      <c r="D109" s="282"/>
      <c r="E109" s="282"/>
      <c r="F109" s="1068"/>
      <c r="G109" s="681"/>
      <c r="H109" s="1068"/>
      <c r="I109" s="681"/>
      <c r="J109" s="1068"/>
      <c r="K109" s="681"/>
      <c r="L109" s="1068"/>
      <c r="M109" s="1068"/>
      <c r="N109" s="1068"/>
      <c r="O109" s="178"/>
      <c r="P109" s="178"/>
      <c r="Q109" s="178"/>
      <c r="R109" s="178"/>
      <c r="S109" s="178"/>
      <c r="T109" s="178"/>
      <c r="U109" s="178"/>
      <c r="V109" s="178"/>
      <c r="W109" s="20"/>
      <c r="X109" s="20"/>
      <c r="Y109" s="20"/>
      <c r="Z109" s="20"/>
    </row>
    <row r="110" spans="2:35">
      <c r="B110" s="282"/>
      <c r="C110" s="282"/>
      <c r="D110" s="282"/>
      <c r="E110" s="282"/>
      <c r="F110" s="681"/>
      <c r="G110" s="681"/>
      <c r="H110" s="681"/>
      <c r="I110" s="681"/>
      <c r="J110" s="681"/>
      <c r="K110" s="681"/>
      <c r="L110" s="681"/>
      <c r="M110" s="681"/>
      <c r="N110" s="681"/>
      <c r="O110" s="178"/>
      <c r="P110" s="178"/>
      <c r="Q110" s="178"/>
      <c r="R110" s="178"/>
      <c r="S110" s="178"/>
      <c r="T110" s="178"/>
      <c r="U110" s="178"/>
      <c r="V110" s="178"/>
      <c r="W110" s="20"/>
      <c r="X110" s="20"/>
      <c r="Y110" s="20"/>
      <c r="Z110" s="20"/>
    </row>
    <row r="111" spans="2:3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178"/>
      <c r="P111" s="178"/>
      <c r="Q111" s="178"/>
      <c r="R111" s="178"/>
      <c r="S111" s="178"/>
      <c r="T111" s="178"/>
      <c r="U111" s="178"/>
      <c r="V111" s="178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178"/>
      <c r="P112" s="178"/>
      <c r="Q112" s="178"/>
      <c r="R112" s="178"/>
      <c r="S112" s="178"/>
      <c r="T112" s="178"/>
      <c r="U112" s="178"/>
      <c r="V112" s="178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125"/>
      <c r="M113" s="20"/>
      <c r="N113" s="20"/>
      <c r="O113" s="178"/>
      <c r="P113" s="130"/>
      <c r="Q113" s="178"/>
      <c r="R113" s="130"/>
      <c r="S113" s="178"/>
      <c r="T113" s="178"/>
      <c r="U113" s="178"/>
      <c r="V113" s="17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78"/>
      <c r="P114" s="130"/>
      <c r="Q114" s="178"/>
      <c r="R114" s="130"/>
      <c r="S114" s="178"/>
      <c r="T114" s="130"/>
      <c r="U114" s="178"/>
      <c r="V114" s="17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130"/>
      <c r="P115" s="130"/>
      <c r="Q115" s="130"/>
      <c r="R115" s="130"/>
      <c r="S115" s="178"/>
      <c r="T115" s="130"/>
      <c r="U115" s="178"/>
      <c r="V115" s="17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178"/>
      <c r="P116" s="178"/>
      <c r="Q116" s="178"/>
      <c r="R116" s="178"/>
      <c r="S116" s="178"/>
      <c r="T116" s="178"/>
      <c r="U116" s="178"/>
      <c r="V116" s="17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178"/>
      <c r="P117" s="178"/>
      <c r="Q117" s="178"/>
      <c r="R117" s="178"/>
      <c r="S117" s="178"/>
      <c r="T117" s="178"/>
      <c r="U117" s="178"/>
      <c r="V117" s="17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1"/>
      <c r="P120" s="245"/>
      <c r="Q120" s="245"/>
      <c r="R120" s="245"/>
      <c r="S120" s="245"/>
      <c r="T120" s="245"/>
      <c r="U120" s="245"/>
      <c r="V120" s="245"/>
      <c r="W120" s="21"/>
      <c r="X120" s="21"/>
      <c r="Y120" s="21"/>
      <c r="Z120" s="21"/>
      <c r="AA120" s="20"/>
      <c r="AB120" s="20"/>
      <c r="AC120" s="20"/>
      <c r="AD120" s="20"/>
      <c r="AE120" s="20"/>
      <c r="AF120" s="20"/>
      <c r="AG120" s="20"/>
      <c r="AH120" s="20"/>
    </row>
    <row r="121" spans="2:34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78"/>
      <c r="Q121" s="178"/>
      <c r="R121" s="178"/>
      <c r="S121" s="178"/>
      <c r="T121" s="178"/>
      <c r="U121" s="36"/>
      <c r="V121" s="36"/>
      <c r="AA121" s="20"/>
      <c r="AB121" s="20"/>
      <c r="AC121" s="20"/>
      <c r="AD121" s="20"/>
      <c r="AE121" s="20"/>
      <c r="AF121" s="20"/>
      <c r="AG121" s="20"/>
      <c r="AH121" s="20"/>
    </row>
    <row r="122" spans="2:34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78"/>
      <c r="Q122" s="178"/>
      <c r="R122" s="178"/>
      <c r="S122" s="178"/>
      <c r="T122" s="178"/>
      <c r="U122" s="36"/>
      <c r="V122" s="36"/>
      <c r="AA122" s="20"/>
      <c r="AB122" s="20"/>
      <c r="AC122" s="20"/>
      <c r="AD122" s="20"/>
      <c r="AE122" s="20"/>
      <c r="AF122" s="20"/>
      <c r="AG122" s="20"/>
      <c r="AH122" s="20"/>
    </row>
    <row r="123" spans="2:34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78"/>
      <c r="Q123" s="178"/>
      <c r="R123" s="178"/>
      <c r="S123" s="178"/>
      <c r="T123" s="178"/>
      <c r="U123" s="36"/>
      <c r="V123" s="36"/>
      <c r="AA123" s="20"/>
      <c r="AB123" s="20"/>
      <c r="AC123" s="20"/>
      <c r="AD123" s="20"/>
      <c r="AE123" s="20"/>
      <c r="AF123" s="20"/>
      <c r="AG123" s="20"/>
      <c r="AH123" s="20"/>
    </row>
    <row r="124" spans="2:34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78"/>
      <c r="Q124" s="178"/>
      <c r="R124" s="178"/>
      <c r="S124" s="178"/>
      <c r="T124" s="178"/>
      <c r="U124" s="36"/>
      <c r="V124" s="36"/>
      <c r="AA124" s="20"/>
      <c r="AB124" s="20"/>
      <c r="AC124" s="20"/>
      <c r="AD124" s="20"/>
      <c r="AE124" s="20"/>
      <c r="AF124" s="20"/>
      <c r="AG124" s="20"/>
      <c r="AH124" s="20"/>
    </row>
    <row r="125" spans="2:34">
      <c r="O125" s="20"/>
      <c r="P125" s="178"/>
      <c r="Q125" s="178"/>
      <c r="R125" s="178"/>
      <c r="S125" s="178"/>
      <c r="T125" s="178"/>
      <c r="U125" s="36"/>
      <c r="V125" s="36"/>
    </row>
    <row r="126" spans="2:34">
      <c r="O126" s="20"/>
      <c r="P126" s="178"/>
      <c r="Q126" s="178"/>
      <c r="R126" s="178"/>
      <c r="S126" s="178"/>
      <c r="T126" s="178"/>
      <c r="U126" s="36"/>
      <c r="V126" s="36"/>
    </row>
    <row r="127" spans="2:34">
      <c r="O127" s="20"/>
      <c r="P127" s="130"/>
      <c r="Q127" s="178"/>
      <c r="R127" s="130"/>
      <c r="S127" s="178"/>
      <c r="T127" s="130"/>
      <c r="U127" s="36"/>
      <c r="V127" s="36"/>
    </row>
    <row r="128" spans="2:34">
      <c r="O128" s="20"/>
      <c r="P128" s="130"/>
      <c r="Q128" s="178"/>
      <c r="R128" s="130"/>
      <c r="S128" s="178"/>
      <c r="T128" s="130"/>
      <c r="U128" s="36"/>
      <c r="V128" s="36"/>
    </row>
    <row r="129" spans="15:26">
      <c r="O129" s="11"/>
      <c r="P129" s="130"/>
      <c r="Q129" s="130"/>
      <c r="R129" s="130"/>
      <c r="S129" s="178"/>
      <c r="T129" s="130"/>
      <c r="U129" s="36"/>
      <c r="V129" s="36"/>
    </row>
    <row r="130" spans="15:26">
      <c r="P130" s="35"/>
      <c r="Q130" s="36"/>
      <c r="R130" s="35"/>
      <c r="S130" s="36"/>
      <c r="T130" s="35"/>
      <c r="U130" s="36"/>
      <c r="V130" s="36"/>
    </row>
    <row r="131" spans="15:26">
      <c r="P131" s="36"/>
      <c r="Q131" s="36"/>
      <c r="R131" s="36"/>
      <c r="S131" s="36"/>
      <c r="T131" s="36"/>
      <c r="U131" s="36"/>
      <c r="V131" s="36"/>
    </row>
    <row r="132" spans="15:26"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5:26"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5:26"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5:26"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5:26"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5:26"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5:26"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5:26"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5:26"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5:26"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5:26"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5:26"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5:26"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5:26"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</sheetData>
  <mergeCells count="10">
    <mergeCell ref="B77:K77"/>
    <mergeCell ref="B78:K78"/>
    <mergeCell ref="Q37:T37"/>
    <mergeCell ref="Q38:T38"/>
    <mergeCell ref="A1:K1"/>
    <mergeCell ref="A3:K3"/>
    <mergeCell ref="O28:Z28"/>
    <mergeCell ref="O30:Z30"/>
    <mergeCell ref="O1:W1"/>
    <mergeCell ref="O3:W3"/>
  </mergeCells>
  <phoneticPr fontId="9" type="noConversion"/>
  <printOptions horizontalCentered="1"/>
  <pageMargins left="0.8" right="0.4" top="1" bottom="0.2" header="0" footer="0"/>
  <pageSetup scale="85" orientation="portrait" r:id="rId1"/>
  <headerFooter alignWithMargins="0"/>
  <rowBreaks count="1" manualBreakCount="1">
    <brk id="27" min="14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C144"/>
  <sheetViews>
    <sheetView workbookViewId="0">
      <selection sqref="A1:K1"/>
    </sheetView>
  </sheetViews>
  <sheetFormatPr defaultColWidth="9.6640625" defaultRowHeight="15"/>
  <cols>
    <col min="1" max="1" width="14.21875" style="1" customWidth="1"/>
    <col min="2" max="2" width="1.6640625" style="1" customWidth="1"/>
    <col min="3" max="3" width="12.109375" style="1" customWidth="1"/>
    <col min="4" max="4" width="1.21875" style="1" customWidth="1"/>
    <col min="5" max="5" width="13" style="1" customWidth="1"/>
    <col min="6" max="6" width="1.33203125" style="1" customWidth="1"/>
    <col min="7" max="7" width="12.6640625" style="223" customWidth="1"/>
    <col min="8" max="8" width="1.5546875" style="1" customWidth="1"/>
    <col min="9" max="9" width="11.33203125" style="1" customWidth="1"/>
    <col min="10" max="10" width="1.5546875" style="36" customWidth="1"/>
    <col min="11" max="11" width="9.77734375" style="36" customWidth="1"/>
    <col min="12" max="12" width="2.109375" style="36" customWidth="1"/>
    <col min="13" max="13" width="10.77734375" style="36" bestFit="1" customWidth="1"/>
    <col min="14" max="14" width="13.109375" style="36" customWidth="1"/>
    <col min="15" max="15" width="2" style="1" customWidth="1"/>
    <col min="16" max="16" width="12.6640625" style="1" customWidth="1"/>
    <col min="17" max="17" width="2.6640625" style="1" customWidth="1"/>
    <col min="18" max="18" width="12.109375" style="1" customWidth="1"/>
    <col min="19" max="19" width="2.6640625" style="1" customWidth="1"/>
    <col min="20" max="20" width="10.44140625" style="1" customWidth="1"/>
    <col min="21" max="21" width="9.6640625" style="1"/>
    <col min="22" max="22" width="11.6640625" style="1" customWidth="1"/>
    <col min="23" max="23" width="1.5546875" style="1" customWidth="1"/>
    <col min="24" max="27" width="9.6640625" style="1"/>
    <col min="28" max="28" width="11.21875" style="1" bestFit="1" customWidth="1"/>
    <col min="29" max="16384" width="9.6640625" style="1"/>
  </cols>
  <sheetData>
    <row r="1" spans="1:20">
      <c r="A1" s="1091" t="s">
        <v>826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T1" s="11" t="s">
        <v>835</v>
      </c>
    </row>
    <row r="2" spans="1:20">
      <c r="A2" s="2"/>
      <c r="B2" s="2"/>
      <c r="C2" s="2"/>
      <c r="D2" s="2"/>
      <c r="E2" s="2"/>
      <c r="F2" s="2"/>
      <c r="G2" s="224"/>
      <c r="H2" s="2"/>
      <c r="I2" s="2"/>
      <c r="J2" s="246"/>
      <c r="K2" s="247"/>
    </row>
    <row r="3" spans="1:20">
      <c r="A3" s="1089" t="s">
        <v>167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</row>
    <row r="4" spans="1:20" ht="8.4499999999999993" customHeight="1">
      <c r="A4" s="306"/>
      <c r="B4" s="306"/>
      <c r="C4" s="306"/>
      <c r="D4" s="306"/>
      <c r="E4" s="306"/>
      <c r="F4" s="306"/>
      <c r="G4" s="332"/>
      <c r="H4" s="306"/>
      <c r="I4" s="306"/>
      <c r="J4" s="248"/>
    </row>
    <row r="5" spans="1:20">
      <c r="A5" s="306"/>
      <c r="B5" s="306"/>
      <c r="C5" s="306"/>
      <c r="D5" s="306"/>
      <c r="E5" s="306"/>
      <c r="F5" s="306"/>
      <c r="G5" s="332"/>
      <c r="H5" s="306"/>
      <c r="I5" s="306"/>
      <c r="J5" s="248"/>
    </row>
    <row r="6" spans="1:20">
      <c r="A6" s="306" t="s">
        <v>611</v>
      </c>
      <c r="B6" s="306"/>
      <c r="C6" s="306"/>
      <c r="D6" s="306"/>
      <c r="E6" s="306"/>
      <c r="F6" s="306"/>
      <c r="G6" s="332"/>
      <c r="H6" s="306"/>
      <c r="I6" s="306"/>
      <c r="J6" s="248"/>
    </row>
    <row r="7" spans="1:20" ht="8.4499999999999993" customHeight="1">
      <c r="A7" s="306"/>
      <c r="B7" s="306"/>
      <c r="C7" s="306"/>
      <c r="D7" s="306"/>
      <c r="E7" s="306"/>
      <c r="F7" s="306"/>
      <c r="G7" s="332"/>
      <c r="H7" s="306"/>
      <c r="I7" s="306"/>
      <c r="J7" s="248"/>
    </row>
    <row r="8" spans="1:20">
      <c r="A8" s="306" t="s">
        <v>303</v>
      </c>
      <c r="B8" s="306"/>
      <c r="C8" s="306"/>
      <c r="D8" s="306"/>
      <c r="E8" s="306"/>
      <c r="F8" s="306"/>
      <c r="G8" s="332"/>
      <c r="H8" s="306"/>
      <c r="I8" s="306"/>
      <c r="J8" s="248"/>
    </row>
    <row r="9" spans="1:20" ht="10.5" customHeight="1">
      <c r="A9" s="306"/>
      <c r="B9" s="306"/>
      <c r="C9" s="306"/>
      <c r="D9" s="306"/>
      <c r="E9" s="306"/>
      <c r="F9" s="306"/>
      <c r="G9" s="332"/>
      <c r="H9" s="306"/>
      <c r="I9" s="306"/>
      <c r="J9" s="248"/>
    </row>
    <row r="10" spans="1:20">
      <c r="A10" s="306"/>
      <c r="B10" s="306"/>
      <c r="C10" s="309" t="s">
        <v>179</v>
      </c>
      <c r="D10" s="306"/>
      <c r="E10" s="306"/>
      <c r="F10" s="306"/>
      <c r="G10" s="332"/>
      <c r="H10" s="306"/>
      <c r="I10" s="306"/>
      <c r="J10" s="248"/>
    </row>
    <row r="11" spans="1:20">
      <c r="A11" s="306"/>
      <c r="B11" s="306"/>
      <c r="C11" s="309" t="s">
        <v>196</v>
      </c>
      <c r="D11" s="306"/>
      <c r="E11" s="306"/>
      <c r="F11" s="306"/>
      <c r="G11" s="333"/>
      <c r="H11" s="306"/>
      <c r="I11" s="306"/>
      <c r="J11" s="248"/>
    </row>
    <row r="12" spans="1:20">
      <c r="A12" s="306"/>
      <c r="B12" s="306"/>
      <c r="C12" s="309" t="s">
        <v>193</v>
      </c>
      <c r="D12" s="306"/>
      <c r="E12" s="313" t="s">
        <v>416</v>
      </c>
      <c r="F12" s="312"/>
      <c r="G12" s="333" t="s">
        <v>385</v>
      </c>
      <c r="H12" s="313"/>
      <c r="I12" s="313"/>
      <c r="J12" s="228"/>
      <c r="K12" s="202"/>
    </row>
    <row r="13" spans="1:20">
      <c r="A13" s="305" t="s">
        <v>168</v>
      </c>
      <c r="B13" s="306"/>
      <c r="C13" s="309" t="s">
        <v>180</v>
      </c>
      <c r="D13" s="306"/>
      <c r="E13" s="313" t="s">
        <v>386</v>
      </c>
      <c r="F13" s="317"/>
      <c r="G13" s="334" t="s">
        <v>386</v>
      </c>
      <c r="H13" s="317"/>
      <c r="I13" s="313" t="s">
        <v>177</v>
      </c>
      <c r="J13" s="248"/>
      <c r="K13" s="313" t="s">
        <v>177</v>
      </c>
    </row>
    <row r="14" spans="1:20">
      <c r="A14" s="348" t="s">
        <v>169</v>
      </c>
      <c r="B14" s="306"/>
      <c r="C14" s="438" t="s">
        <v>181</v>
      </c>
      <c r="D14" s="306"/>
      <c r="E14" s="438" t="s">
        <v>181</v>
      </c>
      <c r="F14" s="306"/>
      <c r="G14" s="438" t="s">
        <v>181</v>
      </c>
      <c r="H14" s="306"/>
      <c r="I14" s="438" t="s">
        <v>273</v>
      </c>
      <c r="J14" s="248"/>
      <c r="K14" s="438" t="s">
        <v>301</v>
      </c>
      <c r="N14" s="302"/>
    </row>
    <row r="15" spans="1:20">
      <c r="A15" s="312" t="s">
        <v>170</v>
      </c>
      <c r="B15" s="306"/>
      <c r="C15" s="313" t="s">
        <v>178</v>
      </c>
      <c r="D15" s="306"/>
      <c r="E15" s="313" t="s">
        <v>191</v>
      </c>
      <c r="F15" s="306"/>
      <c r="G15" s="334" t="s">
        <v>351</v>
      </c>
      <c r="H15" s="306"/>
      <c r="I15" s="313" t="s">
        <v>198</v>
      </c>
      <c r="J15" s="313"/>
      <c r="K15" s="1003" t="s">
        <v>194</v>
      </c>
      <c r="N15" s="9"/>
    </row>
    <row r="16" spans="1:20" ht="19.149999999999999" customHeight="1">
      <c r="A16" s="314" t="s">
        <v>248</v>
      </c>
      <c r="B16" s="306"/>
      <c r="C16" s="306"/>
      <c r="D16" s="306"/>
      <c r="E16" s="335"/>
      <c r="F16" s="306"/>
      <c r="G16" s="332"/>
      <c r="H16" s="306"/>
      <c r="I16" s="306"/>
      <c r="J16" s="248"/>
      <c r="K16" s="140"/>
      <c r="N16" s="4"/>
    </row>
    <row r="17" spans="1:14">
      <c r="A17" s="306" t="s">
        <v>314</v>
      </c>
      <c r="B17" s="306"/>
      <c r="C17" s="332">
        <f>'Ft  1to4'!R19</f>
        <v>138446</v>
      </c>
      <c r="D17" s="332"/>
      <c r="E17" s="336">
        <f>+'Ft  1to4'!O86</f>
        <v>663321.90777623386</v>
      </c>
      <c r="F17" s="332"/>
      <c r="G17" s="341">
        <f>+E17-C17</f>
        <v>524875.90777623386</v>
      </c>
      <c r="H17" s="306"/>
      <c r="I17" s="366">
        <f>ROUND(+G17/$G$24,4)</f>
        <v>0.4486</v>
      </c>
      <c r="J17" s="248"/>
      <c r="K17" s="366">
        <f>ROUND(+G17/$G$21,4)+0.0001</f>
        <v>0.5353</v>
      </c>
      <c r="N17" s="131"/>
    </row>
    <row r="18" spans="1:14">
      <c r="A18" s="306" t="s">
        <v>310</v>
      </c>
      <c r="B18" s="306"/>
      <c r="C18" s="332">
        <f>'Ft  1to4'!R20</f>
        <v>85282</v>
      </c>
      <c r="D18" s="332"/>
      <c r="E18" s="336">
        <f>+'Ft  1to4'!O87</f>
        <v>413629.33666821051</v>
      </c>
      <c r="F18" s="332"/>
      <c r="G18" s="341">
        <f t="shared" ref="G18:G22" si="0">+E18-C18</f>
        <v>328347.33666821051</v>
      </c>
      <c r="H18" s="306"/>
      <c r="I18" s="366">
        <f t="shared" ref="I18:I22" si="1">ROUND(+G18/$G$24,4)</f>
        <v>0.28060000000000002</v>
      </c>
      <c r="J18" s="248"/>
      <c r="K18" s="366">
        <f t="shared" ref="K18:K20" si="2">ROUND(+G18/$G$21,4)</f>
        <v>0.33479999999999999</v>
      </c>
      <c r="N18" s="131"/>
    </row>
    <row r="19" spans="1:14">
      <c r="A19" s="306" t="s">
        <v>311</v>
      </c>
      <c r="B19" s="306"/>
      <c r="C19" s="332">
        <f>'Ft  1to4'!R21</f>
        <v>28500</v>
      </c>
      <c r="D19" s="332"/>
      <c r="E19" s="336">
        <f>+'Ft  1to4'!O88</f>
        <v>111672</v>
      </c>
      <c r="F19" s="332"/>
      <c r="G19" s="341">
        <f t="shared" si="0"/>
        <v>83172</v>
      </c>
      <c r="H19" s="306"/>
      <c r="I19" s="366">
        <f t="shared" si="1"/>
        <v>7.1099999999999997E-2</v>
      </c>
      <c r="J19" s="248"/>
      <c r="K19" s="366">
        <f t="shared" si="2"/>
        <v>8.48E-2</v>
      </c>
      <c r="N19" s="131"/>
    </row>
    <row r="20" spans="1:14">
      <c r="A20" s="306" t="s">
        <v>312</v>
      </c>
      <c r="B20" s="306"/>
      <c r="C20" s="343">
        <f>'Ft  1to4'!R22</f>
        <v>60891</v>
      </c>
      <c r="D20" s="332"/>
      <c r="E20" s="338">
        <f>+'Ft  1to4'!O89</f>
        <v>105160</v>
      </c>
      <c r="F20" s="337"/>
      <c r="G20" s="343">
        <f t="shared" si="0"/>
        <v>44269</v>
      </c>
      <c r="H20" s="306"/>
      <c r="I20" s="439">
        <f t="shared" si="1"/>
        <v>3.78E-2</v>
      </c>
      <c r="J20" s="248"/>
      <c r="K20" s="439">
        <f t="shared" si="2"/>
        <v>4.5100000000000001E-2</v>
      </c>
      <c r="N20" s="131"/>
    </row>
    <row r="21" spans="1:14">
      <c r="A21" s="306" t="s">
        <v>560</v>
      </c>
      <c r="B21" s="306"/>
      <c r="C21" s="332">
        <f>SUM(C17:C20)</f>
        <v>313119</v>
      </c>
      <c r="D21" s="332"/>
      <c r="E21" s="336">
        <f>SUM(E17:E20)</f>
        <v>1293783.2444444443</v>
      </c>
      <c r="F21" s="337"/>
      <c r="G21" s="341">
        <f>SUM(G17:G20)</f>
        <v>980664.24444444431</v>
      </c>
      <c r="H21" s="306"/>
      <c r="I21" s="366">
        <f>SUM(I17:I20)</f>
        <v>0.83810000000000007</v>
      </c>
      <c r="J21" s="248"/>
      <c r="K21" s="366">
        <f>SUM(K17:K20)</f>
        <v>1</v>
      </c>
      <c r="N21" s="131"/>
    </row>
    <row r="22" spans="1:14" ht="19.899999999999999" customHeight="1">
      <c r="A22" s="306" t="s">
        <v>452</v>
      </c>
      <c r="B22" s="306"/>
      <c r="C22" s="332">
        <f>'Ft  1to4'!R23</f>
        <v>453691</v>
      </c>
      <c r="D22" s="332"/>
      <c r="E22" s="338">
        <f>+'Ft  1to4'!O90</f>
        <v>643062</v>
      </c>
      <c r="F22" s="332"/>
      <c r="G22" s="343">
        <f t="shared" si="0"/>
        <v>189371</v>
      </c>
      <c r="H22" s="306"/>
      <c r="I22" s="439">
        <f t="shared" si="1"/>
        <v>0.16189999999999999</v>
      </c>
      <c r="J22" s="248"/>
      <c r="K22" s="167">
        <v>0</v>
      </c>
      <c r="N22" s="131"/>
    </row>
    <row r="23" spans="1:14" ht="10.15" customHeight="1">
      <c r="A23" s="306"/>
      <c r="B23" s="306"/>
      <c r="C23" s="339"/>
      <c r="D23" s="332"/>
      <c r="E23" s="340"/>
      <c r="F23" s="332"/>
      <c r="G23" s="341"/>
      <c r="H23" s="306"/>
      <c r="I23" s="367"/>
      <c r="J23" s="248"/>
      <c r="K23" s="131"/>
      <c r="N23" s="292"/>
    </row>
    <row r="24" spans="1:14" ht="14.1" customHeight="1" thickBot="1">
      <c r="A24" s="306" t="s">
        <v>173</v>
      </c>
      <c r="B24" s="306"/>
      <c r="C24" s="332">
        <f>+C22+C21</f>
        <v>766810</v>
      </c>
      <c r="D24" s="332"/>
      <c r="E24" s="332">
        <f>+E22+E21</f>
        <v>1936845.2444444443</v>
      </c>
      <c r="F24" s="332"/>
      <c r="G24" s="332">
        <f>+G22+G21</f>
        <v>1170035.2444444443</v>
      </c>
      <c r="H24" s="306"/>
      <c r="I24" s="368">
        <f>+I22+I21</f>
        <v>1</v>
      </c>
      <c r="K24" s="368">
        <f>+K22+K21</f>
        <v>1</v>
      </c>
      <c r="N24" s="12"/>
    </row>
    <row r="25" spans="1:14" ht="36" customHeight="1" thickTop="1">
      <c r="A25" s="1001" t="s">
        <v>827</v>
      </c>
      <c r="B25" s="306"/>
      <c r="C25" s="1000">
        <f>ROUND(+C24/E24,4)</f>
        <v>0.39589999999999997</v>
      </c>
      <c r="D25" s="306"/>
      <c r="E25" s="325"/>
      <c r="F25" s="306"/>
      <c r="G25" s="1000">
        <f>ROUND(+G24/E24,4)</f>
        <v>0.60409999999999997</v>
      </c>
      <c r="H25" s="306"/>
      <c r="I25" s="325"/>
      <c r="J25" s="248"/>
      <c r="K25" s="342"/>
    </row>
    <row r="26" spans="1:14" ht="26.25" customHeight="1">
      <c r="A26" s="317"/>
      <c r="B26" s="306"/>
      <c r="C26" s="306"/>
      <c r="D26" s="306"/>
      <c r="E26" s="306"/>
      <c r="F26" s="306"/>
      <c r="G26" s="332"/>
      <c r="H26" s="306"/>
      <c r="I26" s="306"/>
      <c r="J26" s="248"/>
    </row>
    <row r="27" spans="1:14">
      <c r="A27" s="306" t="s">
        <v>558</v>
      </c>
      <c r="B27" s="306"/>
      <c r="C27" s="306"/>
      <c r="D27" s="306"/>
      <c r="E27" s="306"/>
      <c r="F27" s="306"/>
      <c r="G27" s="332"/>
      <c r="H27" s="306"/>
      <c r="I27" s="306"/>
      <c r="J27" s="248"/>
    </row>
    <row r="28" spans="1:14">
      <c r="A28" s="306" t="s">
        <v>435</v>
      </c>
      <c r="B28" s="306"/>
      <c r="C28" s="306"/>
      <c r="D28" s="306"/>
      <c r="E28" s="306"/>
      <c r="F28" s="306"/>
      <c r="G28" s="332"/>
      <c r="H28" s="306"/>
      <c r="I28" s="306"/>
      <c r="J28" s="248"/>
    </row>
    <row r="29" spans="1:14" ht="7.9" customHeight="1">
      <c r="A29" s="307"/>
      <c r="B29" s="306"/>
      <c r="C29" s="306"/>
      <c r="D29" s="306"/>
      <c r="E29" s="306"/>
      <c r="F29" s="306"/>
      <c r="G29" s="332"/>
      <c r="H29" s="306"/>
      <c r="I29" s="306"/>
      <c r="J29" s="248"/>
    </row>
    <row r="30" spans="1:14">
      <c r="A30" s="306" t="s">
        <v>436</v>
      </c>
      <c r="B30" s="306"/>
      <c r="C30" s="306"/>
      <c r="D30" s="306"/>
      <c r="E30" s="306"/>
      <c r="F30" s="306"/>
      <c r="G30" s="332"/>
      <c r="H30" s="306"/>
      <c r="I30" s="306"/>
      <c r="J30" s="248"/>
    </row>
    <row r="31" spans="1:14">
      <c r="A31" s="306" t="s">
        <v>437</v>
      </c>
      <c r="B31" s="306"/>
      <c r="C31" s="306"/>
      <c r="D31" s="306"/>
      <c r="E31" s="306"/>
      <c r="F31" s="306"/>
      <c r="G31" s="332"/>
      <c r="H31" s="306"/>
      <c r="I31" s="306"/>
      <c r="J31" s="248"/>
    </row>
    <row r="32" spans="1:14" ht="21.6" customHeight="1">
      <c r="A32" s="306"/>
      <c r="B32" s="306"/>
      <c r="D32" s="306"/>
      <c r="E32" s="309" t="s">
        <v>179</v>
      </c>
      <c r="F32" s="306"/>
      <c r="G32" s="332"/>
      <c r="H32" s="306"/>
      <c r="I32" s="306"/>
      <c r="J32" s="248"/>
    </row>
    <row r="33" spans="1:11">
      <c r="A33" s="306"/>
      <c r="B33" s="306"/>
      <c r="D33" s="306"/>
      <c r="E33" s="309" t="s">
        <v>196</v>
      </c>
      <c r="F33" s="306"/>
      <c r="G33" s="333"/>
      <c r="H33" s="306"/>
      <c r="I33" s="306"/>
      <c r="J33" s="248"/>
    </row>
    <row r="34" spans="1:11">
      <c r="A34" s="306"/>
      <c r="B34" s="306"/>
      <c r="D34" s="306"/>
      <c r="E34" s="309" t="s">
        <v>193</v>
      </c>
      <c r="G34" s="313" t="s">
        <v>416</v>
      </c>
      <c r="H34" s="312"/>
      <c r="I34" s="333" t="s">
        <v>385</v>
      </c>
      <c r="J34" s="313"/>
      <c r="K34" s="313"/>
    </row>
    <row r="35" spans="1:11">
      <c r="A35" s="305" t="s">
        <v>168</v>
      </c>
      <c r="B35" s="306"/>
      <c r="D35" s="306"/>
      <c r="E35" s="309" t="s">
        <v>180</v>
      </c>
      <c r="G35" s="313" t="s">
        <v>386</v>
      </c>
      <c r="H35" s="317"/>
      <c r="I35" s="334" t="s">
        <v>386</v>
      </c>
      <c r="J35" s="317"/>
      <c r="K35" s="313" t="s">
        <v>177</v>
      </c>
    </row>
    <row r="36" spans="1:11">
      <c r="A36" s="348" t="s">
        <v>169</v>
      </c>
      <c r="B36" s="306"/>
      <c r="D36" s="306"/>
      <c r="E36" s="438" t="s">
        <v>181</v>
      </c>
      <c r="G36" s="438" t="s">
        <v>181</v>
      </c>
      <c r="H36" s="306"/>
      <c r="I36" s="438" t="s">
        <v>181</v>
      </c>
      <c r="J36" s="306"/>
      <c r="K36" s="438" t="s">
        <v>559</v>
      </c>
    </row>
    <row r="37" spans="1:11">
      <c r="A37" s="312" t="s">
        <v>170</v>
      </c>
      <c r="B37" s="306"/>
      <c r="D37" s="306"/>
      <c r="E37" s="313" t="s">
        <v>178</v>
      </c>
      <c r="G37" s="313" t="s">
        <v>191</v>
      </c>
      <c r="H37" s="306"/>
      <c r="I37" s="334" t="s">
        <v>351</v>
      </c>
      <c r="J37" s="306"/>
      <c r="K37" s="313" t="s">
        <v>198</v>
      </c>
    </row>
    <row r="38" spans="1:11" ht="21" customHeight="1">
      <c r="A38" s="314" t="s">
        <v>248</v>
      </c>
      <c r="B38" s="306"/>
      <c r="D38" s="306"/>
      <c r="E38" s="306"/>
      <c r="G38" s="335"/>
      <c r="H38" s="306"/>
      <c r="I38" s="332"/>
      <c r="J38" s="306"/>
      <c r="K38" s="306"/>
    </row>
    <row r="39" spans="1:11">
      <c r="A39" s="306" t="s">
        <v>314</v>
      </c>
      <c r="B39" s="306"/>
      <c r="D39" s="332"/>
      <c r="E39" s="332">
        <f>+C17</f>
        <v>138446</v>
      </c>
      <c r="G39" s="332">
        <f>+E17</f>
        <v>663321.90777623386</v>
      </c>
      <c r="H39" s="306"/>
      <c r="I39" s="341">
        <f>+G39-E39</f>
        <v>524875.90777623386</v>
      </c>
      <c r="J39" s="306"/>
      <c r="K39" s="366">
        <f>ROUND(+I39/$I$44,4)+0.0001</f>
        <v>0.5353</v>
      </c>
    </row>
    <row r="40" spans="1:11">
      <c r="A40" s="306" t="s">
        <v>310</v>
      </c>
      <c r="B40" s="306"/>
      <c r="D40" s="332"/>
      <c r="E40" s="332">
        <f>+C18</f>
        <v>85282</v>
      </c>
      <c r="G40" s="332">
        <f>+E18</f>
        <v>413629.33666821051</v>
      </c>
      <c r="H40" s="306"/>
      <c r="I40" s="341">
        <f>+G40-E40</f>
        <v>328347.33666821051</v>
      </c>
      <c r="J40" s="306"/>
      <c r="K40" s="366">
        <f t="shared" ref="K40:K42" si="3">ROUND(+I40/$I$44,4)</f>
        <v>0.33479999999999999</v>
      </c>
    </row>
    <row r="41" spans="1:11">
      <c r="A41" s="306" t="s">
        <v>311</v>
      </c>
      <c r="B41" s="306"/>
      <c r="D41" s="332"/>
      <c r="E41" s="332">
        <f>+C19</f>
        <v>28500</v>
      </c>
      <c r="G41" s="332">
        <f>+E19</f>
        <v>111672</v>
      </c>
      <c r="H41" s="306"/>
      <c r="I41" s="341">
        <f>+G41-E41</f>
        <v>83172</v>
      </c>
      <c r="J41" s="306"/>
      <c r="K41" s="366">
        <f t="shared" si="3"/>
        <v>8.48E-2</v>
      </c>
    </row>
    <row r="42" spans="1:11">
      <c r="A42" s="306" t="s">
        <v>312</v>
      </c>
      <c r="B42" s="306"/>
      <c r="D42" s="332"/>
      <c r="E42" s="421">
        <f>ROUND(+C20,0)</f>
        <v>60891</v>
      </c>
      <c r="G42" s="343">
        <f>+E20</f>
        <v>105160</v>
      </c>
      <c r="H42" s="335"/>
      <c r="I42" s="343">
        <f>+G42-E42</f>
        <v>44269</v>
      </c>
      <c r="J42" s="306"/>
      <c r="K42" s="366">
        <f t="shared" si="3"/>
        <v>4.5100000000000001E-2</v>
      </c>
    </row>
    <row r="43" spans="1:11" ht="12.6" customHeight="1">
      <c r="A43" s="306"/>
      <c r="B43" s="306"/>
      <c r="D43" s="332"/>
      <c r="E43" s="339"/>
      <c r="G43" s="340"/>
      <c r="H43" s="306"/>
      <c r="I43" s="341"/>
      <c r="J43" s="306"/>
      <c r="K43" s="367"/>
    </row>
    <row r="44" spans="1:11" ht="14.1" customHeight="1" thickBot="1">
      <c r="A44" s="306" t="s">
        <v>173</v>
      </c>
      <c r="B44" s="306"/>
      <c r="D44" s="332"/>
      <c r="E44" s="332">
        <f>SUM(E39:E42)</f>
        <v>313119</v>
      </c>
      <c r="G44" s="361">
        <f>SUM(G39:G42)</f>
        <v>1293783.2444444443</v>
      </c>
      <c r="H44" s="306"/>
      <c r="I44" s="332">
        <f>SUM(I39:I42)</f>
        <v>980664.24444444431</v>
      </c>
      <c r="J44" s="306"/>
      <c r="K44" s="368">
        <f>SUM(K39:K42)</f>
        <v>1</v>
      </c>
    </row>
    <row r="45" spans="1:11" ht="15.75" thickTop="1">
      <c r="A45" s="306"/>
      <c r="B45" s="306"/>
      <c r="D45" s="306"/>
      <c r="E45" s="325"/>
      <c r="G45" s="317"/>
      <c r="H45" s="306"/>
      <c r="I45" s="342"/>
      <c r="J45" s="306"/>
      <c r="K45" s="325"/>
    </row>
    <row r="46" spans="1:11">
      <c r="A46" s="1088" t="s">
        <v>826</v>
      </c>
      <c r="B46" s="1088"/>
      <c r="C46" s="1088"/>
      <c r="D46" s="1088"/>
      <c r="E46" s="1088"/>
      <c r="F46" s="1088"/>
      <c r="G46" s="1088"/>
      <c r="H46" s="1088"/>
      <c r="I46" s="1088"/>
      <c r="J46" s="1088"/>
    </row>
    <row r="47" spans="1:11">
      <c r="A47" s="305"/>
      <c r="B47" s="305"/>
      <c r="C47" s="305"/>
      <c r="D47" s="305"/>
      <c r="E47" s="305"/>
      <c r="F47" s="305"/>
      <c r="G47" s="344"/>
      <c r="H47" s="305"/>
      <c r="I47" s="305"/>
      <c r="J47" s="248"/>
    </row>
    <row r="48" spans="1:11">
      <c r="A48" s="1089" t="s">
        <v>167</v>
      </c>
      <c r="B48" s="1089"/>
      <c r="C48" s="1089"/>
      <c r="D48" s="1089"/>
      <c r="E48" s="1089"/>
      <c r="F48" s="1089"/>
      <c r="G48" s="1089"/>
      <c r="H48" s="1089"/>
      <c r="I48" s="1089"/>
      <c r="J48" s="1089"/>
    </row>
    <row r="49" spans="1:29">
      <c r="A49" s="306"/>
      <c r="B49" s="306"/>
      <c r="C49" s="306"/>
      <c r="D49" s="306"/>
      <c r="E49" s="306"/>
      <c r="F49" s="306"/>
      <c r="G49" s="332"/>
      <c r="H49" s="306"/>
      <c r="I49" s="306"/>
    </row>
    <row r="50" spans="1:29" ht="7.9" customHeight="1">
      <c r="A50" s="306"/>
      <c r="B50" s="306"/>
      <c r="C50" s="306"/>
      <c r="D50" s="306"/>
      <c r="E50" s="306"/>
      <c r="F50" s="306"/>
      <c r="G50" s="332"/>
      <c r="H50" s="306"/>
      <c r="I50" s="306"/>
      <c r="J50" s="140"/>
    </row>
    <row r="51" spans="1:29">
      <c r="A51" s="345" t="s">
        <v>775</v>
      </c>
      <c r="B51" s="308"/>
      <c r="C51" s="308"/>
      <c r="D51" s="308"/>
      <c r="E51" s="308"/>
      <c r="F51" s="308"/>
      <c r="G51" s="346"/>
      <c r="H51" s="308"/>
      <c r="I51" s="308"/>
      <c r="J51" s="140"/>
    </row>
    <row r="52" spans="1:29">
      <c r="A52" s="307"/>
      <c r="B52" s="308"/>
      <c r="C52" s="308"/>
      <c r="D52" s="308"/>
      <c r="E52" s="308"/>
      <c r="F52" s="308"/>
      <c r="G52" s="346"/>
      <c r="H52" s="308"/>
      <c r="I52" s="308"/>
    </row>
    <row r="53" spans="1:29" ht="27" customHeight="1">
      <c r="A53" s="1092" t="s">
        <v>774</v>
      </c>
      <c r="B53" s="1093"/>
      <c r="C53" s="1093"/>
      <c r="D53" s="1093"/>
      <c r="E53" s="1093"/>
      <c r="F53" s="1093"/>
      <c r="G53" s="1093"/>
      <c r="H53" s="1093"/>
      <c r="I53" s="1093"/>
      <c r="J53" s="249"/>
    </row>
    <row r="54" spans="1:29">
      <c r="A54" s="306"/>
      <c r="B54" s="306"/>
      <c r="C54" s="306"/>
      <c r="D54" s="306"/>
      <c r="E54" s="474"/>
      <c r="F54" s="306"/>
      <c r="G54" s="332"/>
      <c r="H54" s="306"/>
      <c r="I54" s="480"/>
    </row>
    <row r="55" spans="1:29" ht="6.6" customHeight="1">
      <c r="A55" s="306"/>
      <c r="B55" s="306"/>
      <c r="C55" s="306"/>
      <c r="D55" s="306"/>
      <c r="E55" s="306"/>
      <c r="F55" s="306"/>
      <c r="G55" s="332"/>
      <c r="H55" s="306"/>
      <c r="I55" s="306"/>
    </row>
    <row r="56" spans="1:29">
      <c r="A56" s="305" t="s">
        <v>168</v>
      </c>
      <c r="B56" s="306"/>
      <c r="C56" s="1005" t="s">
        <v>830</v>
      </c>
      <c r="D56" s="908"/>
      <c r="E56" s="1076" t="s">
        <v>849</v>
      </c>
      <c r="F56" s="909"/>
      <c r="G56" s="333" t="s">
        <v>776</v>
      </c>
      <c r="H56" s="1006"/>
      <c r="I56" s="313" t="s">
        <v>177</v>
      </c>
      <c r="T56" s="333"/>
    </row>
    <row r="57" spans="1:29">
      <c r="A57" s="348" t="s">
        <v>169</v>
      </c>
      <c r="B57" s="306"/>
      <c r="C57" s="1007" t="s">
        <v>795</v>
      </c>
      <c r="D57" s="908"/>
      <c r="E57" s="1007" t="s">
        <v>566</v>
      </c>
      <c r="F57" s="909"/>
      <c r="G57" s="350" t="s">
        <v>777</v>
      </c>
      <c r="H57" s="1006"/>
      <c r="I57" s="1007" t="s">
        <v>183</v>
      </c>
      <c r="T57" s="350"/>
      <c r="V57" s="474"/>
      <c r="W57" s="219"/>
      <c r="X57" s="480"/>
    </row>
    <row r="58" spans="1:29">
      <c r="A58" s="322">
        <v>-1</v>
      </c>
      <c r="B58" s="306"/>
      <c r="D58" s="909"/>
      <c r="E58" s="907"/>
      <c r="F58" s="909"/>
      <c r="G58" s="417"/>
      <c r="H58" s="347"/>
      <c r="I58" s="322">
        <f>+T58-1</f>
        <v>-1</v>
      </c>
      <c r="L58" s="419"/>
      <c r="M58" s="417"/>
      <c r="P58" s="488" t="s">
        <v>613</v>
      </c>
      <c r="T58" s="352"/>
      <c r="V58" s="417"/>
      <c r="W58" s="219"/>
      <c r="X58" s="419"/>
    </row>
    <row r="59" spans="1:29">
      <c r="A59" s="306"/>
      <c r="B59" s="358"/>
      <c r="D59" s="315"/>
      <c r="E59" s="907"/>
      <c r="F59" s="315"/>
      <c r="G59" s="417"/>
      <c r="H59" s="306"/>
      <c r="I59" s="306"/>
      <c r="L59" s="419"/>
      <c r="M59" s="474"/>
      <c r="P59" s="524" t="s">
        <v>614</v>
      </c>
      <c r="T59" s="223"/>
      <c r="V59" s="417"/>
      <c r="W59" s="219"/>
      <c r="X59" s="419"/>
    </row>
    <row r="60" spans="1:29">
      <c r="A60" s="314" t="s">
        <v>249</v>
      </c>
      <c r="B60" s="358"/>
      <c r="D60" s="315"/>
      <c r="E60" s="417"/>
      <c r="F60" s="363"/>
      <c r="G60" s="417"/>
      <c r="H60" s="306"/>
      <c r="I60" s="316"/>
      <c r="L60" s="419"/>
      <c r="M60" s="493"/>
      <c r="P60" s="489" t="s">
        <v>601</v>
      </c>
      <c r="R60" s="525" t="s">
        <v>539</v>
      </c>
      <c r="T60" s="223"/>
      <c r="V60" s="417"/>
      <c r="W60" s="219"/>
      <c r="X60" s="419"/>
    </row>
    <row r="61" spans="1:29">
      <c r="A61" s="306" t="s">
        <v>314</v>
      </c>
      <c r="B61" s="358"/>
      <c r="C61" s="482">
        <f>'[9]SDR-COS-7'!$B$41</f>
        <v>66676073.87429411</v>
      </c>
      <c r="D61" s="315"/>
      <c r="E61" s="1078">
        <v>0</v>
      </c>
      <c r="F61" s="363"/>
      <c r="G61" s="1022">
        <f>+C61+E61</f>
        <v>66676073.87429411</v>
      </c>
      <c r="H61" s="306"/>
      <c r="I61" s="366">
        <f>ROUND(+G61/$G$68,4)</f>
        <v>0.42730000000000001</v>
      </c>
      <c r="L61" s="419"/>
      <c r="M61" s="492"/>
      <c r="N61" s="389">
        <f>+'Ft  1to4'!R86</f>
        <v>598337</v>
      </c>
      <c r="P61" s="526">
        <f>+G61/N61</f>
        <v>111.43565227337456</v>
      </c>
      <c r="R61" s="487">
        <f>+P61/$P$61</f>
        <v>1</v>
      </c>
      <c r="T61" s="332">
        <f>+'Ft 7to9'!E16</f>
        <v>598337</v>
      </c>
      <c r="V61" s="421"/>
      <c r="W61" s="219"/>
      <c r="X61" s="418"/>
      <c r="Z61" s="375">
        <f>+N61</f>
        <v>598337</v>
      </c>
      <c r="AA61" s="405">
        <v>1</v>
      </c>
      <c r="AB61" s="375">
        <f>+Z61*AA61</f>
        <v>598337</v>
      </c>
      <c r="AC61" s="414">
        <f>+AB61/AB$68</f>
        <v>0.5238707802511019</v>
      </c>
    </row>
    <row r="62" spans="1:29">
      <c r="A62" s="306" t="s">
        <v>310</v>
      </c>
      <c r="B62" s="306"/>
      <c r="C62" s="332">
        <f>'[9]SDR-COS-7'!$C$41</f>
        <v>65444586.815375187</v>
      </c>
      <c r="D62" s="315"/>
      <c r="E62" s="417">
        <v>0</v>
      </c>
      <c r="F62" s="363"/>
      <c r="G62" s="423">
        <f t="shared" ref="G62:G66" si="4">+C62+E62</f>
        <v>65444586.815375187</v>
      </c>
      <c r="H62" s="306"/>
      <c r="I62" s="366">
        <f t="shared" ref="I62:I66" si="5">ROUND(+G62/$G$68,4)</f>
        <v>0.4194</v>
      </c>
      <c r="L62" s="419"/>
      <c r="M62" s="492"/>
      <c r="N62" s="389">
        <f>+'Ft  1to4'!R87</f>
        <v>69452</v>
      </c>
      <c r="P62" s="472">
        <f>+G62/N62</f>
        <v>942.29952795276142</v>
      </c>
      <c r="R62" s="487">
        <f t="shared" ref="R62:R66" si="6">+P62/$P$61</f>
        <v>8.4559968800748528</v>
      </c>
      <c r="T62" s="332">
        <f>+'Ft 7to9'!E17</f>
        <v>69452</v>
      </c>
      <c r="V62" s="421"/>
      <c r="W62" s="219"/>
      <c r="X62" s="418"/>
      <c r="Z62" s="375">
        <f>+N62</f>
        <v>69452</v>
      </c>
      <c r="AA62" s="405">
        <v>7.83</v>
      </c>
      <c r="AB62" s="375">
        <f t="shared" ref="AB62:AB66" si="7">+Z62*AA62</f>
        <v>543809.16</v>
      </c>
      <c r="AC62" s="414">
        <f t="shared" ref="AC62:AC66" si="8">+AB62/AB$68</f>
        <v>0.47612921974889794</v>
      </c>
    </row>
    <row r="63" spans="1:29">
      <c r="A63" s="306" t="s">
        <v>311</v>
      </c>
      <c r="B63" s="358"/>
      <c r="C63" s="332">
        <f>'[9]SDR-COS-7'!$D$41</f>
        <v>10033144.207410725</v>
      </c>
      <c r="D63" s="315"/>
      <c r="E63" s="417">
        <f>ROUND(N$71/N$70*N63,0)</f>
        <v>1761991</v>
      </c>
      <c r="F63" s="363"/>
      <c r="G63" s="423">
        <f t="shared" si="4"/>
        <v>11795135.207410725</v>
      </c>
      <c r="H63" s="306"/>
      <c r="I63" s="366">
        <f t="shared" si="5"/>
        <v>7.5600000000000001E-2</v>
      </c>
      <c r="L63" s="419"/>
      <c r="M63" s="492"/>
      <c r="N63" s="389">
        <f>+'Ft  1to4'!R88</f>
        <v>1510</v>
      </c>
      <c r="P63" s="472">
        <f>+G63/N63</f>
        <v>7811.3478194773015</v>
      </c>
      <c r="R63" s="487">
        <f t="shared" si="6"/>
        <v>70.097384994117135</v>
      </c>
      <c r="T63" s="332">
        <f>+'Ft 7to9'!E18</f>
        <v>1510</v>
      </c>
      <c r="V63" s="421"/>
      <c r="W63" s="219"/>
      <c r="X63" s="418"/>
      <c r="Z63" s="375">
        <f>+N63</f>
        <v>1510</v>
      </c>
      <c r="AA63" s="405">
        <f>+N86/P61</f>
        <v>0</v>
      </c>
      <c r="AB63" s="375">
        <f t="shared" si="7"/>
        <v>0</v>
      </c>
      <c r="AC63" s="414">
        <f t="shared" si="8"/>
        <v>0</v>
      </c>
    </row>
    <row r="64" spans="1:29">
      <c r="A64" s="306" t="s">
        <v>312</v>
      </c>
      <c r="B64" s="358"/>
      <c r="C64" s="332">
        <f>'[9]SDR-COS-7'!$E$41</f>
        <v>6241298.5960345007</v>
      </c>
      <c r="D64" s="315"/>
      <c r="E64" s="417">
        <f>ROUND(N$71/N$70*N64,0)</f>
        <v>592776</v>
      </c>
      <c r="F64" s="363"/>
      <c r="G64" s="423">
        <f t="shared" si="4"/>
        <v>6834074.5960345007</v>
      </c>
      <c r="H64" s="306"/>
      <c r="I64" s="366">
        <f t="shared" si="5"/>
        <v>4.3799999999999999E-2</v>
      </c>
      <c r="L64" s="419"/>
      <c r="M64" s="492"/>
      <c r="N64" s="389">
        <f>+'Ft  1to4'!R89</f>
        <v>508</v>
      </c>
      <c r="P64" s="472">
        <f>(+G64+E103)/N64</f>
        <v>26905.80549619882</v>
      </c>
      <c r="R64" s="487">
        <f t="shared" si="6"/>
        <v>241.44701401480873</v>
      </c>
      <c r="T64" s="332">
        <f>+'Ft 7to9'!E19</f>
        <v>508</v>
      </c>
      <c r="V64" s="421"/>
      <c r="W64" s="219"/>
      <c r="X64" s="418"/>
      <c r="Z64" s="375">
        <f>+N64</f>
        <v>508</v>
      </c>
      <c r="AA64" s="405">
        <f>+AA63</f>
        <v>0</v>
      </c>
      <c r="AB64" s="375">
        <f t="shared" si="7"/>
        <v>0</v>
      </c>
      <c r="AC64" s="414">
        <f t="shared" si="8"/>
        <v>0</v>
      </c>
    </row>
    <row r="65" spans="1:29">
      <c r="A65" s="306" t="s">
        <v>453</v>
      </c>
      <c r="B65" s="358"/>
      <c r="C65" s="332">
        <f>'[9]SDR-COS-7'!$G$41</f>
        <v>1231689.0222907162</v>
      </c>
      <c r="D65" s="315"/>
      <c r="E65" s="417">
        <f>ROUND(N$71/N$70*N65,0)</f>
        <v>63012</v>
      </c>
      <c r="F65" s="363"/>
      <c r="G65" s="423">
        <f t="shared" si="4"/>
        <v>1294701.0222907162</v>
      </c>
      <c r="H65" s="306"/>
      <c r="I65" s="366">
        <f t="shared" si="5"/>
        <v>8.3000000000000001E-3</v>
      </c>
      <c r="L65" s="419"/>
      <c r="M65" s="492"/>
      <c r="N65" s="389">
        <f>+'Ft  1to4'!R90</f>
        <v>54</v>
      </c>
      <c r="P65" s="472">
        <f>(+G65+E104)/N65</f>
        <v>47951.88971447097</v>
      </c>
      <c r="R65" s="487">
        <f t="shared" si="6"/>
        <v>430.31012729063701</v>
      </c>
      <c r="T65" s="332">
        <f>+'Ft 7to9'!E20</f>
        <v>54</v>
      </c>
      <c r="V65" s="421"/>
      <c r="W65" s="219"/>
      <c r="X65" s="418"/>
      <c r="Z65" s="375">
        <f>+N65</f>
        <v>54</v>
      </c>
      <c r="AA65" s="405">
        <f>+AA63</f>
        <v>0</v>
      </c>
      <c r="AB65" s="375">
        <f t="shared" si="7"/>
        <v>0</v>
      </c>
      <c r="AC65" s="414">
        <f t="shared" si="8"/>
        <v>0</v>
      </c>
    </row>
    <row r="66" spans="1:29">
      <c r="A66" s="306" t="s">
        <v>414</v>
      </c>
      <c r="B66" s="358"/>
      <c r="C66" s="343">
        <f>'[9]SDR-COS-7'!$F$41</f>
        <v>3559397.6345948814</v>
      </c>
      <c r="D66" s="315"/>
      <c r="E66" s="466">
        <f>ROUND(N$71/N$70*N66,0)</f>
        <v>436414</v>
      </c>
      <c r="F66" s="363"/>
      <c r="G66" s="425">
        <f t="shared" si="4"/>
        <v>3995811.6345948814</v>
      </c>
      <c r="H66" s="306"/>
      <c r="I66" s="366">
        <f t="shared" si="5"/>
        <v>2.5600000000000001E-2</v>
      </c>
      <c r="L66" s="419"/>
      <c r="M66" s="492"/>
      <c r="N66" s="389">
        <f>+'Ft  1to4'!R91</f>
        <v>374</v>
      </c>
      <c r="P66" s="472">
        <f>(+G66+E105)/N66</f>
        <v>21367.976655587601</v>
      </c>
      <c r="R66" s="487">
        <f t="shared" si="6"/>
        <v>191.7517080006636</v>
      </c>
      <c r="T66" s="343">
        <f>+'Ft 7to9'!E21</f>
        <v>374</v>
      </c>
      <c r="V66" s="425"/>
      <c r="W66" s="219"/>
      <c r="X66" s="418"/>
      <c r="Z66" s="375">
        <f>+N66</f>
        <v>374</v>
      </c>
      <c r="AA66" s="405">
        <f>+AA63</f>
        <v>0</v>
      </c>
      <c r="AB66" s="375">
        <f t="shared" si="7"/>
        <v>0</v>
      </c>
      <c r="AC66" s="414">
        <f t="shared" si="8"/>
        <v>0</v>
      </c>
    </row>
    <row r="67" spans="1:29" ht="15.6" customHeight="1">
      <c r="A67" s="306"/>
      <c r="B67" s="358"/>
      <c r="D67" s="910"/>
      <c r="E67" s="219"/>
      <c r="F67" s="419"/>
      <c r="G67" s="417"/>
      <c r="H67" s="317"/>
      <c r="I67" s="367"/>
      <c r="L67" s="419"/>
      <c r="M67" s="219"/>
      <c r="V67" s="219"/>
      <c r="W67" s="219"/>
      <c r="X67" s="485"/>
    </row>
    <row r="68" spans="1:29" ht="15.75" thickBot="1">
      <c r="A68" s="306" t="s">
        <v>173</v>
      </c>
      <c r="B68" s="306"/>
      <c r="C68" s="500">
        <f>SUM(C61:C67)</f>
        <v>153186190.15000013</v>
      </c>
      <c r="D68" s="844"/>
      <c r="E68" s="1023">
        <f t="shared" ref="E68" si="9">SUM(E61:E67)</f>
        <v>2854193</v>
      </c>
      <c r="F68" s="419">
        <f t="shared" ref="F68" si="10">SUM(F61:F66)</f>
        <v>0</v>
      </c>
      <c r="G68" s="1023">
        <f>SUM(G61:G67)</f>
        <v>156040383.15000013</v>
      </c>
      <c r="H68" s="306"/>
      <c r="I68" s="368">
        <f>SUM(I61:I66)</f>
        <v>0.99999999999999989</v>
      </c>
      <c r="L68" s="419"/>
      <c r="M68" s="486"/>
      <c r="N68" s="231">
        <f>SUM(N61:N67)</f>
        <v>670235</v>
      </c>
      <c r="R68" s="486"/>
      <c r="S68" s="219"/>
      <c r="T68" s="409">
        <f>SUM(T61:T67)</f>
        <v>670235</v>
      </c>
      <c r="V68" s="486"/>
      <c r="W68" s="219"/>
      <c r="X68" s="479"/>
      <c r="AB68" s="375">
        <f>SUM(AB61:AB67)</f>
        <v>1142146.1600000001</v>
      </c>
    </row>
    <row r="69" spans="1:29" ht="15.75" thickTop="1">
      <c r="A69" s="306"/>
      <c r="B69" s="306"/>
      <c r="D69" s="306"/>
      <c r="E69" s="219"/>
      <c r="F69" s="419"/>
      <c r="G69" s="219"/>
      <c r="H69" s="306"/>
      <c r="I69" s="325"/>
      <c r="L69" s="419"/>
      <c r="M69" s="419"/>
      <c r="R69" s="375"/>
      <c r="V69" s="219"/>
      <c r="W69" s="219"/>
      <c r="X69" s="219"/>
    </row>
    <row r="70" spans="1:29">
      <c r="A70" s="306"/>
      <c r="B70" s="306"/>
      <c r="D70" s="306"/>
      <c r="F70" s="36"/>
      <c r="G70" s="417"/>
      <c r="H70" s="306"/>
      <c r="I70" s="317"/>
      <c r="L70" s="419"/>
      <c r="M70" s="419"/>
      <c r="N70" s="231">
        <f>SUM(N63:N66)</f>
        <v>2446</v>
      </c>
      <c r="R70" s="375"/>
      <c r="V70" s="219"/>
      <c r="W70" s="219"/>
      <c r="X70" s="219"/>
    </row>
    <row r="71" spans="1:29">
      <c r="A71" s="307" t="s">
        <v>349</v>
      </c>
      <c r="B71" s="308"/>
      <c r="C71" s="308"/>
      <c r="D71" s="308"/>
      <c r="E71" s="308"/>
      <c r="F71" s="308"/>
      <c r="G71" s="1021"/>
      <c r="H71" s="308"/>
      <c r="I71" s="308"/>
      <c r="L71" s="419"/>
      <c r="M71" s="419"/>
      <c r="N71" s="299">
        <v>2854192</v>
      </c>
      <c r="R71" s="375"/>
      <c r="V71" s="219"/>
      <c r="W71" s="219"/>
      <c r="X71" s="219"/>
    </row>
    <row r="72" spans="1:29">
      <c r="A72" s="357"/>
      <c r="B72" s="308"/>
      <c r="C72" s="308"/>
      <c r="D72" s="308"/>
      <c r="E72" s="308"/>
      <c r="F72" s="308"/>
      <c r="G72" s="346"/>
      <c r="H72" s="308"/>
      <c r="I72" s="308"/>
      <c r="L72" s="419"/>
      <c r="M72" s="419"/>
      <c r="R72" s="375"/>
      <c r="V72" s="219"/>
      <c r="W72" s="219"/>
      <c r="X72" s="219"/>
    </row>
    <row r="73" spans="1:29">
      <c r="A73" s="1092" t="s">
        <v>773</v>
      </c>
      <c r="B73" s="1093"/>
      <c r="C73" s="1093"/>
      <c r="D73" s="1093"/>
      <c r="E73" s="1093"/>
      <c r="F73" s="1093"/>
      <c r="G73" s="1093"/>
      <c r="H73" s="1093"/>
      <c r="I73" s="1093"/>
      <c r="L73" s="419"/>
      <c r="M73" s="419"/>
      <c r="R73" s="375"/>
      <c r="V73" s="219"/>
      <c r="W73" s="219"/>
      <c r="X73" s="219"/>
    </row>
    <row r="74" spans="1:29">
      <c r="A74" s="306"/>
      <c r="B74" s="306"/>
      <c r="C74" s="306"/>
      <c r="D74" s="306"/>
      <c r="E74" s="306"/>
      <c r="F74" s="306"/>
      <c r="G74" s="332"/>
      <c r="H74" s="306"/>
      <c r="I74" s="306"/>
      <c r="L74" s="419"/>
      <c r="M74" s="419"/>
      <c r="R74" s="375"/>
      <c r="V74" s="219"/>
      <c r="W74" s="219"/>
      <c r="X74" s="219"/>
    </row>
    <row r="75" spans="1:29">
      <c r="A75" s="305" t="s">
        <v>168</v>
      </c>
      <c r="B75" s="306"/>
      <c r="C75" s="309" t="s">
        <v>199</v>
      </c>
      <c r="D75" s="347"/>
      <c r="E75" s="347"/>
      <c r="F75" s="347"/>
      <c r="G75" s="334" t="s">
        <v>182</v>
      </c>
      <c r="H75" s="309"/>
      <c r="I75" s="313" t="s">
        <v>177</v>
      </c>
      <c r="L75" s="419"/>
      <c r="M75" s="419"/>
      <c r="R75" s="375"/>
      <c r="V75" s="219"/>
      <c r="W75" s="219"/>
      <c r="X75" s="219"/>
    </row>
    <row r="76" spans="1:29">
      <c r="A76" s="348" t="s">
        <v>169</v>
      </c>
      <c r="B76" s="306"/>
      <c r="C76" s="321" t="s">
        <v>603</v>
      </c>
      <c r="D76" s="347"/>
      <c r="E76" s="349" t="s">
        <v>183</v>
      </c>
      <c r="F76" s="347"/>
      <c r="G76" s="350" t="s">
        <v>603</v>
      </c>
      <c r="H76" s="309"/>
      <c r="I76" s="321" t="s">
        <v>183</v>
      </c>
      <c r="L76" s="419"/>
      <c r="M76" s="419"/>
      <c r="R76" s="375"/>
      <c r="V76" s="219"/>
      <c r="W76" s="219"/>
      <c r="X76" s="219"/>
    </row>
    <row r="77" spans="1:29">
      <c r="A77" s="322">
        <v>-1</v>
      </c>
      <c r="B77" s="306"/>
      <c r="C77" s="313" t="s">
        <v>178</v>
      </c>
      <c r="D77" s="347"/>
      <c r="E77" s="351">
        <f>+C77-1</f>
        <v>-3</v>
      </c>
      <c r="F77" s="347"/>
      <c r="G77" s="352">
        <f>+E77-1</f>
        <v>-4</v>
      </c>
      <c r="H77" s="347"/>
      <c r="I77" s="322">
        <f>+G77-1</f>
        <v>-5</v>
      </c>
      <c r="L77" s="419"/>
      <c r="M77" s="419"/>
      <c r="R77" s="375"/>
      <c r="V77" s="219"/>
      <c r="W77" s="219"/>
      <c r="X77" s="219"/>
    </row>
    <row r="78" spans="1:29">
      <c r="A78" s="306"/>
      <c r="B78" s="353"/>
      <c r="C78" s="306"/>
      <c r="D78" s="306"/>
      <c r="E78" s="358"/>
      <c r="F78" s="306"/>
      <c r="G78" s="332"/>
      <c r="H78" s="306"/>
      <c r="I78" s="306"/>
      <c r="L78" s="419"/>
      <c r="M78" s="419"/>
      <c r="R78" s="375"/>
      <c r="V78" s="219"/>
      <c r="W78" s="219"/>
      <c r="X78" s="219"/>
    </row>
    <row r="79" spans="1:29">
      <c r="A79" s="314" t="s">
        <v>195</v>
      </c>
      <c r="B79" s="353"/>
      <c r="C79" s="306"/>
      <c r="D79" s="306"/>
      <c r="E79" s="306"/>
      <c r="F79" s="306"/>
      <c r="G79" s="332"/>
      <c r="H79" s="306"/>
      <c r="I79" s="316"/>
      <c r="L79" s="419"/>
      <c r="M79" s="419"/>
      <c r="R79" s="375"/>
      <c r="V79" s="219"/>
      <c r="W79" s="219"/>
      <c r="X79" s="219"/>
    </row>
    <row r="80" spans="1:29">
      <c r="A80" s="306" t="s">
        <v>314</v>
      </c>
      <c r="B80" s="353"/>
      <c r="C80" s="332">
        <f>+T61-C102</f>
        <v>598337</v>
      </c>
      <c r="D80" s="306"/>
      <c r="E80" s="495">
        <v>1</v>
      </c>
      <c r="F80" s="306"/>
      <c r="G80" s="355">
        <f t="shared" ref="G80:G81" si="11">+C80*E80</f>
        <v>598337</v>
      </c>
      <c r="H80" s="306"/>
      <c r="I80" s="366">
        <f>ROUND(+G80/$G$83,4)</f>
        <v>0.88039999999999996</v>
      </c>
      <c r="L80" s="419"/>
      <c r="M80" s="419"/>
      <c r="R80" s="375"/>
      <c r="V80" s="219"/>
      <c r="W80" s="219"/>
      <c r="X80" s="219"/>
    </row>
    <row r="81" spans="1:24">
      <c r="A81" s="306" t="s">
        <v>310</v>
      </c>
      <c r="B81" s="306"/>
      <c r="C81" s="343">
        <f>+T62</f>
        <v>69452</v>
      </c>
      <c r="D81" s="306"/>
      <c r="E81" s="495">
        <f>+T119</f>
        <v>1.17</v>
      </c>
      <c r="F81" s="306"/>
      <c r="G81" s="343">
        <f t="shared" si="11"/>
        <v>81258.84</v>
      </c>
      <c r="H81" s="306"/>
      <c r="I81" s="366">
        <f>ROUND(+G81/$G$83,4)</f>
        <v>0.1196</v>
      </c>
      <c r="L81" s="419"/>
      <c r="M81" s="419"/>
      <c r="R81" s="375"/>
      <c r="V81" s="219"/>
      <c r="W81" s="219"/>
      <c r="X81" s="219"/>
    </row>
    <row r="82" spans="1:24">
      <c r="A82" s="306"/>
      <c r="B82" s="353"/>
      <c r="C82" s="332"/>
      <c r="D82" s="36"/>
      <c r="E82" s="36"/>
      <c r="F82" s="36"/>
      <c r="G82" s="355"/>
      <c r="H82" s="306"/>
      <c r="I82" s="367"/>
      <c r="L82" s="419"/>
      <c r="M82" s="419"/>
      <c r="R82" s="375"/>
      <c r="V82" s="219"/>
      <c r="W82" s="219"/>
      <c r="X82" s="219"/>
    </row>
    <row r="83" spans="1:24" ht="15.75" thickBot="1">
      <c r="A83" s="306" t="s">
        <v>173</v>
      </c>
      <c r="B83" s="306"/>
      <c r="C83" s="356">
        <f>SUM(C80:C81)</f>
        <v>667789</v>
      </c>
      <c r="D83" s="36"/>
      <c r="E83" s="36"/>
      <c r="F83" s="36"/>
      <c r="G83" s="356">
        <f>SUM(G80:G81)</f>
        <v>679595.84</v>
      </c>
      <c r="H83" s="306"/>
      <c r="I83" s="368">
        <f>SUM(I80:I81)</f>
        <v>1</v>
      </c>
      <c r="L83" s="419"/>
      <c r="M83" s="419"/>
      <c r="R83" s="375"/>
      <c r="V83" s="219"/>
      <c r="W83" s="219"/>
      <c r="X83" s="219"/>
    </row>
    <row r="84" spans="1:24" ht="15.75" thickTop="1">
      <c r="A84" s="306"/>
      <c r="B84" s="306"/>
      <c r="C84" s="359"/>
      <c r="D84" s="36"/>
      <c r="E84" s="36"/>
      <c r="F84" s="36"/>
      <c r="G84" s="359"/>
      <c r="H84" s="306"/>
      <c r="I84" s="325"/>
      <c r="N84" s="231"/>
      <c r="P84" s="472"/>
      <c r="R84" s="223"/>
    </row>
    <row r="85" spans="1:24" ht="14.1" customHeight="1">
      <c r="E85" s="36"/>
      <c r="N85" s="473"/>
      <c r="O85" s="168"/>
      <c r="P85" s="168"/>
      <c r="Q85" s="168"/>
      <c r="R85" s="230"/>
      <c r="S85" s="18"/>
      <c r="T85" s="18"/>
      <c r="U85" s="18"/>
      <c r="V85" s="18"/>
    </row>
    <row r="86" spans="1:24">
      <c r="A86" s="1088" t="s">
        <v>826</v>
      </c>
      <c r="B86" s="1088"/>
      <c r="C86" s="1088"/>
      <c r="D86" s="1088"/>
      <c r="E86" s="1088"/>
      <c r="F86" s="1088"/>
      <c r="G86" s="1088"/>
      <c r="H86" s="1088"/>
      <c r="I86" s="1088"/>
      <c r="J86" s="1088"/>
      <c r="N86" s="416"/>
    </row>
    <row r="87" spans="1:24">
      <c r="A87" s="305"/>
      <c r="B87" s="305"/>
      <c r="C87" s="305"/>
      <c r="D87" s="305"/>
      <c r="E87" s="305"/>
      <c r="F87" s="305"/>
      <c r="G87" s="344"/>
      <c r="H87" s="305"/>
      <c r="I87" s="305"/>
      <c r="J87" s="248"/>
    </row>
    <row r="88" spans="1:24">
      <c r="A88" s="1089" t="s">
        <v>167</v>
      </c>
      <c r="B88" s="1089"/>
      <c r="C88" s="1089"/>
      <c r="D88" s="1089"/>
      <c r="E88" s="1089"/>
      <c r="F88" s="1089"/>
      <c r="G88" s="1089"/>
      <c r="H88" s="1089"/>
      <c r="I88" s="1089"/>
      <c r="J88" s="1089"/>
    </row>
    <row r="89" spans="1:24">
      <c r="A89" s="306"/>
      <c r="B89" s="306"/>
      <c r="C89" s="306"/>
      <c r="D89" s="306"/>
      <c r="E89" s="306"/>
      <c r="F89" s="306"/>
      <c r="G89" s="332"/>
      <c r="H89" s="306"/>
      <c r="I89" s="306"/>
    </row>
    <row r="90" spans="1:24" ht="7.15" customHeight="1">
      <c r="A90" s="306"/>
      <c r="B90" s="306"/>
      <c r="C90" s="306"/>
      <c r="D90" s="306"/>
      <c r="E90" s="306"/>
      <c r="F90" s="306"/>
      <c r="G90" s="332"/>
      <c r="H90" s="306"/>
      <c r="I90" s="306"/>
      <c r="N90" s="173"/>
      <c r="O90" s="168"/>
      <c r="P90" s="168"/>
      <c r="Q90" s="168"/>
      <c r="R90" s="230"/>
      <c r="S90" s="18"/>
      <c r="T90" s="18"/>
      <c r="U90" s="18"/>
      <c r="V90" s="18"/>
    </row>
    <row r="91" spans="1:24" ht="13.9" customHeight="1">
      <c r="A91" s="307" t="s">
        <v>581</v>
      </c>
      <c r="B91" s="308"/>
      <c r="C91" s="308"/>
      <c r="D91" s="308"/>
      <c r="E91" s="308"/>
      <c r="F91" s="308"/>
      <c r="G91" s="346"/>
      <c r="H91" s="308"/>
      <c r="I91" s="308"/>
      <c r="N91" s="173"/>
      <c r="O91" s="168"/>
      <c r="P91" s="168"/>
      <c r="Q91" s="168"/>
      <c r="R91" s="230"/>
      <c r="S91" s="18"/>
      <c r="T91" s="18"/>
      <c r="U91" s="18"/>
      <c r="V91" s="18"/>
    </row>
    <row r="92" spans="1:24" ht="13.15" customHeight="1">
      <c r="A92" s="307" t="s">
        <v>772</v>
      </c>
      <c r="B92" s="308"/>
      <c r="C92" s="308"/>
      <c r="D92" s="308"/>
      <c r="E92" s="308"/>
      <c r="F92" s="308"/>
      <c r="G92" s="346"/>
      <c r="H92" s="308"/>
      <c r="I92" s="308"/>
      <c r="N92" s="173"/>
      <c r="O92" s="168"/>
      <c r="P92" s="168"/>
      <c r="Q92" s="168"/>
      <c r="R92" s="230"/>
      <c r="S92" s="18"/>
      <c r="T92" s="18"/>
      <c r="U92" s="18"/>
      <c r="V92" s="18"/>
    </row>
    <row r="93" spans="1:24">
      <c r="A93" s="335"/>
      <c r="B93" s="306"/>
      <c r="C93" s="306"/>
      <c r="D93" s="306"/>
      <c r="E93" s="306"/>
      <c r="F93" s="306"/>
      <c r="G93" s="332"/>
      <c r="H93" s="306"/>
      <c r="I93" s="306"/>
      <c r="N93" s="173"/>
      <c r="O93" s="168"/>
      <c r="P93" s="168"/>
      <c r="Q93" s="168"/>
      <c r="R93" s="230"/>
      <c r="S93" s="18"/>
      <c r="T93" s="18"/>
      <c r="U93" s="18"/>
      <c r="V93" s="18"/>
    </row>
    <row r="94" spans="1:24" ht="29.45" customHeight="1">
      <c r="A94" s="1094" t="s">
        <v>785</v>
      </c>
      <c r="B94" s="1095"/>
      <c r="C94" s="1095"/>
      <c r="D94" s="1095"/>
      <c r="E94" s="1095"/>
      <c r="F94" s="1095"/>
      <c r="G94" s="1095"/>
      <c r="H94" s="1095"/>
      <c r="I94" s="1095"/>
      <c r="N94" s="173"/>
      <c r="O94" s="168"/>
      <c r="P94" s="168"/>
      <c r="Q94" s="168"/>
      <c r="R94" s="230"/>
      <c r="S94" s="18"/>
      <c r="T94" s="18"/>
      <c r="U94" s="18"/>
      <c r="V94" s="18"/>
    </row>
    <row r="95" spans="1:24">
      <c r="A95" s="306"/>
      <c r="B95" s="306"/>
      <c r="C95" s="306"/>
      <c r="D95" s="306"/>
      <c r="E95" s="306"/>
      <c r="F95" s="306"/>
      <c r="G95" s="332"/>
      <c r="H95" s="306"/>
      <c r="I95" s="306"/>
      <c r="N95" s="173"/>
      <c r="O95" s="168"/>
      <c r="P95" s="168"/>
      <c r="Q95" s="168"/>
      <c r="R95" s="230"/>
      <c r="S95" s="18"/>
      <c r="T95" s="18"/>
      <c r="U95" s="18"/>
      <c r="V95" s="18"/>
    </row>
    <row r="96" spans="1:24">
      <c r="A96" s="306"/>
      <c r="B96" s="306"/>
      <c r="C96" s="332"/>
      <c r="D96" s="306"/>
      <c r="E96" s="306"/>
      <c r="F96" s="306"/>
      <c r="G96" s="332"/>
      <c r="H96" s="306"/>
      <c r="I96" s="306"/>
      <c r="N96" s="173"/>
      <c r="O96" s="168"/>
      <c r="P96" s="168"/>
      <c r="Q96" s="168"/>
      <c r="R96" s="230"/>
      <c r="S96" s="18"/>
      <c r="T96" s="18"/>
      <c r="U96" s="18"/>
      <c r="V96" s="18"/>
    </row>
    <row r="97" spans="1:22">
      <c r="A97" s="305" t="s">
        <v>168</v>
      </c>
      <c r="B97" s="306"/>
      <c r="D97" s="428"/>
      <c r="E97" s="334" t="s">
        <v>784</v>
      </c>
      <c r="F97" s="347"/>
      <c r="G97" s="1"/>
      <c r="H97" s="309"/>
      <c r="I97" s="313" t="s">
        <v>177</v>
      </c>
      <c r="N97" s="173"/>
      <c r="O97" s="168"/>
      <c r="P97" s="168"/>
      <c r="Q97" s="168"/>
      <c r="R97" s="230"/>
      <c r="S97" s="18"/>
      <c r="T97" s="18"/>
      <c r="U97" s="18"/>
      <c r="V97" s="18"/>
    </row>
    <row r="98" spans="1:22">
      <c r="A98" s="348" t="s">
        <v>169</v>
      </c>
      <c r="B98" s="306"/>
      <c r="D98" s="428"/>
      <c r="E98" s="350" t="s">
        <v>566</v>
      </c>
      <c r="F98" s="347"/>
      <c r="G98" s="1"/>
      <c r="H98" s="309"/>
      <c r="I98" s="321" t="s">
        <v>183</v>
      </c>
      <c r="N98" s="168"/>
      <c r="O98" s="18"/>
      <c r="P98" s="18"/>
      <c r="Q98" s="18"/>
      <c r="R98" s="18"/>
      <c r="S98" s="18"/>
      <c r="T98" s="18"/>
      <c r="U98" s="18"/>
      <c r="V98" s="18"/>
    </row>
    <row r="99" spans="1:22">
      <c r="A99" s="322">
        <v>-1</v>
      </c>
      <c r="B99" s="306"/>
      <c r="D99" s="347"/>
      <c r="E99" s="352">
        <f>+A99-1</f>
        <v>-2</v>
      </c>
      <c r="F99" s="347"/>
      <c r="G99" s="1"/>
      <c r="H99" s="347"/>
      <c r="I99" s="322">
        <f>+E99-1</f>
        <v>-3</v>
      </c>
      <c r="N99" s="168"/>
      <c r="O99" s="18"/>
      <c r="P99" s="18"/>
      <c r="Q99" s="18"/>
      <c r="R99" s="18"/>
      <c r="S99" s="18"/>
      <c r="T99" s="18"/>
      <c r="U99" s="18"/>
      <c r="V99" s="18"/>
    </row>
    <row r="100" spans="1:22">
      <c r="A100" s="306"/>
      <c r="B100" s="353"/>
      <c r="D100" s="306"/>
      <c r="E100" s="332"/>
      <c r="F100" s="306"/>
      <c r="G100" s="1"/>
      <c r="H100" s="306"/>
      <c r="I100" s="306"/>
    </row>
    <row r="101" spans="1:22">
      <c r="A101" s="314" t="s">
        <v>249</v>
      </c>
      <c r="B101" s="353"/>
      <c r="D101" s="306"/>
      <c r="E101" s="332"/>
      <c r="F101" s="306"/>
      <c r="G101" s="1"/>
      <c r="H101" s="306"/>
      <c r="I101" s="366"/>
    </row>
    <row r="102" spans="1:22">
      <c r="A102" s="306" t="s">
        <v>311</v>
      </c>
      <c r="B102" s="353"/>
      <c r="D102" s="306"/>
      <c r="E102" s="354">
        <f>+G63</f>
        <v>11795135.207410725</v>
      </c>
      <c r="F102" s="306"/>
      <c r="G102" s="1"/>
      <c r="H102" s="306"/>
      <c r="I102" s="418">
        <f>ROUND(+E102/$E$106,4)</f>
        <v>0.49309999999999998</v>
      </c>
      <c r="J102" s="419"/>
      <c r="K102" s="419"/>
      <c r="L102" s="419"/>
      <c r="M102" s="419"/>
      <c r="N102" s="427">
        <f>+N63</f>
        <v>1510</v>
      </c>
      <c r="P102" s="472">
        <f>+E102/N102</f>
        <v>7811.3478194773015</v>
      </c>
    </row>
    <row r="103" spans="1:22">
      <c r="A103" s="306" t="s">
        <v>312</v>
      </c>
      <c r="B103" s="353"/>
      <c r="D103" s="317"/>
      <c r="E103" s="355">
        <f>+G64</f>
        <v>6834074.5960345007</v>
      </c>
      <c r="F103" s="317"/>
      <c r="G103" s="1"/>
      <c r="H103" s="317"/>
      <c r="I103" s="418">
        <f>ROUND(+E103/$E$106,4)</f>
        <v>0.28570000000000001</v>
      </c>
      <c r="J103" s="419"/>
      <c r="K103" s="419"/>
      <c r="L103" s="419"/>
      <c r="M103" s="419"/>
      <c r="N103" s="427">
        <f>+N64</f>
        <v>508</v>
      </c>
      <c r="P103" s="472">
        <f>+E103/N103</f>
        <v>13452.90274809941</v>
      </c>
      <c r="R103" s="375"/>
    </row>
    <row r="104" spans="1:22">
      <c r="A104" s="306" t="s">
        <v>555</v>
      </c>
      <c r="B104" s="353"/>
      <c r="D104" s="317"/>
      <c r="E104" s="355">
        <f>+G65</f>
        <v>1294701.0222907162</v>
      </c>
      <c r="F104" s="501"/>
      <c r="G104" s="219"/>
      <c r="H104" s="317"/>
      <c r="I104" s="418">
        <f>ROUND(+E104/$E$106,4)</f>
        <v>5.4100000000000002E-2</v>
      </c>
      <c r="J104" s="419"/>
      <c r="K104" s="419"/>
      <c r="L104" s="419"/>
      <c r="M104" s="419"/>
      <c r="N104" s="427">
        <f>+N65</f>
        <v>54</v>
      </c>
      <c r="P104" s="472">
        <f t="shared" ref="P104:P105" si="12">+E104/N104</f>
        <v>23975.944857235485</v>
      </c>
      <c r="R104" s="375"/>
    </row>
    <row r="105" spans="1:22">
      <c r="A105" s="306" t="s">
        <v>414</v>
      </c>
      <c r="B105" s="353"/>
      <c r="D105" s="317"/>
      <c r="E105" s="355">
        <f>+G66</f>
        <v>3995811.6345948814</v>
      </c>
      <c r="F105" s="317"/>
      <c r="G105" s="1"/>
      <c r="H105" s="317"/>
      <c r="I105" s="418">
        <f>ROUND(+E105/$E$106,4)</f>
        <v>0.1671</v>
      </c>
      <c r="J105" s="419"/>
      <c r="K105" s="419"/>
      <c r="L105" s="419"/>
      <c r="M105" s="419"/>
      <c r="N105" s="427">
        <f>+N66</f>
        <v>374</v>
      </c>
      <c r="P105" s="472">
        <f t="shared" si="12"/>
        <v>10683.988327793801</v>
      </c>
      <c r="R105" s="472"/>
    </row>
    <row r="106" spans="1:22" ht="22.9" customHeight="1" thickBot="1">
      <c r="A106" s="306" t="s">
        <v>173</v>
      </c>
      <c r="B106" s="306"/>
      <c r="D106" s="306"/>
      <c r="E106" s="429">
        <f>SUM(E102:E105)</f>
        <v>23919722.460330825</v>
      </c>
      <c r="F106" s="306"/>
      <c r="G106" s="1"/>
      <c r="H106" s="306"/>
      <c r="I106" s="420">
        <f>SUM(I102:I105)</f>
        <v>1</v>
      </c>
      <c r="J106" s="419"/>
      <c r="K106" s="419"/>
      <c r="L106" s="419"/>
      <c r="M106" s="419"/>
      <c r="N106" s="427"/>
      <c r="R106" s="366"/>
    </row>
    <row r="107" spans="1:22" ht="15.75" thickTop="1">
      <c r="A107" s="306"/>
      <c r="B107" s="306"/>
      <c r="D107" s="306"/>
      <c r="E107" s="332"/>
      <c r="F107" s="306"/>
      <c r="G107" s="1"/>
      <c r="H107" s="306"/>
      <c r="I107" s="36"/>
      <c r="R107" s="366"/>
    </row>
    <row r="108" spans="1:22">
      <c r="A108" s="306"/>
      <c r="B108" s="306"/>
      <c r="C108" s="306"/>
      <c r="D108" s="306"/>
      <c r="E108" s="306"/>
      <c r="F108" s="306"/>
      <c r="G108" s="332"/>
      <c r="H108" s="306"/>
      <c r="I108" s="36"/>
      <c r="R108" s="366"/>
    </row>
    <row r="109" spans="1:22">
      <c r="A109" s="345" t="s">
        <v>394</v>
      </c>
      <c r="B109" s="308"/>
      <c r="C109" s="308"/>
      <c r="D109" s="308"/>
      <c r="E109" s="308"/>
      <c r="F109" s="308"/>
      <c r="G109" s="346"/>
      <c r="H109" s="308"/>
      <c r="I109" s="308"/>
      <c r="R109" s="366"/>
    </row>
    <row r="110" spans="1:22">
      <c r="A110" s="307"/>
      <c r="B110" s="308"/>
      <c r="C110" s="308"/>
      <c r="D110" s="308"/>
      <c r="E110" s="308"/>
      <c r="F110" s="308"/>
      <c r="G110" s="346"/>
      <c r="H110" s="308"/>
      <c r="I110" s="308"/>
      <c r="R110" s="366"/>
    </row>
    <row r="111" spans="1:22" ht="28.15" customHeight="1">
      <c r="A111" s="1092" t="s">
        <v>567</v>
      </c>
      <c r="B111" s="1093"/>
      <c r="C111" s="1093"/>
      <c r="D111" s="1093"/>
      <c r="E111" s="1093"/>
      <c r="F111" s="1093"/>
      <c r="G111" s="1093"/>
      <c r="H111" s="1093"/>
      <c r="I111" s="1093"/>
      <c r="R111" s="366"/>
    </row>
    <row r="112" spans="1:22" ht="15.75" thickBot="1">
      <c r="A112" s="306"/>
      <c r="B112" s="306"/>
      <c r="C112" s="306"/>
      <c r="D112" s="306"/>
      <c r="E112" s="334" t="s">
        <v>211</v>
      </c>
      <c r="F112" s="306"/>
      <c r="G112" s="332"/>
      <c r="H112" s="306"/>
      <c r="I112" s="306"/>
      <c r="R112" s="368"/>
    </row>
    <row r="113" spans="1:20" ht="15.75" thickTop="1">
      <c r="A113" s="305" t="s">
        <v>168</v>
      </c>
      <c r="B113" s="306"/>
      <c r="D113" s="347"/>
      <c r="E113" s="1002" t="s">
        <v>786</v>
      </c>
      <c r="F113" s="347"/>
      <c r="H113" s="309"/>
      <c r="I113" s="313" t="s">
        <v>177</v>
      </c>
      <c r="N113" s="309" t="s">
        <v>199</v>
      </c>
    </row>
    <row r="114" spans="1:20">
      <c r="A114" s="348" t="s">
        <v>169</v>
      </c>
      <c r="B114" s="306"/>
      <c r="D114" s="347"/>
      <c r="E114" s="350" t="s">
        <v>831</v>
      </c>
      <c r="F114" s="347"/>
      <c r="H114" s="309"/>
      <c r="I114" s="321" t="s">
        <v>183</v>
      </c>
      <c r="N114" s="321" t="s">
        <v>321</v>
      </c>
    </row>
    <row r="115" spans="1:20">
      <c r="A115" s="322">
        <v>-1</v>
      </c>
      <c r="B115" s="306"/>
      <c r="D115" s="347"/>
      <c r="E115" s="313" t="s">
        <v>178</v>
      </c>
      <c r="F115" s="347"/>
      <c r="H115" s="347"/>
      <c r="I115" s="322">
        <f>+E115-1</f>
        <v>-3</v>
      </c>
      <c r="N115" s="313" t="s">
        <v>178</v>
      </c>
    </row>
    <row r="116" spans="1:20" ht="11.25" customHeight="1">
      <c r="A116" s="306"/>
      <c r="B116" s="353"/>
      <c r="D116" s="306"/>
      <c r="E116" s="421"/>
      <c r="F116" s="306"/>
      <c r="H116" s="306"/>
      <c r="I116" s="306"/>
      <c r="N116" s="306"/>
    </row>
    <row r="117" spans="1:20">
      <c r="A117" s="314" t="s">
        <v>249</v>
      </c>
      <c r="B117" s="353"/>
      <c r="D117" s="306"/>
      <c r="E117" s="421"/>
      <c r="F117" s="306"/>
      <c r="H117" s="306"/>
      <c r="I117" s="316"/>
      <c r="N117" s="306"/>
    </row>
    <row r="118" spans="1:20">
      <c r="A118" s="306" t="s">
        <v>314</v>
      </c>
      <c r="B118" s="353"/>
      <c r="D118" s="306"/>
      <c r="E118" s="422">
        <f>'[10]SDR-COS-6'!$B$27</f>
        <v>959395527.26679194</v>
      </c>
      <c r="F118" s="363"/>
      <c r="G118" s="417"/>
      <c r="H118" s="363"/>
      <c r="I118" s="418">
        <f>ROUND(+E118/$E$124,4)+0.0001</f>
        <v>0.87280000000000002</v>
      </c>
      <c r="J118" s="419"/>
      <c r="K118" s="419"/>
      <c r="L118" s="419"/>
      <c r="M118" s="419"/>
      <c r="N118" s="332">
        <f>+'Ft  1to4'!R86</f>
        <v>598337</v>
      </c>
      <c r="P118" s="422"/>
      <c r="R118" s="472">
        <f>+E118/N118</f>
        <v>1603.4367376023745</v>
      </c>
    </row>
    <row r="119" spans="1:20">
      <c r="A119" s="306" t="s">
        <v>310</v>
      </c>
      <c r="B119" s="306"/>
      <c r="D119" s="306"/>
      <c r="E119" s="423">
        <f>'[10]SDR-COS-6'!$C$27</f>
        <v>130187495.80499664</v>
      </c>
      <c r="F119" s="363"/>
      <c r="G119" s="417"/>
      <c r="H119" s="363"/>
      <c r="I119" s="418">
        <f t="shared" ref="I119:I123" si="13">ROUND(+E119/$E$124,4)</f>
        <v>0.11840000000000001</v>
      </c>
      <c r="J119" s="419"/>
      <c r="K119" s="419"/>
      <c r="L119" s="419"/>
      <c r="M119" s="419"/>
      <c r="N119" s="332">
        <f>+'Ft  1to4'!R87</f>
        <v>69452</v>
      </c>
      <c r="P119" s="423"/>
      <c r="R119" s="472">
        <f t="shared" ref="R119:R123" si="14">+E119/N119</f>
        <v>1874.495994427758</v>
      </c>
      <c r="T119" s="472">
        <f>ROUND(+R119/R118,2)</f>
        <v>1.17</v>
      </c>
    </row>
    <row r="120" spans="1:20">
      <c r="A120" s="306" t="s">
        <v>311</v>
      </c>
      <c r="B120" s="353"/>
      <c r="D120" s="306"/>
      <c r="E120" s="423">
        <f>'[10]SDR-COS-6'!$D$27</f>
        <v>5163641.2876964444</v>
      </c>
      <c r="F120" s="363"/>
      <c r="G120" s="417"/>
      <c r="H120" s="363"/>
      <c r="I120" s="418">
        <f t="shared" si="13"/>
        <v>4.7000000000000002E-3</v>
      </c>
      <c r="J120" s="419"/>
      <c r="K120" s="419"/>
      <c r="L120" s="419"/>
      <c r="M120" s="419"/>
      <c r="N120" s="332">
        <f>+'Ft  1to4'!R88</f>
        <v>1510</v>
      </c>
      <c r="P120" s="423"/>
      <c r="R120" s="472">
        <f t="shared" si="14"/>
        <v>3419.6299918519499</v>
      </c>
      <c r="T120" s="472">
        <f>ROUND(+R120/R118,2)</f>
        <v>2.13</v>
      </c>
    </row>
    <row r="121" spans="1:20">
      <c r="A121" s="306" t="s">
        <v>312</v>
      </c>
      <c r="B121" s="353"/>
      <c r="D121" s="306"/>
      <c r="E121" s="423">
        <f>'[10]SDR-COS-6'!$E$27</f>
        <v>2571816.6948096491</v>
      </c>
      <c r="F121" s="363"/>
      <c r="G121" s="417"/>
      <c r="H121" s="363"/>
      <c r="I121" s="418">
        <f t="shared" si="13"/>
        <v>2.3E-3</v>
      </c>
      <c r="J121" s="419"/>
      <c r="K121" s="419"/>
      <c r="L121" s="419"/>
      <c r="M121" s="419"/>
      <c r="N121" s="332">
        <f>+'Ft  1to4'!R89</f>
        <v>508</v>
      </c>
      <c r="P121" s="423"/>
      <c r="R121" s="472">
        <f t="shared" si="14"/>
        <v>5062.6312889953724</v>
      </c>
    </row>
    <row r="122" spans="1:20">
      <c r="A122" s="306" t="s">
        <v>555</v>
      </c>
      <c r="B122" s="353"/>
      <c r="D122" s="306"/>
      <c r="E122" s="423">
        <f>'[10]SDR-COS-6'!$G$27</f>
        <v>342484.97358226677</v>
      </c>
      <c r="F122" s="363"/>
      <c r="G122" s="417"/>
      <c r="H122" s="363"/>
      <c r="I122" s="418">
        <f t="shared" si="13"/>
        <v>2.9999999999999997E-4</v>
      </c>
      <c r="J122" s="419"/>
      <c r="K122" s="419"/>
      <c r="L122" s="419"/>
      <c r="M122" s="419"/>
      <c r="N122" s="332">
        <f>+'Ft  1to4'!R90</f>
        <v>54</v>
      </c>
      <c r="P122" s="424"/>
      <c r="R122" s="472">
        <f t="shared" si="14"/>
        <v>6342.3143255975328</v>
      </c>
    </row>
    <row r="123" spans="1:20">
      <c r="A123" s="306" t="s">
        <v>414</v>
      </c>
      <c r="B123" s="353"/>
      <c r="D123" s="363"/>
      <c r="E123" s="423">
        <f>'[10]SDR-COS-6'!$F$27</f>
        <v>1624055.1221229131</v>
      </c>
      <c r="F123" s="363"/>
      <c r="G123" s="417"/>
      <c r="H123" s="363"/>
      <c r="I123" s="418">
        <f t="shared" si="13"/>
        <v>1.5E-3</v>
      </c>
      <c r="J123" s="419"/>
      <c r="K123" s="419"/>
      <c r="L123" s="419"/>
      <c r="M123" s="419"/>
      <c r="N123" s="332">
        <f>+'Ft  1to4'!R91</f>
        <v>374</v>
      </c>
      <c r="P123" s="425"/>
      <c r="R123" s="472">
        <f t="shared" si="14"/>
        <v>4342.3933746601951</v>
      </c>
    </row>
    <row r="124" spans="1:20" ht="22.15" customHeight="1" thickBot="1">
      <c r="A124" s="306" t="s">
        <v>173</v>
      </c>
      <c r="B124" s="306"/>
      <c r="D124" s="306"/>
      <c r="E124" s="426">
        <f>SUM(E118:E123)</f>
        <v>1099285021.1499999</v>
      </c>
      <c r="F124" s="363"/>
      <c r="G124" s="417"/>
      <c r="H124" s="363"/>
      <c r="I124" s="420">
        <f>SUM(I118:I123)</f>
        <v>1</v>
      </c>
      <c r="J124" s="419"/>
      <c r="K124" s="419"/>
      <c r="L124" s="419"/>
      <c r="M124" s="419"/>
      <c r="N124" s="360">
        <f>SUM(N118:N123)</f>
        <v>670235</v>
      </c>
      <c r="O124" s="360">
        <f t="shared" ref="O124:P124" si="15">SUM(O118:O123)</f>
        <v>0</v>
      </c>
      <c r="P124" s="360"/>
    </row>
    <row r="125" spans="1:20" ht="15.75" thickTop="1">
      <c r="A125" s="306"/>
      <c r="B125" s="306"/>
      <c r="C125" s="306"/>
      <c r="D125" s="306"/>
      <c r="E125" s="421"/>
      <c r="F125" s="363"/>
      <c r="G125" s="417"/>
      <c r="H125" s="363"/>
      <c r="I125" s="419"/>
      <c r="J125" s="419"/>
      <c r="K125" s="484">
        <f>+N120+N121+N123</f>
        <v>2392</v>
      </c>
      <c r="L125" s="419"/>
      <c r="M125" s="419"/>
      <c r="N125" s="513"/>
    </row>
    <row r="126" spans="1:20">
      <c r="A126" s="306"/>
      <c r="B126" s="306"/>
      <c r="C126" s="306"/>
      <c r="D126" s="306"/>
      <c r="E126" s="306"/>
      <c r="F126" s="306"/>
      <c r="G126" s="332"/>
      <c r="H126" s="306"/>
      <c r="I126" s="36"/>
      <c r="N126" s="416"/>
      <c r="P126" s="494"/>
      <c r="R126" s="494">
        <f>+P120-P126</f>
        <v>0</v>
      </c>
    </row>
    <row r="127" spans="1:20">
      <c r="A127" s="306"/>
      <c r="B127" s="306"/>
      <c r="C127" s="306"/>
      <c r="D127" s="306"/>
      <c r="E127" s="306"/>
      <c r="F127" s="306"/>
      <c r="G127" s="332"/>
      <c r="H127" s="306"/>
      <c r="I127" s="306"/>
      <c r="P127" s="375"/>
    </row>
    <row r="128" spans="1:20">
      <c r="A128" s="306"/>
      <c r="B128" s="306"/>
      <c r="C128" s="306"/>
      <c r="D128" s="306"/>
      <c r="E128" s="306"/>
      <c r="F128" s="306"/>
      <c r="G128" s="332"/>
      <c r="H128" s="306"/>
      <c r="I128" s="306"/>
      <c r="P128" s="375"/>
      <c r="R128" s="375">
        <f>+R126*N121/138</f>
        <v>0</v>
      </c>
    </row>
    <row r="129" spans="1:18">
      <c r="A129" s="306"/>
      <c r="B129" s="306"/>
      <c r="C129" s="306"/>
      <c r="D129" s="306"/>
      <c r="E129" s="306"/>
      <c r="F129" s="306"/>
      <c r="G129" s="332"/>
      <c r="H129" s="306"/>
      <c r="I129" s="306"/>
      <c r="P129" s="494"/>
      <c r="R129" s="494">
        <f>+R126*N123/138</f>
        <v>0</v>
      </c>
    </row>
    <row r="130" spans="1:18">
      <c r="G130" s="1"/>
    </row>
    <row r="131" spans="1:18">
      <c r="G131" s="1"/>
      <c r="P131" s="375"/>
      <c r="Q131" s="375"/>
      <c r="R131" s="375">
        <f t="shared" ref="R131" si="16">SUM(R127:R129)</f>
        <v>0</v>
      </c>
    </row>
    <row r="132" spans="1:18">
      <c r="G132" s="1"/>
    </row>
    <row r="133" spans="1:18">
      <c r="G133" s="1"/>
    </row>
    <row r="134" spans="1:18">
      <c r="G134" s="1"/>
    </row>
    <row r="135" spans="1:18">
      <c r="G135" s="1"/>
    </row>
    <row r="136" spans="1:18">
      <c r="G136" s="1"/>
    </row>
    <row r="137" spans="1:18">
      <c r="G137" s="1"/>
    </row>
    <row r="138" spans="1:18">
      <c r="G138" s="1"/>
    </row>
    <row r="139" spans="1:18">
      <c r="G139" s="1"/>
    </row>
    <row r="140" spans="1:18">
      <c r="G140" s="1"/>
    </row>
    <row r="141" spans="1:18">
      <c r="G141" s="1"/>
    </row>
    <row r="142" spans="1:18">
      <c r="G142" s="1"/>
    </row>
    <row r="143" spans="1:18">
      <c r="G143" s="1"/>
    </row>
    <row r="144" spans="1:18">
      <c r="D144" s="36"/>
      <c r="E144" s="36"/>
      <c r="F144" s="36"/>
      <c r="I144" s="306"/>
    </row>
  </sheetData>
  <mergeCells count="10">
    <mergeCell ref="A1:K1"/>
    <mergeCell ref="A3:K3"/>
    <mergeCell ref="A53:I53"/>
    <mergeCell ref="A73:I73"/>
    <mergeCell ref="A111:I111"/>
    <mergeCell ref="A94:I94"/>
    <mergeCell ref="A46:J46"/>
    <mergeCell ref="A48:J48"/>
    <mergeCell ref="A86:J86"/>
    <mergeCell ref="A88:J88"/>
  </mergeCells>
  <phoneticPr fontId="9" type="noConversion"/>
  <printOptions horizontalCentered="1"/>
  <pageMargins left="0.9" right="0.4" top="1" bottom="0.45" header="0" footer="0"/>
  <pageSetup scale="95" orientation="portrait" r:id="rId1"/>
  <headerFooter alignWithMargins="0"/>
  <rowBreaks count="2" manualBreakCount="2">
    <brk id="45" max="9" man="1"/>
    <brk id="8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6"/>
  <sheetViews>
    <sheetView workbookViewId="0">
      <selection sqref="A1:N1"/>
    </sheetView>
  </sheetViews>
  <sheetFormatPr defaultColWidth="8.88671875" defaultRowHeight="12.75"/>
  <cols>
    <col min="1" max="1" width="13.44140625" style="177" customWidth="1"/>
    <col min="2" max="2" width="0.88671875" style="177" customWidth="1"/>
    <col min="3" max="3" width="1.6640625" style="177" customWidth="1"/>
    <col min="4" max="4" width="7.21875" style="177" bestFit="1" customWidth="1"/>
    <col min="5" max="5" width="1" style="177" customWidth="1"/>
    <col min="6" max="6" width="7.44140625" style="177" customWidth="1"/>
    <col min="7" max="7" width="1.109375" style="177" customWidth="1"/>
    <col min="8" max="8" width="7.5546875" style="177" customWidth="1"/>
    <col min="9" max="9" width="2.21875" style="177" customWidth="1"/>
    <col min="10" max="10" width="7.44140625" style="177" customWidth="1"/>
    <col min="11" max="11" width="1" style="177" customWidth="1"/>
    <col min="12" max="12" width="7.44140625" style="177" customWidth="1"/>
    <col min="13" max="13" width="1.44140625" style="177" customWidth="1"/>
    <col min="14" max="14" width="7.88671875" style="177" customWidth="1"/>
    <col min="15" max="16384" width="8.88671875" style="177"/>
  </cols>
  <sheetData>
    <row r="1" spans="1:21" s="176" customFormat="1" ht="15">
      <c r="A1" s="1091" t="s">
        <v>826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21" s="176" customForma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Q2" s="957"/>
      <c r="R2" s="957"/>
      <c r="U2" s="11" t="s">
        <v>835</v>
      </c>
    </row>
    <row r="3" spans="1:21" s="176" customFormat="1" ht="14.25">
      <c r="A3" s="1089" t="s">
        <v>167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Q3" s="957"/>
      <c r="R3" s="957">
        <v>0</v>
      </c>
    </row>
    <row r="4" spans="1:21" s="176" customFormat="1" ht="13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Q4" s="957"/>
      <c r="R4" s="957"/>
    </row>
    <row r="6" spans="1:21" ht="15">
      <c r="A6" s="32" t="s">
        <v>387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1" ht="15">
      <c r="A8" s="4" t="s">
        <v>432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1" ht="15">
      <c r="A9" s="4" t="s">
        <v>438</v>
      </c>
      <c r="B9" s="6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2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21">
      <c r="A11" s="4"/>
      <c r="B11" s="4"/>
      <c r="C11" s="4"/>
      <c r="I11" s="4"/>
      <c r="J11" s="2" t="s">
        <v>185</v>
      </c>
      <c r="K11" s="2"/>
      <c r="L11" s="2"/>
      <c r="M11" s="4"/>
      <c r="N11" s="4"/>
    </row>
    <row r="12" spans="1:21">
      <c r="A12" s="4"/>
      <c r="B12" s="4"/>
      <c r="C12" s="4"/>
      <c r="D12" s="1096" t="s">
        <v>421</v>
      </c>
      <c r="E12" s="1096"/>
      <c r="F12" s="1096"/>
      <c r="G12" s="1096"/>
      <c r="H12" s="1096"/>
      <c r="I12" s="4"/>
      <c r="J12" s="2" t="s">
        <v>186</v>
      </c>
      <c r="K12" s="2"/>
      <c r="L12" s="2"/>
      <c r="M12" s="4"/>
      <c r="N12" s="4"/>
    </row>
    <row r="13" spans="1:21">
      <c r="A13" s="2" t="s">
        <v>168</v>
      </c>
      <c r="B13" s="4"/>
      <c r="C13" s="4"/>
      <c r="D13" s="7" t="s">
        <v>180</v>
      </c>
      <c r="E13" s="179"/>
      <c r="F13" s="33" t="s">
        <v>177</v>
      </c>
      <c r="G13" s="140"/>
      <c r="H13" s="33" t="s">
        <v>182</v>
      </c>
      <c r="I13" s="4"/>
      <c r="J13" s="9" t="s">
        <v>177</v>
      </c>
      <c r="K13" s="14"/>
      <c r="L13" s="9" t="s">
        <v>182</v>
      </c>
      <c r="M13" s="4"/>
      <c r="N13" s="7" t="s">
        <v>177</v>
      </c>
    </row>
    <row r="14" spans="1:21">
      <c r="A14" s="2" t="s">
        <v>169</v>
      </c>
      <c r="B14" s="4"/>
      <c r="C14" s="4"/>
      <c r="D14" s="166" t="s">
        <v>181</v>
      </c>
      <c r="F14" s="7" t="s">
        <v>183</v>
      </c>
      <c r="G14" s="502"/>
      <c r="H14" s="1069" t="s">
        <v>183</v>
      </c>
      <c r="I14" s="502"/>
      <c r="J14" s="1069" t="s">
        <v>559</v>
      </c>
      <c r="K14" s="502"/>
      <c r="L14" s="1069" t="s">
        <v>183</v>
      </c>
      <c r="M14" s="4"/>
      <c r="N14" s="7" t="s">
        <v>344</v>
      </c>
    </row>
    <row r="15" spans="1:21">
      <c r="A15" s="8" t="s">
        <v>170</v>
      </c>
      <c r="B15" s="4"/>
      <c r="C15" s="4"/>
      <c r="D15" s="9" t="s">
        <v>178</v>
      </c>
      <c r="F15" s="382">
        <v>-3</v>
      </c>
      <c r="G15" s="502"/>
      <c r="H15" s="1058" t="s">
        <v>445</v>
      </c>
      <c r="I15" s="502"/>
      <c r="J15" s="1070">
        <v>-5</v>
      </c>
      <c r="K15" s="502"/>
      <c r="L15" s="1058" t="s">
        <v>446</v>
      </c>
      <c r="M15" s="4"/>
      <c r="N15" s="382">
        <v>-7</v>
      </c>
    </row>
    <row r="16" spans="1:21">
      <c r="A16" s="4"/>
      <c r="B16" s="4"/>
      <c r="C16" s="4"/>
      <c r="D16" s="179"/>
      <c r="F16" s="4"/>
      <c r="G16" s="502"/>
      <c r="H16" s="1071">
        <f>+'Ft  1to4'!T42</f>
        <v>0.39589999999999997</v>
      </c>
      <c r="I16" s="1071"/>
      <c r="J16" s="1071"/>
      <c r="K16" s="1071"/>
      <c r="L16" s="1071">
        <f>1-H16</f>
        <v>0.60410000000000008</v>
      </c>
      <c r="M16" s="4"/>
      <c r="N16" s="4"/>
    </row>
    <row r="17" spans="1:14">
      <c r="A17" s="10" t="s">
        <v>248</v>
      </c>
      <c r="B17" s="4"/>
      <c r="C17" s="4"/>
      <c r="F17" s="4"/>
      <c r="G17" s="502"/>
      <c r="H17" s="502"/>
      <c r="I17" s="502"/>
      <c r="J17" s="502"/>
      <c r="K17" s="502"/>
      <c r="L17" s="502"/>
      <c r="M17" s="4"/>
      <c r="N17" s="4"/>
    </row>
    <row r="18" spans="1:14">
      <c r="A18" s="4" t="s">
        <v>314</v>
      </c>
      <c r="B18" s="4"/>
      <c r="C18" s="4"/>
      <c r="D18" s="372">
        <f>+'Ft  1to4'!R19</f>
        <v>138446</v>
      </c>
      <c r="F18" s="297">
        <f>+ROUND(D18/$D$25,4)</f>
        <v>0.39119999999999999</v>
      </c>
      <c r="G18" s="1071"/>
      <c r="H18" s="1072">
        <f>ROUND(+F18*H$16,4)</f>
        <v>0.15490000000000001</v>
      </c>
      <c r="I18" s="1071"/>
      <c r="J18" s="1072">
        <f>+'Ftr 3 &amp; 6'!K39</f>
        <v>0.5353</v>
      </c>
      <c r="K18" s="1071"/>
      <c r="L18" s="1072">
        <f>ROUND(+J18*L$16,4)</f>
        <v>0.32340000000000002</v>
      </c>
      <c r="M18" s="12"/>
      <c r="N18" s="297">
        <f t="shared" ref="N18:N23" si="0">L18+H18</f>
        <v>0.47830000000000006</v>
      </c>
    </row>
    <row r="19" spans="1:14">
      <c r="A19" s="4" t="s">
        <v>310</v>
      </c>
      <c r="B19" s="4"/>
      <c r="C19" s="4"/>
      <c r="D19" s="372">
        <f>+'Ft  1to4'!R20</f>
        <v>85282</v>
      </c>
      <c r="E19" s="179"/>
      <c r="F19" s="297">
        <f t="shared" ref="F19:F23" si="1">+ROUND(D19/$D$25,4)</f>
        <v>0.24099999999999999</v>
      </c>
      <c r="G19" s="12"/>
      <c r="H19" s="297">
        <f t="shared" ref="H19:H23" si="2">ROUND(+F19*H$16,4)</f>
        <v>9.5399999999999999E-2</v>
      </c>
      <c r="I19" s="12"/>
      <c r="J19" s="297">
        <f>+'Ftr 3 &amp; 6'!K40</f>
        <v>0.33479999999999999</v>
      </c>
      <c r="K19" s="12"/>
      <c r="L19" s="297">
        <f t="shared" ref="L19:L23" si="3">ROUND(+J19*L$16,4)</f>
        <v>0.20230000000000001</v>
      </c>
      <c r="M19" s="12"/>
      <c r="N19" s="297">
        <f t="shared" si="0"/>
        <v>0.29770000000000002</v>
      </c>
    </row>
    <row r="20" spans="1:14">
      <c r="A20" s="4" t="s">
        <v>311</v>
      </c>
      <c r="B20" s="4"/>
      <c r="C20" s="4"/>
      <c r="D20" s="372">
        <f>+'Ft  1to4'!R21</f>
        <v>28500</v>
      </c>
      <c r="E20" s="179"/>
      <c r="F20" s="297">
        <f t="shared" si="1"/>
        <v>8.0500000000000002E-2</v>
      </c>
      <c r="G20" s="12"/>
      <c r="H20" s="297">
        <f t="shared" si="2"/>
        <v>3.1899999999999998E-2</v>
      </c>
      <c r="I20" s="12"/>
      <c r="J20" s="297">
        <f>+'Ftr 3 &amp; 6'!K41</f>
        <v>8.48E-2</v>
      </c>
      <c r="K20" s="12"/>
      <c r="L20" s="297">
        <f t="shared" si="3"/>
        <v>5.1200000000000002E-2</v>
      </c>
      <c r="M20" s="12"/>
      <c r="N20" s="297">
        <f t="shared" si="0"/>
        <v>8.3100000000000007E-2</v>
      </c>
    </row>
    <row r="21" spans="1:14">
      <c r="A21" s="4" t="s">
        <v>312</v>
      </c>
      <c r="B21" s="4"/>
      <c r="C21" s="4"/>
      <c r="D21" s="372">
        <f>+'Ft  1to4'!R22</f>
        <v>60891</v>
      </c>
      <c r="E21" s="179"/>
      <c r="F21" s="297">
        <f t="shared" si="1"/>
        <v>0.1721</v>
      </c>
      <c r="G21" s="12"/>
      <c r="H21" s="297">
        <f t="shared" si="2"/>
        <v>6.8099999999999994E-2</v>
      </c>
      <c r="I21" s="12"/>
      <c r="J21" s="297">
        <f>+'Ftr 3 &amp; 6'!K42</f>
        <v>4.5100000000000001E-2</v>
      </c>
      <c r="K21" s="12"/>
      <c r="L21" s="297">
        <f t="shared" ref="L21" si="4">ROUND(+J21*L$16,4)</f>
        <v>2.7199999999999998E-2</v>
      </c>
      <c r="M21" s="12"/>
      <c r="N21" s="297">
        <f t="shared" si="0"/>
        <v>9.5299999999999996E-2</v>
      </c>
    </row>
    <row r="22" spans="1:14" s="179" customFormat="1">
      <c r="A22" s="140" t="s">
        <v>555</v>
      </c>
      <c r="B22" s="140"/>
      <c r="C22" s="140"/>
      <c r="D22" s="372"/>
      <c r="F22" s="297">
        <f t="shared" si="1"/>
        <v>0</v>
      </c>
      <c r="G22" s="131"/>
      <c r="H22" s="297">
        <f t="shared" si="2"/>
        <v>0</v>
      </c>
      <c r="I22" s="131"/>
      <c r="J22" s="297">
        <v>0</v>
      </c>
      <c r="K22" s="131"/>
      <c r="L22" s="297">
        <f t="shared" si="3"/>
        <v>0</v>
      </c>
      <c r="M22" s="131"/>
      <c r="N22" s="297">
        <f t="shared" si="0"/>
        <v>0</v>
      </c>
    </row>
    <row r="23" spans="1:14">
      <c r="A23" s="4" t="s">
        <v>414</v>
      </c>
      <c r="B23" s="4"/>
      <c r="C23" s="4"/>
      <c r="D23" s="373">
        <f>+'Ft  1to4'!Q49</f>
        <v>40770</v>
      </c>
      <c r="F23" s="362">
        <f t="shared" si="1"/>
        <v>0.1152</v>
      </c>
      <c r="G23" s="12"/>
      <c r="H23" s="362">
        <f t="shared" si="2"/>
        <v>4.5600000000000002E-2</v>
      </c>
      <c r="I23" s="12"/>
      <c r="J23" s="362">
        <v>0</v>
      </c>
      <c r="K23" s="12"/>
      <c r="L23" s="362">
        <f t="shared" si="3"/>
        <v>0</v>
      </c>
      <c r="M23" s="12"/>
      <c r="N23" s="362">
        <f t="shared" si="0"/>
        <v>4.5600000000000002E-2</v>
      </c>
    </row>
    <row r="24" spans="1:14">
      <c r="A24" s="4"/>
      <c r="B24" s="4"/>
      <c r="C24" s="4"/>
      <c r="D24" s="372"/>
      <c r="F24" s="297"/>
      <c r="G24" s="12"/>
      <c r="H24" s="297"/>
      <c r="I24" s="12"/>
      <c r="J24" s="297"/>
      <c r="K24" s="12"/>
      <c r="L24" s="297"/>
      <c r="M24" s="12"/>
      <c r="N24" s="297"/>
    </row>
    <row r="25" spans="1:14" ht="13.5" thickBot="1">
      <c r="A25" s="4" t="s">
        <v>173</v>
      </c>
      <c r="B25" s="4"/>
      <c r="C25" s="4"/>
      <c r="D25" s="374">
        <f>SUM(D18:D24)</f>
        <v>353889</v>
      </c>
      <c r="F25" s="369">
        <f>SUM(F18:F23)</f>
        <v>1</v>
      </c>
      <c r="G25" s="4"/>
      <c r="H25" s="369">
        <f>SUM(H18:H23)</f>
        <v>0.39590000000000003</v>
      </c>
      <c r="I25" s="4"/>
      <c r="J25" s="369">
        <f>SUM(J18:J23)</f>
        <v>1</v>
      </c>
      <c r="K25" s="4"/>
      <c r="L25" s="369">
        <f>SUM(L18:L23)</f>
        <v>0.60410000000000008</v>
      </c>
      <c r="M25" s="4"/>
      <c r="N25" s="369">
        <f>SUM(N18:N23)</f>
        <v>0.99999999999999989</v>
      </c>
    </row>
    <row r="26" spans="1:14" ht="13.5" thickTop="1"/>
  </sheetData>
  <mergeCells count="3">
    <mergeCell ref="A3:N3"/>
    <mergeCell ref="A1:N1"/>
    <mergeCell ref="D12:H12"/>
  </mergeCells>
  <phoneticPr fontId="9" type="noConversion"/>
  <printOptions horizontalCentered="1"/>
  <pageMargins left="0.75" right="0.75" top="1" bottom="1" header="0.5" footer="0.5"/>
  <pageSetup orientation="portrait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Checks</vt:lpstr>
      <vt:lpstr>Linkin (2)</vt:lpstr>
      <vt:lpstr>Linkin</vt:lpstr>
      <vt:lpstr>Alloc</vt:lpstr>
      <vt:lpstr>ROR</vt:lpstr>
      <vt:lpstr>Sched.A</vt:lpstr>
      <vt:lpstr>Ft  1to4</vt:lpstr>
      <vt:lpstr>Ftr 3 &amp; 6</vt:lpstr>
      <vt:lpstr>FTR 5&amp; 5A</vt:lpstr>
      <vt:lpstr>Ft 7to9</vt:lpstr>
      <vt:lpstr>Ft 10to14</vt:lpstr>
      <vt:lpstr>Ft 15to21</vt:lpstr>
      <vt:lpstr>customer</vt:lpstr>
      <vt:lpstr>Demand</vt:lpstr>
      <vt:lpstr>checkk</vt:lpstr>
      <vt:lpstr>COMP1</vt:lpstr>
      <vt:lpstr>COMP2</vt:lpstr>
      <vt:lpstr>FACT1</vt:lpstr>
      <vt:lpstr>FACT10</vt:lpstr>
      <vt:lpstr>FACT3</vt:lpstr>
      <vt:lpstr>FACT7</vt:lpstr>
      <vt:lpstr>factors</vt:lpstr>
      <vt:lpstr>Alloc!Print_Area</vt:lpstr>
      <vt:lpstr>customer!Print_Area</vt:lpstr>
      <vt:lpstr>Demand!Print_Area</vt:lpstr>
      <vt:lpstr>'Ft  1to4'!Print_Area</vt:lpstr>
      <vt:lpstr>'Ft 10to14'!Print_Area</vt:lpstr>
      <vt:lpstr>'Ft 15to21'!Print_Area</vt:lpstr>
      <vt:lpstr>'Ft 7to9'!Print_Area</vt:lpstr>
      <vt:lpstr>'Ftr 3 &amp; 6'!Print_Area</vt:lpstr>
      <vt:lpstr>'FTR 5&amp; 5A'!Print_Area</vt:lpstr>
      <vt:lpstr>ROR!Print_Area</vt:lpstr>
      <vt:lpstr>Sched.A!Print_Area</vt:lpstr>
      <vt:lpstr>Print_Area</vt:lpstr>
      <vt:lpstr>Alloc!Print_Titles</vt:lpstr>
      <vt:lpstr>customer!Print_Titles</vt:lpstr>
      <vt:lpstr>'FTR 5&amp; 5A'!Print_Titles</vt:lpstr>
      <vt:lpstr>XHWXK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pherbert</dc:creator>
  <cp:lastModifiedBy>Herbert, Paul R.</cp:lastModifiedBy>
  <cp:lastPrinted>2020-01-15T18:48:56Z</cp:lastPrinted>
  <dcterms:created xsi:type="dcterms:W3CDTF">2006-01-25T16:27:05Z</dcterms:created>
  <dcterms:modified xsi:type="dcterms:W3CDTF">2020-01-21T15:52:54Z</dcterms:modified>
</cp:coreProperties>
</file>