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080" windowHeight="8100"/>
  </bookViews>
  <sheets>
    <sheet name="Exhibit C - $75M" sheetId="4" r:id="rId1"/>
    <sheet name="Exhibit D - $60M" sheetId="5" r:id="rId2"/>
    <sheet name="$75M workpaper" sheetId="2" r:id="rId3"/>
    <sheet name="$60M workpaper" sheetId="3" r:id="rId4"/>
    <sheet name="Supporting workpaper C &amp; D" sheetId="1" r:id="rId5"/>
  </sheets>
  <definedNames>
    <definedName name="_xlnm.Print_Area" localSheetId="3">'$60M workpaper'!$A$1:$R$59</definedName>
    <definedName name="_xlnm.Print_Area" localSheetId="2">'$75M workpaper'!$A$1:$R$58</definedName>
    <definedName name="_xlnm.Print_Area" localSheetId="0">'Exhibit C - $75M'!$A$1:$G$54</definedName>
    <definedName name="_xlnm.Print_Area" localSheetId="1">'Exhibit D - $60M'!$A$1:$G$56</definedName>
    <definedName name="_xlnm.Print_Area" localSheetId="4">'Supporting workpaper C &amp; D'!$A$1:$Q$85</definedName>
  </definedNames>
  <calcPr calcId="145621" calcOnSave="0"/>
</workbook>
</file>

<file path=xl/calcChain.xml><?xml version="1.0" encoding="utf-8"?>
<calcChain xmlns="http://schemas.openxmlformats.org/spreadsheetml/2006/main">
  <c r="E15" i="3" l="1"/>
  <c r="F23" i="5" l="1"/>
  <c r="E23" i="5"/>
  <c r="F23" i="4"/>
  <c r="E23" i="4"/>
  <c r="M31" i="3"/>
  <c r="L31" i="3"/>
  <c r="K31" i="3"/>
  <c r="J31" i="3"/>
  <c r="I31" i="3"/>
  <c r="H31" i="3"/>
  <c r="G31" i="3"/>
  <c r="F31" i="3"/>
  <c r="E31" i="3"/>
  <c r="M9" i="3"/>
  <c r="L9" i="3"/>
  <c r="K9" i="3"/>
  <c r="J9" i="3"/>
  <c r="I9" i="3"/>
  <c r="H9" i="3"/>
  <c r="G9" i="3"/>
  <c r="E9" i="3"/>
  <c r="F9" i="3"/>
  <c r="F10" i="5"/>
  <c r="E10" i="5"/>
  <c r="E55" i="5"/>
  <c r="F47" i="5"/>
  <c r="F46" i="5"/>
  <c r="F45" i="5"/>
  <c r="D39" i="5"/>
  <c r="F38" i="5"/>
  <c r="F37" i="5"/>
  <c r="F39" i="5" l="1"/>
  <c r="F48" i="5"/>
  <c r="F49" i="5"/>
  <c r="F50" i="5" s="1"/>
  <c r="F52" i="5" l="1"/>
  <c r="F53" i="5" s="1"/>
  <c r="F54" i="5" s="1"/>
  <c r="E19" i="5" s="1"/>
  <c r="C79" i="5" l="1"/>
  <c r="F79" i="5" s="1"/>
  <c r="F19" i="5"/>
  <c r="C85" i="2" l="1"/>
  <c r="F85" i="2"/>
  <c r="C77" i="2"/>
  <c r="F77" i="2"/>
  <c r="F71" i="2"/>
  <c r="M30" i="2"/>
  <c r="L30" i="2"/>
  <c r="K30" i="2"/>
  <c r="J30" i="2"/>
  <c r="I30" i="2"/>
  <c r="H30" i="2"/>
  <c r="G30" i="2"/>
  <c r="F30" i="2"/>
  <c r="E30" i="2"/>
  <c r="F9" i="2"/>
  <c r="E9" i="2"/>
  <c r="C71" i="2"/>
  <c r="F81" i="2"/>
  <c r="C81" i="2"/>
  <c r="F8" i="2"/>
  <c r="G8" i="2" s="1"/>
  <c r="H8" i="2" s="1"/>
  <c r="E26" i="2"/>
  <c r="G9" i="2" l="1"/>
  <c r="H9" i="2" s="1"/>
  <c r="I9" i="2" s="1"/>
  <c r="J9" i="2" s="1"/>
  <c r="K9" i="2" s="1"/>
  <c r="I8" i="2"/>
  <c r="E31" i="2"/>
  <c r="J8" i="2" l="1"/>
  <c r="L9" i="2"/>
  <c r="M9" i="2" s="1"/>
  <c r="F31" i="2"/>
  <c r="K8" i="2" l="1"/>
  <c r="G31" i="2"/>
  <c r="L8" i="2" l="1"/>
  <c r="H31" i="2"/>
  <c r="M8" i="2" l="1"/>
  <c r="I31" i="2"/>
  <c r="J31" i="2" l="1"/>
  <c r="K31" i="2" l="1"/>
  <c r="M31" i="2" l="1"/>
  <c r="L31" i="2"/>
  <c r="F10" i="4" l="1"/>
  <c r="E10" i="4"/>
  <c r="F8" i="4"/>
  <c r="E8" i="4"/>
  <c r="E53" i="4"/>
  <c r="F45" i="4"/>
  <c r="F44" i="4"/>
  <c r="F43" i="4"/>
  <c r="D37" i="4"/>
  <c r="F36" i="4"/>
  <c r="F35" i="4"/>
  <c r="F37" i="4" l="1"/>
  <c r="F46" i="4"/>
  <c r="F47" i="4" s="1"/>
  <c r="F48" i="4" s="1"/>
  <c r="F50" i="4" l="1"/>
  <c r="F51" i="4" s="1"/>
  <c r="F52" i="4" s="1"/>
  <c r="E19" i="4" s="1"/>
  <c r="C77" i="4" l="1"/>
  <c r="F77" i="4" s="1"/>
  <c r="F19" i="4"/>
  <c r="D31" i="3" l="1"/>
  <c r="E58" i="3"/>
  <c r="F50" i="3"/>
  <c r="F49" i="3"/>
  <c r="F48" i="3"/>
  <c r="D42" i="3"/>
  <c r="F41" i="3"/>
  <c r="F40" i="3"/>
  <c r="E26" i="3"/>
  <c r="F8" i="3"/>
  <c r="E8" i="5" s="1"/>
  <c r="G8" i="3" l="1"/>
  <c r="H8" i="3" s="1"/>
  <c r="I8" i="3" s="1"/>
  <c r="J8" i="3" s="1"/>
  <c r="F42" i="3"/>
  <c r="E9" i="4"/>
  <c r="F51" i="3"/>
  <c r="E9" i="5" l="1"/>
  <c r="C69" i="5" s="1"/>
  <c r="F9" i="5"/>
  <c r="F69" i="5" s="1"/>
  <c r="F72" i="3"/>
  <c r="F52" i="3"/>
  <c r="F53" i="3" s="1"/>
  <c r="F55" i="3" s="1"/>
  <c r="F56" i="3" s="1"/>
  <c r="F57" i="3" s="1"/>
  <c r="C67" i="4"/>
  <c r="F9" i="4"/>
  <c r="F67" i="4" s="1"/>
  <c r="K8" i="3"/>
  <c r="F8" i="5" s="1"/>
  <c r="K19" i="3" l="1"/>
  <c r="G19" i="3"/>
  <c r="J19" i="3"/>
  <c r="M19" i="3"/>
  <c r="F82" i="3" s="1"/>
  <c r="I19" i="3"/>
  <c r="E19" i="3"/>
  <c r="L19" i="3"/>
  <c r="H19" i="3"/>
  <c r="F19" i="3"/>
  <c r="L8" i="3"/>
  <c r="M8" i="3" l="1"/>
  <c r="C82" i="3"/>
  <c r="E57" i="2" l="1"/>
  <c r="F49" i="2"/>
  <c r="F48" i="2"/>
  <c r="F47" i="2"/>
  <c r="D41" i="2"/>
  <c r="F40" i="2"/>
  <c r="F39" i="2"/>
  <c r="F41" i="2" s="1"/>
  <c r="H57" i="1"/>
  <c r="H55" i="1"/>
  <c r="G15" i="2" l="1"/>
  <c r="K15" i="2"/>
  <c r="H15" i="2"/>
  <c r="L15" i="2"/>
  <c r="E15" i="2"/>
  <c r="I15" i="2"/>
  <c r="M15" i="2"/>
  <c r="F15" i="2"/>
  <c r="J15" i="2"/>
  <c r="F50" i="2"/>
  <c r="F51" i="2"/>
  <c r="F52" i="2" s="1"/>
  <c r="L41" i="1"/>
  <c r="K41" i="1"/>
  <c r="J42" i="1"/>
  <c r="J41" i="1"/>
  <c r="I42" i="1"/>
  <c r="I41" i="1"/>
  <c r="I55" i="1" s="1"/>
  <c r="H42" i="1"/>
  <c r="H41" i="1"/>
  <c r="J20" i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G15" i="1"/>
  <c r="H15" i="1"/>
  <c r="I15" i="1"/>
  <c r="J15" i="1"/>
  <c r="J80" i="1"/>
  <c r="I80" i="1"/>
  <c r="I75" i="1"/>
  <c r="L82" i="1"/>
  <c r="M82" i="1" s="1"/>
  <c r="N82" i="1" s="1"/>
  <c r="O82" i="1" s="1"/>
  <c r="P82" i="1" s="1"/>
  <c r="Q82" i="1" s="1"/>
  <c r="J75" i="1"/>
  <c r="I70" i="1"/>
  <c r="M77" i="1"/>
  <c r="N77" i="1" s="1"/>
  <c r="O77" i="1" s="1"/>
  <c r="P77" i="1" s="1"/>
  <c r="Q77" i="1" s="1"/>
  <c r="L77" i="1"/>
  <c r="I65" i="1"/>
  <c r="L72" i="1"/>
  <c r="M72" i="1" s="1"/>
  <c r="N72" i="1" s="1"/>
  <c r="O72" i="1" s="1"/>
  <c r="P72" i="1" s="1"/>
  <c r="Q72" i="1" s="1"/>
  <c r="Q65" i="1"/>
  <c r="P65" i="1"/>
  <c r="O65" i="1"/>
  <c r="N65" i="1"/>
  <c r="M65" i="1"/>
  <c r="L65" i="1"/>
  <c r="K65" i="1"/>
  <c r="J65" i="1"/>
  <c r="I60" i="1"/>
  <c r="L67" i="1"/>
  <c r="M67" i="1" s="1"/>
  <c r="N67" i="1" s="1"/>
  <c r="O67" i="1" s="1"/>
  <c r="P67" i="1" s="1"/>
  <c r="Q67" i="1" s="1"/>
  <c r="L62" i="1"/>
  <c r="M62" i="1" s="1"/>
  <c r="N62" i="1" s="1"/>
  <c r="O62" i="1" s="1"/>
  <c r="P62" i="1" s="1"/>
  <c r="Q62" i="1" s="1"/>
  <c r="Q57" i="1"/>
  <c r="P57" i="1"/>
  <c r="O57" i="1"/>
  <c r="N57" i="1"/>
  <c r="M57" i="1"/>
  <c r="L57" i="1"/>
  <c r="J82" i="1"/>
  <c r="K82" i="1" s="1"/>
  <c r="I82" i="1"/>
  <c r="I77" i="1"/>
  <c r="J77" i="1" s="1"/>
  <c r="K77" i="1" s="1"/>
  <c r="I72" i="1"/>
  <c r="J72" i="1" s="1"/>
  <c r="K72" i="1" s="1"/>
  <c r="J67" i="1"/>
  <c r="K67" i="1" s="1"/>
  <c r="I67" i="1"/>
  <c r="J62" i="1"/>
  <c r="K62" i="1" s="1"/>
  <c r="I62" i="1"/>
  <c r="K57" i="1"/>
  <c r="J57" i="1"/>
  <c r="I57" i="1"/>
  <c r="H77" i="1"/>
  <c r="H80" i="1"/>
  <c r="H75" i="1"/>
  <c r="H70" i="1"/>
  <c r="H65" i="1"/>
  <c r="H60" i="1"/>
  <c r="F54" i="2" l="1"/>
  <c r="F55" i="2" s="1"/>
  <c r="F56" i="2" s="1"/>
  <c r="J60" i="1"/>
  <c r="K60" i="1" s="1"/>
  <c r="L60" i="1" s="1"/>
  <c r="M60" i="1" s="1"/>
  <c r="N60" i="1" s="1"/>
  <c r="O60" i="1" s="1"/>
  <c r="P60" i="1" s="1"/>
  <c r="Q60" i="1" s="1"/>
  <c r="J55" i="1"/>
  <c r="K55" i="1" s="1"/>
  <c r="L55" i="1" s="1"/>
  <c r="M55" i="1" s="1"/>
  <c r="N55" i="1" s="1"/>
  <c r="O55" i="1" s="1"/>
  <c r="P55" i="1" s="1"/>
  <c r="Q55" i="1" s="1"/>
  <c r="G19" i="2" l="1"/>
  <c r="K19" i="2"/>
  <c r="H19" i="2"/>
  <c r="L19" i="2"/>
  <c r="E19" i="2"/>
  <c r="I19" i="2"/>
  <c r="M19" i="2"/>
  <c r="F19" i="2"/>
  <c r="J19" i="2"/>
  <c r="K16" i="1" l="1"/>
  <c r="H61" i="1" s="1"/>
  <c r="I61" i="1" s="1"/>
  <c r="J61" i="1" s="1"/>
  <c r="K61" i="1" s="1"/>
  <c r="L61" i="1" s="1"/>
  <c r="M61" i="1" s="1"/>
  <c r="N61" i="1" s="1"/>
  <c r="O61" i="1" s="1"/>
  <c r="P61" i="1" s="1"/>
  <c r="Q61" i="1" s="1"/>
  <c r="K20" i="1"/>
  <c r="H81" i="1" s="1"/>
  <c r="I81" i="1" s="1"/>
  <c r="J81" i="1" s="1"/>
  <c r="K81" i="1" s="1"/>
  <c r="L81" i="1" s="1"/>
  <c r="M81" i="1" s="1"/>
  <c r="N81" i="1" s="1"/>
  <c r="O81" i="1" s="1"/>
  <c r="P81" i="1" s="1"/>
  <c r="Q81" i="1" s="1"/>
  <c r="K19" i="1"/>
  <c r="H76" i="1" s="1"/>
  <c r="I76" i="1" s="1"/>
  <c r="J76" i="1" s="1"/>
  <c r="K76" i="1" s="1"/>
  <c r="L76" i="1" s="1"/>
  <c r="M76" i="1" s="1"/>
  <c r="N76" i="1" s="1"/>
  <c r="O76" i="1" s="1"/>
  <c r="P76" i="1" s="1"/>
  <c r="Q76" i="1" s="1"/>
  <c r="K18" i="1"/>
  <c r="H71" i="1" s="1"/>
  <c r="I71" i="1" s="1"/>
  <c r="J71" i="1" s="1"/>
  <c r="K71" i="1" s="1"/>
  <c r="L71" i="1" s="1"/>
  <c r="M71" i="1" s="1"/>
  <c r="N71" i="1" s="1"/>
  <c r="O71" i="1" s="1"/>
  <c r="P71" i="1" s="1"/>
  <c r="Q71" i="1" s="1"/>
  <c r="K17" i="1"/>
  <c r="H66" i="1" s="1"/>
  <c r="I66" i="1" s="1"/>
  <c r="J66" i="1" s="1"/>
  <c r="K66" i="1" s="1"/>
  <c r="L66" i="1" s="1"/>
  <c r="M66" i="1" s="1"/>
  <c r="N66" i="1" s="1"/>
  <c r="O66" i="1" s="1"/>
  <c r="P66" i="1" s="1"/>
  <c r="Q66" i="1" s="1"/>
  <c r="K15" i="1"/>
  <c r="H56" i="1" s="1"/>
  <c r="I21" i="1"/>
  <c r="H21" i="1"/>
  <c r="I56" i="1" l="1"/>
  <c r="J56" i="1" s="1"/>
  <c r="K56" i="1" s="1"/>
  <c r="L56" i="1" s="1"/>
  <c r="M56" i="1" s="1"/>
  <c r="N56" i="1" s="1"/>
  <c r="O56" i="1" s="1"/>
  <c r="P56" i="1" s="1"/>
  <c r="Q56" i="1" s="1"/>
  <c r="H84" i="1"/>
  <c r="K21" i="1"/>
  <c r="J21" i="1"/>
  <c r="E11" i="1"/>
  <c r="D11" i="1"/>
  <c r="C11" i="1"/>
  <c r="B11" i="1"/>
  <c r="F10" i="1"/>
  <c r="F9" i="1"/>
  <c r="F8" i="1"/>
  <c r="F7" i="1"/>
  <c r="F6" i="1"/>
  <c r="F5" i="1"/>
  <c r="F11" i="1" l="1"/>
  <c r="I84" i="1" l="1"/>
  <c r="E7" i="2" l="1"/>
  <c r="E11" i="2" s="1"/>
  <c r="E13" i="2" s="1"/>
  <c r="E17" i="2" s="1"/>
  <c r="E21" i="2" s="1"/>
  <c r="E7" i="3"/>
  <c r="G21" i="1"/>
  <c r="J70" i="1"/>
  <c r="C70" i="2" l="1"/>
  <c r="C72" i="2"/>
  <c r="E11" i="3"/>
  <c r="E13" i="3" s="1"/>
  <c r="E17" i="3" s="1"/>
  <c r="E21" i="3" s="1"/>
  <c r="K80" i="1"/>
  <c r="L80" i="1" s="1"/>
  <c r="M80" i="1" s="1"/>
  <c r="N80" i="1" s="1"/>
  <c r="O80" i="1" s="1"/>
  <c r="P80" i="1" s="1"/>
  <c r="Q80" i="1" s="1"/>
  <c r="K75" i="1"/>
  <c r="L75" i="1" s="1"/>
  <c r="M75" i="1" s="1"/>
  <c r="N75" i="1" s="1"/>
  <c r="O75" i="1" s="1"/>
  <c r="P75" i="1" s="1"/>
  <c r="Q75" i="1" s="1"/>
  <c r="K70" i="1"/>
  <c r="J84" i="1"/>
  <c r="F25" i="1"/>
  <c r="F30" i="1"/>
  <c r="F29" i="1"/>
  <c r="F28" i="1"/>
  <c r="F27" i="1"/>
  <c r="F26" i="1"/>
  <c r="F20" i="1"/>
  <c r="F19" i="1"/>
  <c r="F18" i="1"/>
  <c r="F17" i="1"/>
  <c r="F16" i="1"/>
  <c r="F15" i="1"/>
  <c r="E21" i="1"/>
  <c r="D21" i="1"/>
  <c r="C21" i="1"/>
  <c r="B21" i="1"/>
  <c r="H62" i="1"/>
  <c r="H67" i="1"/>
  <c r="H82" i="1"/>
  <c r="H72" i="1"/>
  <c r="F31" i="1" l="1"/>
  <c r="F7" i="2"/>
  <c r="F7" i="3"/>
  <c r="E7" i="5" s="1"/>
  <c r="L70" i="1"/>
  <c r="K84" i="1"/>
  <c r="F21" i="1"/>
  <c r="E47" i="1"/>
  <c r="D47" i="1"/>
  <c r="C47" i="1"/>
  <c r="B47" i="1"/>
  <c r="E31" i="1"/>
  <c r="D31" i="1"/>
  <c r="C31" i="1"/>
  <c r="B31" i="1"/>
  <c r="G7" i="2" l="1"/>
  <c r="G11" i="2" s="1"/>
  <c r="G13" i="2" s="1"/>
  <c r="G17" i="2" s="1"/>
  <c r="G21" i="2" s="1"/>
  <c r="G24" i="2" s="1"/>
  <c r="G26" i="2" s="1"/>
  <c r="G7" i="3"/>
  <c r="E7" i="4"/>
  <c r="F11" i="2"/>
  <c r="F13" i="2" s="1"/>
  <c r="F17" i="2" s="1"/>
  <c r="F21" i="2" s="1"/>
  <c r="F24" i="2" s="1"/>
  <c r="F26" i="2" s="1"/>
  <c r="M70" i="1"/>
  <c r="L84" i="1"/>
  <c r="H7" i="2" l="1"/>
  <c r="H11" i="2" s="1"/>
  <c r="H13" i="2" s="1"/>
  <c r="H17" i="2" s="1"/>
  <c r="H21" i="2" s="1"/>
  <c r="H24" i="2" s="1"/>
  <c r="H26" i="2" s="1"/>
  <c r="H7" i="3"/>
  <c r="N70" i="1"/>
  <c r="M84" i="1"/>
  <c r="I7" i="2" l="1"/>
  <c r="I11" i="2" s="1"/>
  <c r="I13" i="2" s="1"/>
  <c r="I17" i="2" s="1"/>
  <c r="I21" i="2" s="1"/>
  <c r="I24" i="2" s="1"/>
  <c r="I26" i="2" s="1"/>
  <c r="I7" i="3"/>
  <c r="O70" i="1"/>
  <c r="N84" i="1"/>
  <c r="J7" i="2" l="1"/>
  <c r="J11" i="2" s="1"/>
  <c r="J13" i="2" s="1"/>
  <c r="J17" i="2" s="1"/>
  <c r="J21" i="2" s="1"/>
  <c r="J24" i="2" s="1"/>
  <c r="J26" i="2" s="1"/>
  <c r="J7" i="3"/>
  <c r="P70" i="1"/>
  <c r="O84" i="1"/>
  <c r="K7" i="2" l="1"/>
  <c r="K7" i="3"/>
  <c r="F7" i="5" s="1"/>
  <c r="Q70" i="1"/>
  <c r="Q84" i="1" s="1"/>
  <c r="P84" i="1"/>
  <c r="C72" i="3"/>
  <c r="F7" i="4" l="1"/>
  <c r="K11" i="2"/>
  <c r="K13" i="2" s="1"/>
  <c r="K17" i="2" s="1"/>
  <c r="K21" i="2" s="1"/>
  <c r="K24" i="2" s="1"/>
  <c r="K26" i="2" s="1"/>
  <c r="L7" i="2"/>
  <c r="L11" i="2" s="1"/>
  <c r="L13" i="2" s="1"/>
  <c r="L17" i="2" s="1"/>
  <c r="L21" i="2" s="1"/>
  <c r="L24" i="2" s="1"/>
  <c r="L26" i="2" s="1"/>
  <c r="L7" i="3"/>
  <c r="M7" i="2"/>
  <c r="M7" i="3"/>
  <c r="C86" i="3"/>
  <c r="F32" i="3"/>
  <c r="F11" i="3" s="1"/>
  <c r="F13" i="3" s="1"/>
  <c r="E32" i="3"/>
  <c r="M11" i="2" l="1"/>
  <c r="M13" i="2" s="1"/>
  <c r="M17" i="2" s="1"/>
  <c r="M21" i="2" s="1"/>
  <c r="F69" i="2" s="1"/>
  <c r="G32" i="3"/>
  <c r="G11" i="3" s="1"/>
  <c r="G13" i="3" s="1"/>
  <c r="E28" i="5"/>
  <c r="F15" i="3"/>
  <c r="F17" i="3" s="1"/>
  <c r="F21" i="3" s="1"/>
  <c r="F24" i="3" s="1"/>
  <c r="F26" i="3" s="1"/>
  <c r="C70" i="3"/>
  <c r="C78" i="3"/>
  <c r="M24" i="2" l="1"/>
  <c r="M26" i="2" s="1"/>
  <c r="F72" i="2"/>
  <c r="F70" i="2"/>
  <c r="G15" i="3"/>
  <c r="G17" i="3" s="1"/>
  <c r="G21" i="3" s="1"/>
  <c r="G24" i="3" s="1"/>
  <c r="G26" i="3" s="1"/>
  <c r="H32" i="3"/>
  <c r="H11" i="3" s="1"/>
  <c r="H13" i="3" s="1"/>
  <c r="C83" i="5"/>
  <c r="E15" i="5"/>
  <c r="C75" i="5" s="1"/>
  <c r="E29" i="5"/>
  <c r="E11" i="5" s="1"/>
  <c r="E13" i="5" s="1"/>
  <c r="C71" i="3"/>
  <c r="C73" i="3"/>
  <c r="F73" i="2" l="1"/>
  <c r="F75" i="2" s="1"/>
  <c r="E17" i="5"/>
  <c r="E21" i="5" s="1"/>
  <c r="C70" i="5" s="1"/>
  <c r="H15" i="3"/>
  <c r="H17" i="3" s="1"/>
  <c r="H21" i="3" s="1"/>
  <c r="H24" i="3" s="1"/>
  <c r="H26" i="3" s="1"/>
  <c r="I32" i="3"/>
  <c r="I11" i="3" s="1"/>
  <c r="I13" i="3" s="1"/>
  <c r="I15" i="3"/>
  <c r="C74" i="3"/>
  <c r="C76" i="3" s="1"/>
  <c r="F83" i="2" l="1"/>
  <c r="F79" i="2"/>
  <c r="F87" i="2"/>
  <c r="C67" i="5"/>
  <c r="C68" i="5"/>
  <c r="E24" i="5"/>
  <c r="E26" i="5" s="1"/>
  <c r="C88" i="3"/>
  <c r="C80" i="3"/>
  <c r="C84" i="3"/>
  <c r="I17" i="3"/>
  <c r="I21" i="3" s="1"/>
  <c r="I24" i="3" s="1"/>
  <c r="I26" i="3" s="1"/>
  <c r="J32" i="3"/>
  <c r="J11" i="3" s="1"/>
  <c r="J13" i="3" s="1"/>
  <c r="F28" i="5"/>
  <c r="F15" i="5" s="1"/>
  <c r="J15" i="3"/>
  <c r="C71" i="5" l="1"/>
  <c r="C73" i="5" s="1"/>
  <c r="C85" i="5" s="1"/>
  <c r="F83" i="5"/>
  <c r="F29" i="5"/>
  <c r="F11" i="5" s="1"/>
  <c r="F13" i="5" s="1"/>
  <c r="F75" i="5"/>
  <c r="J17" i="3"/>
  <c r="J21" i="3" s="1"/>
  <c r="J24" i="3" s="1"/>
  <c r="J26" i="3" s="1"/>
  <c r="K32" i="3"/>
  <c r="K11" i="3" s="1"/>
  <c r="K15" i="3"/>
  <c r="C81" i="5" l="1"/>
  <c r="C77" i="5"/>
  <c r="F17" i="5"/>
  <c r="F21" i="5" s="1"/>
  <c r="F24" i="5" s="1"/>
  <c r="F26" i="5" s="1"/>
  <c r="E28" i="4"/>
  <c r="E29" i="4" s="1"/>
  <c r="E11" i="4" s="1"/>
  <c r="L32" i="3"/>
  <c r="L11" i="3" s="1"/>
  <c r="L13" i="3" s="1"/>
  <c r="F86" i="3"/>
  <c r="L15" i="3"/>
  <c r="K13" i="3"/>
  <c r="K17" i="3" s="1"/>
  <c r="K21" i="3" s="1"/>
  <c r="K24" i="3" s="1"/>
  <c r="K26" i="3" l="1"/>
  <c r="F68" i="5"/>
  <c r="F70" i="5"/>
  <c r="F67" i="5"/>
  <c r="L17" i="3"/>
  <c r="L21" i="3" s="1"/>
  <c r="L24" i="3" s="1"/>
  <c r="L26" i="3" s="1"/>
  <c r="E15" i="4"/>
  <c r="C73" i="4" s="1"/>
  <c r="C81" i="4"/>
  <c r="M32" i="3"/>
  <c r="M15" i="3"/>
  <c r="F78" i="3" s="1"/>
  <c r="C69" i="2"/>
  <c r="C73" i="2" l="1"/>
  <c r="C75" i="2" s="1"/>
  <c r="F71" i="5"/>
  <c r="F73" i="5" s="1"/>
  <c r="F85" i="5" s="1"/>
  <c r="M11" i="3"/>
  <c r="M13" i="3" s="1"/>
  <c r="M17" i="3" s="1"/>
  <c r="M21" i="3" s="1"/>
  <c r="E13" i="4"/>
  <c r="E17" i="4" s="1"/>
  <c r="E21" i="4" s="1"/>
  <c r="C83" i="2" l="1"/>
  <c r="C87" i="2"/>
  <c r="C79" i="2"/>
  <c r="F81" i="5"/>
  <c r="F77" i="5"/>
  <c r="M24" i="3"/>
  <c r="M26" i="3" s="1"/>
  <c r="F73" i="3"/>
  <c r="F71" i="3"/>
  <c r="F70" i="3"/>
  <c r="C68" i="4"/>
  <c r="C66" i="4"/>
  <c r="E24" i="4"/>
  <c r="E26" i="4" s="1"/>
  <c r="C65" i="4"/>
  <c r="F28" i="4"/>
  <c r="F74" i="3" l="1"/>
  <c r="F76" i="3" s="1"/>
  <c r="C69" i="4"/>
  <c r="C71" i="4" s="1"/>
  <c r="C83" i="4" s="1"/>
  <c r="F81" i="4"/>
  <c r="F15" i="4"/>
  <c r="F73" i="4" s="1"/>
  <c r="F29" i="4"/>
  <c r="F11" i="4" s="1"/>
  <c r="F13" i="4" s="1"/>
  <c r="F88" i="3" l="1"/>
  <c r="F80" i="3"/>
  <c r="F84" i="3"/>
  <c r="C79" i="4"/>
  <c r="C75" i="4"/>
  <c r="F17" i="4"/>
  <c r="F21" i="4" s="1"/>
  <c r="F68" i="4" l="1"/>
  <c r="F66" i="4"/>
  <c r="F65" i="4"/>
  <c r="F24" i="4"/>
  <c r="F26" i="4" s="1"/>
  <c r="F69" i="4" l="1"/>
  <c r="F71" i="4" s="1"/>
  <c r="F79" i="4" s="1"/>
  <c r="F83" i="4" l="1"/>
  <c r="F75" i="4"/>
</calcChain>
</file>

<file path=xl/sharedStrings.xml><?xml version="1.0" encoding="utf-8"?>
<sst xmlns="http://schemas.openxmlformats.org/spreadsheetml/2006/main" count="376" uniqueCount="121">
  <si>
    <t>Customer Class</t>
  </si>
  <si>
    <t>Billable Gallons</t>
  </si>
  <si>
    <t>Residential</t>
  </si>
  <si>
    <t>Commercial</t>
  </si>
  <si>
    <t>Apartment</t>
  </si>
  <si>
    <t>School</t>
  </si>
  <si>
    <t>Church</t>
  </si>
  <si>
    <t>Public</t>
  </si>
  <si>
    <t>Total Number of Customers</t>
  </si>
  <si>
    <t>Total Number of Purchased EDU's</t>
  </si>
  <si>
    <t>Total Number of Billable EDU's</t>
  </si>
  <si>
    <t>Number of Well Customers included in Billable EDU's</t>
  </si>
  <si>
    <t>Base rate of $84.30 per quarter for 0 to 1,000 cubic feet or 0 to 7,481 gallons x 4 quarters</t>
  </si>
  <si>
    <t>Base rate of $85.00 per quarter for users not served by the Public Water Company</t>
  </si>
  <si>
    <t>Commerical</t>
  </si>
  <si>
    <t>Rate Freeze Period</t>
  </si>
  <si>
    <t>2018 Billable</t>
  </si>
  <si>
    <t>2019 Billable</t>
  </si>
  <si>
    <t>2020 Billable</t>
  </si>
  <si>
    <t>2021 Billable</t>
  </si>
  <si>
    <t>2022 Billable</t>
  </si>
  <si>
    <t>2023 Billable</t>
  </si>
  <si>
    <t>2024 Billable</t>
  </si>
  <si>
    <t>2025 Billable</t>
  </si>
  <si>
    <t>2026 Billable</t>
  </si>
  <si>
    <t>Estimated 2017 Revenues</t>
  </si>
  <si>
    <t>Limerick's Customer Count as of 3/2/2017</t>
  </si>
  <si>
    <t>TOTAL</t>
  </si>
  <si>
    <t>$ Amount</t>
  </si>
  <si>
    <t>Limerick's 2016 Consumption and Bill Activity</t>
  </si>
  <si>
    <t>2018 Growth</t>
  </si>
  <si>
    <t>2019 Growth</t>
  </si>
  <si>
    <t>2020 Growth</t>
  </si>
  <si>
    <t>2021 Growth</t>
  </si>
  <si>
    <t>2022 Growth</t>
  </si>
  <si>
    <t>2023 Growth</t>
  </si>
  <si>
    <t>2024 Growth</t>
  </si>
  <si>
    <t>2025 Growth</t>
  </si>
  <si>
    <t>2026 Growth</t>
  </si>
  <si>
    <t>Limerick's Customer Projected Growth</t>
  </si>
  <si>
    <t>Average per Customer</t>
  </si>
  <si>
    <t>Customer Count</t>
  </si>
  <si>
    <t>Total</t>
  </si>
  <si>
    <t>Limerick's Projected Growth</t>
  </si>
  <si>
    <t>Limerick's Chapter 94 Reports</t>
  </si>
  <si>
    <t>Aqua Pennsylvania Wastewater, Inc.</t>
  </si>
  <si>
    <t>Exhibit C</t>
  </si>
  <si>
    <t>Limerick Wastewater Acquisition</t>
  </si>
  <si>
    <t>1.)</t>
  </si>
  <si>
    <t>Limerick Cost of Service</t>
  </si>
  <si>
    <t>Notes</t>
  </si>
  <si>
    <t>Revenue</t>
  </si>
  <si>
    <t>*Includes growth estimate year through year seven</t>
  </si>
  <si>
    <t>O&amp;M</t>
  </si>
  <si>
    <t>**3% CAGR</t>
  </si>
  <si>
    <t>Depreciation</t>
  </si>
  <si>
    <t>***3.5% composite depr on rate base + capex  @ 2.5% composite rate</t>
  </si>
  <si>
    <t>Taxes Other</t>
  </si>
  <si>
    <t>****Estimate Payroll Taxes &amp; Regulatory Assessments</t>
  </si>
  <si>
    <t>Income Taxes^</t>
  </si>
  <si>
    <t>*****35% Federal &amp; 9.99% State</t>
  </si>
  <si>
    <t>Operating Income</t>
  </si>
  <si>
    <t>Required Operating Income</t>
  </si>
  <si>
    <t>Operating Income Deficiency</t>
  </si>
  <si>
    <t>Gross Revenue Converion Factor</t>
  </si>
  <si>
    <t>Revenue Increase</t>
  </si>
  <si>
    <t>Increase applied to Twp customers</t>
  </si>
  <si>
    <t>Impact to existing customers</t>
  </si>
  <si>
    <t>Existing Customers</t>
  </si>
  <si>
    <t>Cost per month per customer</t>
  </si>
  <si>
    <t xml:space="preserve">Rate Base </t>
  </si>
  <si>
    <t>^Projected rate base through year 7 (capex less depreciation)</t>
  </si>
  <si>
    <t>Interest Expense</t>
  </si>
  <si>
    <t>^ Includes Interest Expense syncronized with rate base of $75.1M</t>
  </si>
  <si>
    <t>2.)</t>
  </si>
  <si>
    <t>Rate of Return</t>
  </si>
  <si>
    <t>Ratio</t>
  </si>
  <si>
    <t>Cost Rate</t>
  </si>
  <si>
    <t>WACC</t>
  </si>
  <si>
    <t>Debt</t>
  </si>
  <si>
    <t>Equity</t>
  </si>
  <si>
    <t xml:space="preserve">3.) </t>
  </si>
  <si>
    <t>Gross Revenue Conversion Factor</t>
  </si>
  <si>
    <t>Dollar of Revenue</t>
  </si>
  <si>
    <t>Less: Gross Receipts (Revenue) Tax</t>
  </si>
  <si>
    <t>Less: Reg Assesments</t>
  </si>
  <si>
    <t>Less: Bad Debts</t>
  </si>
  <si>
    <t>State Taxable Income</t>
  </si>
  <si>
    <t xml:space="preserve">State Income Tax </t>
  </si>
  <si>
    <t>Federal Taxable Icome</t>
  </si>
  <si>
    <t>Federal Tax Rate</t>
  </si>
  <si>
    <t>Federal Income Tax</t>
  </si>
  <si>
    <t>Net Revenue Dollar</t>
  </si>
  <si>
    <t>EFT</t>
  </si>
  <si>
    <t>*** Below DOES NOT PRINT ***</t>
  </si>
  <si>
    <t>Check</t>
  </si>
  <si>
    <t>Equity Rate Base</t>
  </si>
  <si>
    <t>ROE</t>
  </si>
  <si>
    <t>Year 3</t>
  </si>
  <si>
    <t>Year 1</t>
  </si>
  <si>
    <t>Year 2</t>
  </si>
  <si>
    <t>Year 4</t>
  </si>
  <si>
    <t>Year 5</t>
  </si>
  <si>
    <t>Year 6</t>
  </si>
  <si>
    <t>Year 7</t>
  </si>
  <si>
    <t>Year 8</t>
  </si>
  <si>
    <t>Year 9</t>
  </si>
  <si>
    <t xml:space="preserve">Years 4 - 9 </t>
  </si>
  <si>
    <t>Capital Investment</t>
  </si>
  <si>
    <t>Years 4 - 10 (midpoint Year 7)</t>
  </si>
  <si>
    <t>2017 Growth</t>
  </si>
  <si>
    <t>Total Projected Annual Revenue</t>
  </si>
  <si>
    <t>Regulatory Asset</t>
  </si>
  <si>
    <t>^ Includes Interest Expense syncronized with rate base of $60M</t>
  </si>
  <si>
    <t>Years 1 - 3 (midpoint Year 2)</t>
  </si>
  <si>
    <t>Consumption charges of $4.84 per 100 cubic feet for usage above the first 1,000 cubic feet or $6.46 per 1,000 gallons for usage above the first 7,481 gallons x 4 quarters</t>
  </si>
  <si>
    <t>Exhibit D</t>
  </si>
  <si>
    <t>Workpaper Exhibit C &amp; D</t>
  </si>
  <si>
    <t>Work Paper Exhibit D</t>
  </si>
  <si>
    <t>Work Paper Exhibit 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</si>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</sst>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0_);_(* \(#,##0.000000\);_(* &quot;-&quot;??_);_(@_)"/>
    <numFmt numFmtId="167" formatCode="0.0000"/>
    <numFmt numFmtId="168" formatCode="0.000000"/>
    <numFmt numFmtId="169" formatCode="0.0000%"/>
    <numFmt numFmtId="170" formatCode="0.000000000"/>
    <numFmt numFmtId="171" formatCode="0.00000000000"/>
    <numFmt numFmtId="172" formatCode="0.00000000"/>
  </numFmts>
  <fonts count="26" x14ac:knownFonts="1">
    <font>
      <sz val="11"/>
      <color theme="1"/>
      <name val="Seconda"/>
      <family val="2"/>
    </font>
    <font>
      <sz val="11"/>
      <color theme="1"/>
      <name val="Second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"/>
      <name val="Seconda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b/>
      <sz val="14"/>
      <color rgb="FF0070C0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Seconda"/>
      <family val="2"/>
    </font>
    <font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4" fillId="0" borderId="0"/>
    <xf numFmtId="9" fontId="16" fillId="0" borderId="0" applyFont="0" applyFill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20" fillId="0" borderId="0"/>
    <xf numFmtId="9" fontId="20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164" fontId="2" fillId="2" borderId="1" xfId="1" applyNumberFormat="1" applyFont="1" applyFill="1" applyBorder="1"/>
    <xf numFmtId="43" fontId="2" fillId="2" borderId="1" xfId="1" applyNumberFormat="1" applyFont="1" applyFill="1" applyBorder="1"/>
    <xf numFmtId="164" fontId="2" fillId="0" borderId="1" xfId="1" applyNumberFormat="1" applyFont="1" applyBorder="1"/>
    <xf numFmtId="43" fontId="2" fillId="0" borderId="1" xfId="1" applyNumberFormat="1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5" fontId="2" fillId="0" borderId="0" xfId="2" applyNumberFormat="1" applyFont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1"/>
    </xf>
    <xf numFmtId="0" fontId="2" fillId="0" borderId="5" xfId="0" applyFont="1" applyBorder="1"/>
    <xf numFmtId="0" fontId="4" fillId="0" borderId="8" xfId="0" applyFont="1" applyBorder="1"/>
    <xf numFmtId="0" fontId="4" fillId="0" borderId="0" xfId="0" applyFont="1" applyBorder="1" applyAlignment="1">
      <alignment horizontal="center"/>
    </xf>
    <xf numFmtId="0" fontId="2" fillId="0" borderId="8" xfId="0" applyFont="1" applyBorder="1"/>
    <xf numFmtId="14" fontId="3" fillId="2" borderId="0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4" fontId="2" fillId="2" borderId="0" xfId="1" applyNumberFormat="1" applyFont="1" applyFill="1" applyBorder="1"/>
    <xf numFmtId="164" fontId="2" fillId="0" borderId="0" xfId="1" applyNumberFormat="1" applyFont="1" applyBorder="1"/>
    <xf numFmtId="164" fontId="2" fillId="2" borderId="9" xfId="1" applyNumberFormat="1" applyFont="1" applyFill="1" applyBorder="1"/>
    <xf numFmtId="164" fontId="2" fillId="2" borderId="10" xfId="1" applyNumberFormat="1" applyFont="1" applyFill="1" applyBorder="1"/>
    <xf numFmtId="0" fontId="2" fillId="0" borderId="0" xfId="0" applyFont="1" applyBorder="1"/>
    <xf numFmtId="0" fontId="2" fillId="0" borderId="9" xfId="0" applyFont="1" applyBorder="1"/>
    <xf numFmtId="43" fontId="2" fillId="2" borderId="0" xfId="1" applyNumberFormat="1" applyFont="1" applyFill="1" applyBorder="1"/>
    <xf numFmtId="43" fontId="2" fillId="0" borderId="0" xfId="1" applyNumberFormat="1" applyFont="1" applyBorder="1"/>
    <xf numFmtId="43" fontId="2" fillId="2" borderId="9" xfId="1" applyNumberFormat="1" applyFont="1" applyFill="1" applyBorder="1"/>
    <xf numFmtId="43" fontId="2" fillId="2" borderId="10" xfId="1" applyNumberFormat="1" applyFont="1" applyFill="1" applyBorder="1"/>
    <xf numFmtId="0" fontId="2" fillId="0" borderId="11" xfId="0" applyFont="1" applyBorder="1"/>
    <xf numFmtId="43" fontId="2" fillId="2" borderId="12" xfId="2" applyNumberFormat="1" applyFont="1" applyFill="1" applyBorder="1"/>
    <xf numFmtId="43" fontId="2" fillId="0" borderId="12" xfId="2" applyNumberFormat="1" applyFont="1" applyBorder="1"/>
    <xf numFmtId="43" fontId="2" fillId="2" borderId="13" xfId="2" applyNumberFormat="1" applyFont="1" applyFill="1" applyBorder="1"/>
    <xf numFmtId="0" fontId="2" fillId="0" borderId="7" xfId="0" applyFont="1" applyBorder="1"/>
    <xf numFmtId="164" fontId="2" fillId="0" borderId="0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0" fontId="2" fillId="0" borderId="13" xfId="0" applyFont="1" applyBorder="1"/>
    <xf numFmtId="0" fontId="2" fillId="0" borderId="6" xfId="0" applyFont="1" applyBorder="1"/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12" xfId="0" applyFont="1" applyBorder="1"/>
    <xf numFmtId="164" fontId="2" fillId="0" borderId="15" xfId="1" applyNumberFormat="1" applyFont="1" applyBorder="1"/>
    <xf numFmtId="165" fontId="2" fillId="0" borderId="0" xfId="2" applyNumberFormat="1" applyFont="1" applyFill="1"/>
    <xf numFmtId="43" fontId="2" fillId="0" borderId="0" xfId="1" applyFont="1"/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2" fillId="0" borderId="0" xfId="1" applyNumberFormat="1" applyFont="1" applyFill="1" applyBorder="1"/>
    <xf numFmtId="43" fontId="2" fillId="0" borderId="0" xfId="2" applyNumberFormat="1" applyFont="1" applyFill="1" applyBorder="1"/>
    <xf numFmtId="0" fontId="5" fillId="0" borderId="9" xfId="0" applyFont="1" applyBorder="1" applyAlignment="1">
      <alignment horizontal="center"/>
    </xf>
    <xf numFmtId="164" fontId="2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8" xfId="0" applyNumberFormat="1" applyFont="1" applyBorder="1"/>
    <xf numFmtId="164" fontId="2" fillId="0" borderId="0" xfId="0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164" fontId="2" fillId="0" borderId="0" xfId="1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5" fontId="0" fillId="0" borderId="0" xfId="2" applyNumberFormat="1" applyFont="1"/>
    <xf numFmtId="0" fontId="12" fillId="0" borderId="0" xfId="0" applyFont="1"/>
    <xf numFmtId="164" fontId="0" fillId="0" borderId="0" xfId="1" applyNumberFormat="1" applyFont="1"/>
    <xf numFmtId="165" fontId="0" fillId="0" borderId="0" xfId="0" applyNumberFormat="1"/>
    <xf numFmtId="166" fontId="0" fillId="0" borderId="0" xfId="1" applyNumberFormat="1" applyFont="1"/>
    <xf numFmtId="44" fontId="0" fillId="0" borderId="0" xfId="2" applyFont="1"/>
    <xf numFmtId="0" fontId="13" fillId="0" borderId="0" xfId="0" applyFont="1"/>
    <xf numFmtId="10" fontId="0" fillId="0" borderId="0" xfId="3" applyNumberFormat="1" applyFont="1"/>
    <xf numFmtId="10" fontId="0" fillId="0" borderId="0" xfId="3" applyNumberFormat="1" applyFont="1" applyAlignment="1">
      <alignment horizontal="center"/>
    </xf>
    <xf numFmtId="10" fontId="0" fillId="0" borderId="1" xfId="3" applyNumberFormat="1" applyFont="1" applyBorder="1"/>
    <xf numFmtId="10" fontId="0" fillId="0" borderId="1" xfId="3" applyNumberFormat="1" applyFont="1" applyBorder="1" applyAlignment="1">
      <alignment horizontal="center"/>
    </xf>
    <xf numFmtId="10" fontId="0" fillId="0" borderId="0" xfId="0" applyNumberFormat="1"/>
    <xf numFmtId="10" fontId="0" fillId="0" borderId="0" xfId="0" applyNumberFormat="1" applyAlignment="1">
      <alignment horizontal="center"/>
    </xf>
    <xf numFmtId="0" fontId="15" fillId="0" borderId="0" xfId="4" applyFont="1"/>
    <xf numFmtId="0" fontId="16" fillId="0" borderId="0" xfId="5"/>
    <xf numFmtId="167" fontId="15" fillId="0" borderId="0" xfId="4" applyNumberFormat="1" applyFont="1"/>
    <xf numFmtId="10" fontId="15" fillId="0" borderId="0" xfId="6" applyNumberFormat="1" applyFont="1"/>
    <xf numFmtId="168" fontId="15" fillId="0" borderId="0" xfId="4" applyNumberFormat="1" applyFont="1"/>
    <xf numFmtId="169" fontId="15" fillId="0" borderId="0" xfId="6" applyNumberFormat="1" applyFont="1"/>
    <xf numFmtId="170" fontId="15" fillId="0" borderId="0" xfId="4" applyNumberFormat="1" applyFont="1"/>
    <xf numFmtId="170" fontId="0" fillId="0" borderId="0" xfId="0" applyNumberFormat="1"/>
    <xf numFmtId="171" fontId="15" fillId="0" borderId="0" xfId="4" applyNumberFormat="1" applyFont="1"/>
    <xf numFmtId="172" fontId="15" fillId="0" borderId="0" xfId="4" applyNumberFormat="1" applyFont="1"/>
    <xf numFmtId="0" fontId="15" fillId="0" borderId="0" xfId="4" applyFont="1" applyFill="1"/>
    <xf numFmtId="169" fontId="0" fillId="0" borderId="0" xfId="0" applyNumberFormat="1"/>
    <xf numFmtId="0" fontId="0" fillId="9" borderId="0" xfId="0" applyFill="1"/>
    <xf numFmtId="165" fontId="0" fillId="9" borderId="0" xfId="0" applyNumberFormat="1" applyFill="1"/>
    <xf numFmtId="164" fontId="0" fillId="0" borderId="0" xfId="0" applyNumberFormat="1"/>
    <xf numFmtId="0" fontId="0" fillId="8" borderId="16" xfId="0" applyFill="1" applyBorder="1"/>
    <xf numFmtId="0" fontId="0" fillId="8" borderId="17" xfId="0" applyFill="1" applyBorder="1"/>
    <xf numFmtId="0" fontId="10" fillId="8" borderId="17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0" fillId="8" borderId="19" xfId="0" applyFill="1" applyBorder="1"/>
    <xf numFmtId="0" fontId="0" fillId="8" borderId="0" xfId="0" applyFill="1" applyBorder="1"/>
    <xf numFmtId="0" fontId="0" fillId="8" borderId="20" xfId="0" applyFill="1" applyBorder="1"/>
    <xf numFmtId="165" fontId="0" fillId="8" borderId="0" xfId="0" applyNumberFormat="1" applyFill="1" applyBorder="1"/>
    <xf numFmtId="165" fontId="0" fillId="8" borderId="20" xfId="0" applyNumberFormat="1" applyFill="1" applyBorder="1"/>
    <xf numFmtId="164" fontId="0" fillId="8" borderId="0" xfId="1" applyNumberFormat="1" applyFont="1" applyFill="1" applyBorder="1"/>
    <xf numFmtId="164" fontId="0" fillId="8" borderId="20" xfId="1" applyNumberFormat="1" applyFont="1" applyFill="1" applyBorder="1"/>
    <xf numFmtId="164" fontId="0" fillId="8" borderId="0" xfId="0" applyNumberFormat="1" applyFill="1" applyBorder="1"/>
    <xf numFmtId="164" fontId="0" fillId="8" borderId="20" xfId="0" applyNumberFormat="1" applyFill="1" applyBorder="1"/>
    <xf numFmtId="166" fontId="0" fillId="8" borderId="0" xfId="0" applyNumberFormat="1" applyFill="1" applyBorder="1"/>
    <xf numFmtId="166" fontId="0" fillId="8" borderId="20" xfId="0" applyNumberFormat="1" applyFill="1" applyBorder="1"/>
    <xf numFmtId="0" fontId="0" fillId="8" borderId="21" xfId="0" applyFill="1" applyBorder="1"/>
    <xf numFmtId="0" fontId="0" fillId="8" borderId="1" xfId="0" applyFill="1" applyBorder="1"/>
    <xf numFmtId="10" fontId="0" fillId="8" borderId="1" xfId="3" applyNumberFormat="1" applyFont="1" applyFill="1" applyBorder="1"/>
    <xf numFmtId="10" fontId="0" fillId="8" borderId="22" xfId="3" applyNumberFormat="1" applyFont="1" applyFill="1" applyBorder="1"/>
    <xf numFmtId="0" fontId="17" fillId="0" borderId="0" xfId="0" applyFont="1" applyAlignment="1">
      <alignment horizontal="center"/>
    </xf>
    <xf numFmtId="0" fontId="21" fillId="0" borderId="6" xfId="0" applyFont="1" applyBorder="1" applyAlignment="1"/>
    <xf numFmtId="0" fontId="22" fillId="0" borderId="0" xfId="0" applyFont="1"/>
    <xf numFmtId="165" fontId="22" fillId="0" borderId="0" xfId="0" applyNumberFormat="1" applyFont="1"/>
    <xf numFmtId="170" fontId="22" fillId="0" borderId="0" xfId="0" applyNumberFormat="1" applyFont="1"/>
    <xf numFmtId="0" fontId="22" fillId="9" borderId="0" xfId="0" applyFont="1" applyFill="1"/>
    <xf numFmtId="165" fontId="22" fillId="9" borderId="0" xfId="0" applyNumberFormat="1" applyFont="1" applyFill="1"/>
    <xf numFmtId="164" fontId="22" fillId="0" borderId="0" xfId="0" applyNumberFormat="1" applyFont="1"/>
    <xf numFmtId="0" fontId="22" fillId="8" borderId="16" xfId="0" applyFont="1" applyFill="1" applyBorder="1"/>
    <xf numFmtId="0" fontId="22" fillId="8" borderId="17" xfId="0" applyFont="1" applyFill="1" applyBorder="1"/>
    <xf numFmtId="0" fontId="22" fillId="8" borderId="19" xfId="0" applyFont="1" applyFill="1" applyBorder="1"/>
    <xf numFmtId="0" fontId="22" fillId="8" borderId="0" xfId="0" applyFont="1" applyFill="1" applyBorder="1"/>
    <xf numFmtId="0" fontId="22" fillId="8" borderId="20" xfId="0" applyFont="1" applyFill="1" applyBorder="1"/>
    <xf numFmtId="165" fontId="22" fillId="8" borderId="0" xfId="0" applyNumberFormat="1" applyFont="1" applyFill="1" applyBorder="1"/>
    <xf numFmtId="165" fontId="22" fillId="8" borderId="20" xfId="0" applyNumberFormat="1" applyFont="1" applyFill="1" applyBorder="1"/>
    <xf numFmtId="164" fontId="22" fillId="8" borderId="0" xfId="1" applyNumberFormat="1" applyFont="1" applyFill="1" applyBorder="1"/>
    <xf numFmtId="164" fontId="22" fillId="8" borderId="20" xfId="1" applyNumberFormat="1" applyFont="1" applyFill="1" applyBorder="1"/>
    <xf numFmtId="164" fontId="22" fillId="8" borderId="0" xfId="0" applyNumberFormat="1" applyFont="1" applyFill="1" applyBorder="1"/>
    <xf numFmtId="164" fontId="22" fillId="8" borderId="20" xfId="0" applyNumberFormat="1" applyFont="1" applyFill="1" applyBorder="1"/>
    <xf numFmtId="166" fontId="22" fillId="8" borderId="0" xfId="0" applyNumberFormat="1" applyFont="1" applyFill="1" applyBorder="1"/>
    <xf numFmtId="166" fontId="22" fillId="8" borderId="20" xfId="0" applyNumberFormat="1" applyFont="1" applyFill="1" applyBorder="1"/>
    <xf numFmtId="0" fontId="22" fillId="8" borderId="21" xfId="0" applyFont="1" applyFill="1" applyBorder="1"/>
    <xf numFmtId="0" fontId="22" fillId="8" borderId="1" xfId="0" applyFont="1" applyFill="1" applyBorder="1"/>
    <xf numFmtId="10" fontId="22" fillId="8" borderId="1" xfId="3" applyNumberFormat="1" applyFont="1" applyFill="1" applyBorder="1"/>
    <xf numFmtId="10" fontId="22" fillId="8" borderId="22" xfId="3" applyNumberFormat="1" applyFont="1" applyFill="1" applyBorder="1"/>
    <xf numFmtId="0" fontId="11" fillId="0" borderId="0" xfId="0" applyFont="1"/>
    <xf numFmtId="165" fontId="11" fillId="0" borderId="0" xfId="2" applyNumberFormat="1" applyFont="1"/>
    <xf numFmtId="164" fontId="11" fillId="0" borderId="0" xfId="1" applyNumberFormat="1" applyFont="1"/>
    <xf numFmtId="165" fontId="11" fillId="0" borderId="0" xfId="0" applyNumberFormat="1" applyFont="1"/>
    <xf numFmtId="166" fontId="11" fillId="0" borderId="0" xfId="1" applyNumberFormat="1" applyFont="1"/>
    <xf numFmtId="44" fontId="11" fillId="0" borderId="0" xfId="2" applyFont="1"/>
    <xf numFmtId="10" fontId="11" fillId="0" borderId="0" xfId="3" applyNumberFormat="1" applyFont="1"/>
    <xf numFmtId="10" fontId="11" fillId="0" borderId="0" xfId="3" applyNumberFormat="1" applyFont="1" applyAlignment="1">
      <alignment horizontal="center"/>
    </xf>
    <xf numFmtId="10" fontId="11" fillId="0" borderId="1" xfId="3" applyNumberFormat="1" applyFont="1" applyBorder="1"/>
    <xf numFmtId="10" fontId="11" fillId="0" borderId="1" xfId="3" applyNumberFormat="1" applyFont="1" applyBorder="1" applyAlignment="1">
      <alignment horizontal="center"/>
    </xf>
    <xf numFmtId="10" fontId="11" fillId="0" borderId="0" xfId="0" applyNumberFormat="1" applyFont="1"/>
    <xf numFmtId="10" fontId="11" fillId="0" borderId="0" xfId="0" applyNumberFormat="1" applyFont="1" applyAlignment="1">
      <alignment horizontal="center"/>
    </xf>
    <xf numFmtId="0" fontId="14" fillId="0" borderId="0" xfId="4" applyFont="1"/>
    <xf numFmtId="0" fontId="11" fillId="0" borderId="0" xfId="5" applyFont="1"/>
    <xf numFmtId="167" fontId="14" fillId="0" borderId="0" xfId="4" applyNumberFormat="1" applyFont="1"/>
    <xf numFmtId="10" fontId="14" fillId="0" borderId="0" xfId="6" applyNumberFormat="1" applyFont="1"/>
    <xf numFmtId="168" fontId="14" fillId="0" borderId="0" xfId="4" applyNumberFormat="1" applyFont="1"/>
    <xf numFmtId="169" fontId="14" fillId="0" borderId="0" xfId="6" applyNumberFormat="1" applyFont="1"/>
    <xf numFmtId="170" fontId="14" fillId="0" borderId="0" xfId="4" applyNumberFormat="1" applyFont="1"/>
    <xf numFmtId="171" fontId="14" fillId="0" borderId="0" xfId="4" applyNumberFormat="1" applyFont="1"/>
    <xf numFmtId="172" fontId="14" fillId="0" borderId="0" xfId="4" applyNumberFormat="1" applyFont="1"/>
    <xf numFmtId="0" fontId="14" fillId="0" borderId="0" xfId="4" applyFont="1" applyFill="1"/>
    <xf numFmtId="169" fontId="11" fillId="0" borderId="0" xfId="0" applyNumberFormat="1" applyFont="1"/>
    <xf numFmtId="0" fontId="23" fillId="0" borderId="0" xfId="0" applyFont="1" applyAlignment="1">
      <alignment horizontal="center"/>
    </xf>
    <xf numFmtId="165" fontId="24" fillId="0" borderId="0" xfId="2" applyNumberFormat="1" applyFont="1"/>
    <xf numFmtId="44" fontId="22" fillId="0" borderId="0" xfId="0" applyNumberFormat="1" applyFont="1"/>
    <xf numFmtId="0" fontId="25" fillId="0" borderId="0" xfId="0" applyFont="1"/>
    <xf numFmtId="9" fontId="0" fillId="0" borderId="0" xfId="3" applyFont="1"/>
    <xf numFmtId="44" fontId="0" fillId="0" borderId="0" xfId="0" applyNumberFormat="1"/>
    <xf numFmtId="165" fontId="11" fillId="0" borderId="0" xfId="2" applyNumberFormat="1" applyFont="1" applyAlignment="1"/>
    <xf numFmtId="164" fontId="11" fillId="0" borderId="0" xfId="1" applyNumberFormat="1" applyFont="1" applyAlignment="1"/>
    <xf numFmtId="165" fontId="11" fillId="0" borderId="0" xfId="0" applyNumberFormat="1" applyFont="1" applyAlignment="1"/>
    <xf numFmtId="0" fontId="11" fillId="0" borderId="0" xfId="0" applyFont="1" applyAlignment="1"/>
    <xf numFmtId="166" fontId="11" fillId="0" borderId="0" xfId="1" applyNumberFormat="1" applyFont="1" applyAlignment="1"/>
    <xf numFmtId="44" fontId="11" fillId="0" borderId="0" xfId="2" applyFont="1" applyAlignment="1"/>
    <xf numFmtId="165" fontId="0" fillId="0" borderId="0" xfId="0" applyNumberFormat="1" applyFill="1"/>
    <xf numFmtId="164" fontId="2" fillId="0" borderId="9" xfId="0" applyNumberFormat="1" applyFont="1" applyBorder="1"/>
    <xf numFmtId="0" fontId="2" fillId="0" borderId="0" xfId="0" applyFont="1" applyAlignment="1">
      <alignment horizontal="left" wrapText="1" indent="2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4" fontId="3" fillId="0" borderId="8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65" fontId="4" fillId="0" borderId="0" xfId="2" applyNumberFormat="1" applyFont="1" applyBorder="1" applyAlignment="1">
      <alignment horizontal="center" wrapText="1"/>
    </xf>
  </cellXfs>
  <cellStyles count="50">
    <cellStyle name="20% - Accent4 2" xfId="37"/>
    <cellStyle name="20% - Accent6 2" xfId="36"/>
    <cellStyle name="40% - Accent5 2" xfId="35"/>
    <cellStyle name="40% - Accent6 2" xfId="34"/>
    <cellStyle name="Comma" xfId="1" builtinId="3"/>
    <cellStyle name="Comma 2" xfId="10"/>
    <cellStyle name="Comma 2 2" xfId="23"/>
    <cellStyle name="Comma 2 3" xfId="40"/>
    <cellStyle name="Comma 3" xfId="16"/>
    <cellStyle name="Comma 3 2" xfId="26"/>
    <cellStyle name="Comma 3 3" xfId="43"/>
    <cellStyle name="Comma 4" xfId="28"/>
    <cellStyle name="Comma 4 2" xfId="46"/>
    <cellStyle name="Comma 5" xfId="31"/>
    <cellStyle name="Comma 6" xfId="19"/>
    <cellStyle name="Comma 7" xfId="8"/>
    <cellStyle name="Currency" xfId="2" builtinId="4"/>
    <cellStyle name="Currency 2" xfId="12"/>
    <cellStyle name="Currency 3" xfId="18"/>
    <cellStyle name="Currency 3 2" xfId="45"/>
    <cellStyle name="Currency 4" xfId="7"/>
    <cellStyle name="Normal" xfId="0" builtinId="0"/>
    <cellStyle name="Normal 10" xfId="30"/>
    <cellStyle name="Normal 11" xfId="38"/>
    <cellStyle name="Normal 12" xfId="48"/>
    <cellStyle name="Normal 13" xfId="47"/>
    <cellStyle name="Normal 14" xfId="5"/>
    <cellStyle name="Normal 2" xfId="9"/>
    <cellStyle name="Normal 2 2" xfId="32"/>
    <cellStyle name="Normal 2 3" xfId="20"/>
    <cellStyle name="Normal 2 4" xfId="39"/>
    <cellStyle name="Normal 3" xfId="11"/>
    <cellStyle name="Normal 4" xfId="4"/>
    <cellStyle name="Normal 4 2" xfId="21"/>
    <cellStyle name="Normal 4 3" xfId="41"/>
    <cellStyle name="Normal 5" xfId="15"/>
    <cellStyle name="Normal 5 2" xfId="22"/>
    <cellStyle name="Normal 5 3" xfId="42"/>
    <cellStyle name="Normal 6" xfId="24"/>
    <cellStyle name="Normal 7" xfId="25"/>
    <cellStyle name="Normal 8" xfId="27"/>
    <cellStyle name="Normal 9" xfId="29"/>
    <cellStyle name="Percent" xfId="3" builtinId="5"/>
    <cellStyle name="Percent 2" xfId="13"/>
    <cellStyle name="Percent 3" xfId="17"/>
    <cellStyle name="Percent 3 2" xfId="33"/>
    <cellStyle name="Percent 3 3" xfId="44"/>
    <cellStyle name="Percent 4" xfId="49"/>
    <cellStyle name="Percent 5" xfId="14"/>
    <cellStyle name="Percent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83"/>
  <sheetViews>
    <sheetView tabSelected="1" workbookViewId="0"/>
  </sheetViews>
  <sheetFormatPr defaultRowHeight="14.25" x14ac:dyDescent="0.2"/>
  <cols>
    <col min="1" max="1" width="8.88671875" style="111"/>
    <col min="2" max="2" width="25.109375" style="111" bestFit="1" customWidth="1"/>
    <col min="3" max="3" width="18.5546875" style="111" bestFit="1" customWidth="1"/>
    <col min="4" max="4" width="8.88671875" style="111"/>
    <col min="5" max="5" width="19.5546875" style="111" bestFit="1" customWidth="1"/>
    <col min="6" max="6" width="20.33203125" style="111" bestFit="1" customWidth="1"/>
    <col min="7" max="7" width="40.5546875" style="111" bestFit="1" customWidth="1"/>
    <col min="8" max="8" width="22.21875" style="111" bestFit="1" customWidth="1"/>
    <col min="9" max="9" width="8.88671875" style="111"/>
    <col min="10" max="10" width="22.21875" style="111" bestFit="1" customWidth="1"/>
    <col min="11" max="11" width="8.88671875" style="111"/>
    <col min="12" max="12" width="9.5546875" style="111" bestFit="1" customWidth="1"/>
    <col min="13" max="16384" width="8.88671875" style="111"/>
  </cols>
  <sheetData>
    <row r="1" spans="1:7" ht="15" x14ac:dyDescent="0.2">
      <c r="A1" s="56" t="s">
        <v>45</v>
      </c>
      <c r="G1" s="57" t="s">
        <v>46</v>
      </c>
    </row>
    <row r="2" spans="1:7" ht="15" x14ac:dyDescent="0.2">
      <c r="A2" s="56" t="s">
        <v>47</v>
      </c>
    </row>
    <row r="5" spans="1:7" x14ac:dyDescent="0.2">
      <c r="A5" s="58" t="s">
        <v>48</v>
      </c>
      <c r="B5" s="59" t="s">
        <v>49</v>
      </c>
      <c r="E5" s="157"/>
    </row>
    <row r="6" spans="1:7" x14ac:dyDescent="0.2">
      <c r="C6" s="134"/>
      <c r="D6" s="134"/>
      <c r="E6" s="61" t="s">
        <v>114</v>
      </c>
      <c r="F6" s="61" t="s">
        <v>109</v>
      </c>
      <c r="G6" s="59" t="s">
        <v>50</v>
      </c>
    </row>
    <row r="7" spans="1:7" x14ac:dyDescent="0.2">
      <c r="C7" s="134" t="s">
        <v>51</v>
      </c>
      <c r="D7" s="134"/>
      <c r="E7" s="163">
        <f>'$75M workpaper'!F7</f>
        <v>4771000</v>
      </c>
      <c r="F7" s="135">
        <f>'$75M workpaper'!K7</f>
        <v>5516000</v>
      </c>
      <c r="G7" s="63" t="s">
        <v>52</v>
      </c>
    </row>
    <row r="8" spans="1:7" x14ac:dyDescent="0.2">
      <c r="C8" s="134" t="s">
        <v>53</v>
      </c>
      <c r="D8" s="134"/>
      <c r="E8" s="164">
        <f>ROUND('$75M workpaper'!F8,-3)</f>
        <v>2060000</v>
      </c>
      <c r="F8" s="136">
        <f>ROUND('$75M workpaper'!K8,-3)</f>
        <v>2388000</v>
      </c>
      <c r="G8" s="63" t="s">
        <v>54</v>
      </c>
    </row>
    <row r="9" spans="1:7" x14ac:dyDescent="0.2">
      <c r="C9" s="134" t="s">
        <v>55</v>
      </c>
      <c r="D9" s="134"/>
      <c r="E9" s="164">
        <f>ROUND('$75M workpaper'!F9,-3)</f>
        <v>2661000</v>
      </c>
      <c r="F9" s="136">
        <f>ROUND('$75M workpaper'!K9,-3)</f>
        <v>2784000</v>
      </c>
      <c r="G9" s="63" t="s">
        <v>56</v>
      </c>
    </row>
    <row r="10" spans="1:7" x14ac:dyDescent="0.2">
      <c r="C10" s="134" t="s">
        <v>57</v>
      </c>
      <c r="D10" s="134"/>
      <c r="E10" s="164">
        <f>ROUND('$75M workpaper'!F10,-3)</f>
        <v>90000</v>
      </c>
      <c r="F10" s="136">
        <f>ROUND('$75M workpaper'!K10,-3)</f>
        <v>90000</v>
      </c>
      <c r="G10" s="63" t="s">
        <v>58</v>
      </c>
    </row>
    <row r="11" spans="1:7" x14ac:dyDescent="0.2">
      <c r="C11" s="134" t="s">
        <v>59</v>
      </c>
      <c r="D11" s="134"/>
      <c r="E11" s="165">
        <f>ROUND((SUM(E7-E8-E9-E10-E29)*E53),-3)</f>
        <v>-615000</v>
      </c>
      <c r="F11" s="137">
        <f>SUM(F7-F8-F9-F10-F29)*E53</f>
        <v>-419506.24294099997</v>
      </c>
      <c r="G11" s="63" t="s">
        <v>60</v>
      </c>
    </row>
    <row r="12" spans="1:7" x14ac:dyDescent="0.2">
      <c r="C12" s="134"/>
      <c r="D12" s="134"/>
      <c r="E12" s="166"/>
      <c r="F12" s="134"/>
    </row>
    <row r="13" spans="1:7" x14ac:dyDescent="0.2">
      <c r="C13" s="134" t="s">
        <v>61</v>
      </c>
      <c r="D13" s="134"/>
      <c r="E13" s="165">
        <f>SUM(E7-E8-E9-E10-E11)</f>
        <v>575000</v>
      </c>
      <c r="F13" s="137">
        <f>SUM(F7-F8-F9-F10-F11)</f>
        <v>673506.24294100003</v>
      </c>
    </row>
    <row r="14" spans="1:7" x14ac:dyDescent="0.2">
      <c r="C14" s="134"/>
      <c r="D14" s="134"/>
      <c r="E14" s="165"/>
      <c r="F14" s="137"/>
    </row>
    <row r="15" spans="1:7" x14ac:dyDescent="0.2">
      <c r="C15" s="134" t="s">
        <v>62</v>
      </c>
      <c r="D15" s="134"/>
      <c r="E15" s="165">
        <f>+F37*E28</f>
        <v>5047770.0000000009</v>
      </c>
      <c r="F15" s="137">
        <f>+F37*F28</f>
        <v>4427010</v>
      </c>
    </row>
    <row r="16" spans="1:7" x14ac:dyDescent="0.2">
      <c r="C16" s="134"/>
      <c r="D16" s="134"/>
      <c r="E16" s="165"/>
      <c r="F16" s="137"/>
    </row>
    <row r="17" spans="3:8" x14ac:dyDescent="0.2">
      <c r="C17" s="134" t="s">
        <v>63</v>
      </c>
      <c r="D17" s="134"/>
      <c r="E17" s="165">
        <f>+E15-E13</f>
        <v>4472770.0000000009</v>
      </c>
      <c r="F17" s="137">
        <f>+F15-F13</f>
        <v>3753503.757059</v>
      </c>
    </row>
    <row r="18" spans="3:8" x14ac:dyDescent="0.2">
      <c r="C18" s="134"/>
      <c r="D18" s="134"/>
      <c r="E18" s="165"/>
      <c r="F18" s="137"/>
    </row>
    <row r="19" spans="3:8" x14ac:dyDescent="0.2">
      <c r="C19" s="134" t="s">
        <v>64</v>
      </c>
      <c r="D19" s="134"/>
      <c r="E19" s="167">
        <f>+F52</f>
        <v>1.7389621669059889</v>
      </c>
      <c r="F19" s="138">
        <f>+E19</f>
        <v>1.7389621669059889</v>
      </c>
    </row>
    <row r="20" spans="3:8" x14ac:dyDescent="0.2">
      <c r="C20" s="134"/>
      <c r="D20" s="134"/>
      <c r="E20" s="165"/>
      <c r="F20" s="137"/>
    </row>
    <row r="21" spans="3:8" x14ac:dyDescent="0.2">
      <c r="C21" s="134" t="s">
        <v>65</v>
      </c>
      <c r="D21" s="134"/>
      <c r="E21" s="165">
        <f>ROUND(+E17*E19,-3)</f>
        <v>7778000</v>
      </c>
      <c r="F21" s="137">
        <f>ROUND(+F17*F19,-3)</f>
        <v>6527000</v>
      </c>
    </row>
    <row r="22" spans="3:8" x14ac:dyDescent="0.2">
      <c r="C22" s="134"/>
      <c r="D22" s="134"/>
      <c r="E22" s="165"/>
      <c r="F22" s="134"/>
    </row>
    <row r="23" spans="3:8" x14ac:dyDescent="0.2">
      <c r="C23" s="134" t="s">
        <v>66</v>
      </c>
      <c r="D23" s="134"/>
      <c r="E23" s="165">
        <f>'$75M workpaper'!F23</f>
        <v>0</v>
      </c>
      <c r="F23" s="137">
        <f>'$75M workpaper'!K23</f>
        <v>4650000</v>
      </c>
      <c r="G23" s="159"/>
    </row>
    <row r="24" spans="3:8" x14ac:dyDescent="0.2">
      <c r="C24" s="134" t="s">
        <v>67</v>
      </c>
      <c r="D24" s="134"/>
      <c r="E24" s="165">
        <f>+E21-E23</f>
        <v>7778000</v>
      </c>
      <c r="F24" s="137">
        <f>+F21-F23</f>
        <v>1877000</v>
      </c>
      <c r="G24" s="112"/>
      <c r="H24" s="112"/>
    </row>
    <row r="25" spans="3:8" x14ac:dyDescent="0.2">
      <c r="C25" s="134" t="s">
        <v>68</v>
      </c>
      <c r="D25" s="134"/>
      <c r="E25" s="164">
        <v>455000</v>
      </c>
      <c r="F25" s="136">
        <v>455000</v>
      </c>
      <c r="G25" s="112"/>
    </row>
    <row r="26" spans="3:8" x14ac:dyDescent="0.2">
      <c r="C26" s="134" t="s">
        <v>69</v>
      </c>
      <c r="D26" s="134"/>
      <c r="E26" s="168">
        <f>+E24/E25/12</f>
        <v>1.4245421245421246</v>
      </c>
      <c r="F26" s="139">
        <f>+F24/F25/12</f>
        <v>0.34377289377289383</v>
      </c>
    </row>
    <row r="27" spans="3:8" x14ac:dyDescent="0.2">
      <c r="C27" s="134"/>
      <c r="D27" s="134"/>
      <c r="E27" s="168"/>
      <c r="F27" s="139"/>
    </row>
    <row r="28" spans="3:8" x14ac:dyDescent="0.2">
      <c r="C28" s="134" t="s">
        <v>70</v>
      </c>
      <c r="D28" s="134"/>
      <c r="E28" s="165">
        <f>ROUND('$75M workpaper'!F30,-3)</f>
        <v>72111000</v>
      </c>
      <c r="F28" s="136">
        <f>ROUND('$75M workpaper'!K30,-3)</f>
        <v>63243000</v>
      </c>
      <c r="G28" s="63" t="s">
        <v>71</v>
      </c>
    </row>
    <row r="29" spans="3:8" x14ac:dyDescent="0.2">
      <c r="C29" s="134" t="s">
        <v>72</v>
      </c>
      <c r="D29" s="134"/>
      <c r="E29" s="164">
        <f>+E28*D35*E35</f>
        <v>1442220</v>
      </c>
      <c r="F29" s="136">
        <f>+F28*D35*E35</f>
        <v>1264860</v>
      </c>
    </row>
    <row r="30" spans="3:8" x14ac:dyDescent="0.2">
      <c r="C30" s="63" t="s">
        <v>73</v>
      </c>
      <c r="D30" s="134"/>
      <c r="E30" s="136"/>
      <c r="F30" s="136"/>
    </row>
    <row r="31" spans="3:8" x14ac:dyDescent="0.2">
      <c r="C31" s="134"/>
      <c r="D31" s="134"/>
      <c r="E31" s="139"/>
      <c r="F31" s="139"/>
      <c r="G31" s="134"/>
    </row>
    <row r="32" spans="3:8" x14ac:dyDescent="0.2">
      <c r="C32" s="134"/>
      <c r="D32" s="134"/>
      <c r="E32" s="137"/>
      <c r="F32" s="134"/>
      <c r="G32" s="134"/>
    </row>
    <row r="33" spans="1:7" x14ac:dyDescent="0.2">
      <c r="A33" s="58" t="s">
        <v>74</v>
      </c>
      <c r="B33" s="59" t="s">
        <v>75</v>
      </c>
      <c r="C33" s="134"/>
      <c r="D33" s="134"/>
      <c r="E33" s="137"/>
      <c r="F33" s="134"/>
      <c r="G33" s="134"/>
    </row>
    <row r="34" spans="1:7" x14ac:dyDescent="0.2">
      <c r="C34" s="134"/>
      <c r="D34" s="61" t="s">
        <v>76</v>
      </c>
      <c r="E34" s="61" t="s">
        <v>77</v>
      </c>
      <c r="F34" s="61" t="s">
        <v>78</v>
      </c>
    </row>
    <row r="35" spans="1:7" x14ac:dyDescent="0.2">
      <c r="C35" s="134" t="s">
        <v>79</v>
      </c>
      <c r="D35" s="140">
        <v>0.5</v>
      </c>
      <c r="E35" s="141">
        <v>0.04</v>
      </c>
      <c r="F35" s="141">
        <f>+D35*E35</f>
        <v>0.02</v>
      </c>
    </row>
    <row r="36" spans="1:7" x14ac:dyDescent="0.2">
      <c r="C36" s="134" t="s">
        <v>80</v>
      </c>
      <c r="D36" s="142">
        <v>0.5</v>
      </c>
      <c r="E36" s="143">
        <v>0.1</v>
      </c>
      <c r="F36" s="143">
        <f>+D36*E36</f>
        <v>0.05</v>
      </c>
    </row>
    <row r="37" spans="1:7" x14ac:dyDescent="0.2">
      <c r="C37" s="134"/>
      <c r="D37" s="144">
        <f>SUM(D35:D36)</f>
        <v>1</v>
      </c>
      <c r="E37" s="137"/>
      <c r="F37" s="145">
        <f>SUM(F35:F36)</f>
        <v>7.0000000000000007E-2</v>
      </c>
    </row>
    <row r="38" spans="1:7" x14ac:dyDescent="0.2">
      <c r="E38" s="112"/>
    </row>
    <row r="39" spans="1:7" x14ac:dyDescent="0.2">
      <c r="E39" s="112"/>
    </row>
    <row r="40" spans="1:7" x14ac:dyDescent="0.2">
      <c r="A40" s="58" t="s">
        <v>81</v>
      </c>
      <c r="B40" s="59" t="s">
        <v>82</v>
      </c>
      <c r="E40" s="112"/>
    </row>
    <row r="41" spans="1:7" x14ac:dyDescent="0.2">
      <c r="E41" s="112"/>
    </row>
    <row r="42" spans="1:7" x14ac:dyDescent="0.2">
      <c r="C42" s="146" t="s">
        <v>83</v>
      </c>
      <c r="D42" s="147"/>
      <c r="E42" s="148"/>
      <c r="F42" s="148">
        <v>1</v>
      </c>
    </row>
    <row r="43" spans="1:7" x14ac:dyDescent="0.2">
      <c r="C43" s="146" t="s">
        <v>84</v>
      </c>
      <c r="D43" s="147"/>
      <c r="E43" s="149">
        <v>0</v>
      </c>
      <c r="F43" s="148">
        <f>+E43*F42</f>
        <v>0</v>
      </c>
    </row>
    <row r="44" spans="1:7" x14ac:dyDescent="0.2">
      <c r="C44" s="146" t="s">
        <v>85</v>
      </c>
      <c r="D44" s="147"/>
      <c r="E44" s="149">
        <v>1.2E-2</v>
      </c>
      <c r="F44" s="148">
        <f>+E44*F42</f>
        <v>1.2E-2</v>
      </c>
    </row>
    <row r="45" spans="1:7" x14ac:dyDescent="0.2">
      <c r="C45" s="146" t="s">
        <v>86</v>
      </c>
      <c r="D45" s="147"/>
      <c r="E45" s="149">
        <v>5.0000000000000001E-3</v>
      </c>
      <c r="F45" s="148">
        <f>+E45*F42</f>
        <v>5.0000000000000001E-3</v>
      </c>
    </row>
    <row r="46" spans="1:7" x14ac:dyDescent="0.2">
      <c r="C46" s="146" t="s">
        <v>87</v>
      </c>
      <c r="D46" s="147"/>
      <c r="E46" s="148"/>
      <c r="F46" s="150">
        <f>+F42-F43-F45-F44</f>
        <v>0.98299999999999998</v>
      </c>
    </row>
    <row r="47" spans="1:7" x14ac:dyDescent="0.2">
      <c r="C47" s="146" t="s">
        <v>88</v>
      </c>
      <c r="D47" s="147"/>
      <c r="E47" s="151">
        <v>9.9999000000000005E-2</v>
      </c>
      <c r="F47" s="148">
        <f>+F46*E47</f>
        <v>9.8299017000000002E-2</v>
      </c>
    </row>
    <row r="48" spans="1:7" x14ac:dyDescent="0.2">
      <c r="C48" s="146" t="s">
        <v>89</v>
      </c>
      <c r="D48" s="147"/>
      <c r="E48" s="149"/>
      <c r="F48" s="152">
        <f>+F46-F47</f>
        <v>0.884700983</v>
      </c>
      <c r="G48" s="113"/>
    </row>
    <row r="49" spans="1:12" x14ac:dyDescent="0.2">
      <c r="C49" s="146" t="s">
        <v>90</v>
      </c>
      <c r="D49" s="147"/>
      <c r="E49" s="149">
        <v>0.35</v>
      </c>
      <c r="F49" s="148"/>
    </row>
    <row r="50" spans="1:12" x14ac:dyDescent="0.2">
      <c r="C50" s="146" t="s">
        <v>91</v>
      </c>
      <c r="D50" s="147"/>
      <c r="E50" s="148"/>
      <c r="F50" s="150">
        <f>+F48*E49</f>
        <v>0.30964534404999999</v>
      </c>
    </row>
    <row r="51" spans="1:12" x14ac:dyDescent="0.2">
      <c r="C51" s="146" t="s">
        <v>92</v>
      </c>
      <c r="D51" s="147"/>
      <c r="E51" s="148"/>
      <c r="F51" s="153">
        <f>+F48-F50</f>
        <v>0.57505563895</v>
      </c>
    </row>
    <row r="52" spans="1:12" x14ac:dyDescent="0.2">
      <c r="C52" s="146" t="s">
        <v>82</v>
      </c>
      <c r="D52" s="147"/>
      <c r="E52" s="148"/>
      <c r="F52" s="154">
        <f>1/F51</f>
        <v>1.7389621669059889</v>
      </c>
    </row>
    <row r="53" spans="1:12" x14ac:dyDescent="0.2">
      <c r="C53" s="155" t="s">
        <v>93</v>
      </c>
      <c r="D53" s="134"/>
      <c r="E53" s="156">
        <f>1-(SUM(1-E47)-(SUM(1-E47)*E49))</f>
        <v>0.41499934999999999</v>
      </c>
      <c r="F53" s="134"/>
    </row>
    <row r="55" spans="1:12" x14ac:dyDescent="0.2">
      <c r="A55" s="114"/>
      <c r="B55" s="114"/>
      <c r="C55" s="114"/>
      <c r="D55" s="114"/>
      <c r="E55" s="115"/>
      <c r="F55" s="114"/>
      <c r="G55" s="114"/>
      <c r="H55" s="114"/>
      <c r="I55" s="114"/>
      <c r="J55" s="114"/>
    </row>
    <row r="56" spans="1:12" x14ac:dyDescent="0.2">
      <c r="A56" s="58" t="s">
        <v>94</v>
      </c>
    </row>
    <row r="57" spans="1:12" x14ac:dyDescent="0.2">
      <c r="A57" s="68"/>
    </row>
    <row r="59" spans="1:12" x14ac:dyDescent="0.2">
      <c r="L59" s="112"/>
    </row>
    <row r="60" spans="1:12" x14ac:dyDescent="0.2">
      <c r="L60" s="116"/>
    </row>
    <row r="63" spans="1:12" x14ac:dyDescent="0.2">
      <c r="A63" s="117"/>
      <c r="B63" s="118"/>
      <c r="C63" s="92" t="s">
        <v>95</v>
      </c>
      <c r="D63" s="118"/>
      <c r="E63" s="118"/>
      <c r="F63" s="93" t="s">
        <v>95</v>
      </c>
    </row>
    <row r="64" spans="1:12" x14ac:dyDescent="0.2">
      <c r="A64" s="119"/>
      <c r="B64" s="120"/>
      <c r="C64" s="120"/>
      <c r="D64" s="120"/>
      <c r="E64" s="120"/>
      <c r="F64" s="121"/>
    </row>
    <row r="65" spans="1:6" x14ac:dyDescent="0.2">
      <c r="A65" s="119" t="s">
        <v>51</v>
      </c>
      <c r="B65" s="120"/>
      <c r="C65" s="122">
        <f>+E7+E21</f>
        <v>12549000</v>
      </c>
      <c r="D65" s="120"/>
      <c r="E65" s="120"/>
      <c r="F65" s="123">
        <f>+F7+F21</f>
        <v>12043000</v>
      </c>
    </row>
    <row r="66" spans="1:6" x14ac:dyDescent="0.2">
      <c r="A66" s="119" t="s">
        <v>53</v>
      </c>
      <c r="B66" s="120"/>
      <c r="C66" s="124">
        <f>+E8+ROUND(SUM(E21*E45),-3)</f>
        <v>2099000</v>
      </c>
      <c r="D66" s="120"/>
      <c r="E66" s="120"/>
      <c r="F66" s="125">
        <f>+F8+ROUND(SUM(F21*F45),-3)</f>
        <v>2421000</v>
      </c>
    </row>
    <row r="67" spans="1:6" x14ac:dyDescent="0.2">
      <c r="A67" s="119" t="s">
        <v>55</v>
      </c>
      <c r="B67" s="120"/>
      <c r="C67" s="124">
        <f>+E9</f>
        <v>2661000</v>
      </c>
      <c r="D67" s="120"/>
      <c r="E67" s="120"/>
      <c r="F67" s="125">
        <f>+F9</f>
        <v>2784000</v>
      </c>
    </row>
    <row r="68" spans="1:6" x14ac:dyDescent="0.2">
      <c r="A68" s="119" t="s">
        <v>57</v>
      </c>
      <c r="B68" s="120"/>
      <c r="C68" s="124">
        <f>ROUND(+E10+SUM(E21*E44),-3)</f>
        <v>183000</v>
      </c>
      <c r="D68" s="120"/>
      <c r="E68" s="120"/>
      <c r="F68" s="125">
        <f>ROUND(+F10+SUM(F21*F44),-3)</f>
        <v>168000</v>
      </c>
    </row>
    <row r="69" spans="1:6" x14ac:dyDescent="0.2">
      <c r="A69" s="119" t="s">
        <v>59</v>
      </c>
      <c r="B69" s="120"/>
      <c r="C69" s="122">
        <f>SUM(C65-C66-C67-C68-E29)*E53</f>
        <v>2557964.6935430001</v>
      </c>
      <c r="D69" s="120"/>
      <c r="E69" s="120"/>
      <c r="F69" s="123">
        <f>SUM(F65-F66-F67-F68-F29)*E53</f>
        <v>2243129.5866589998</v>
      </c>
    </row>
    <row r="70" spans="1:6" x14ac:dyDescent="0.2">
      <c r="A70" s="119"/>
      <c r="B70" s="120"/>
      <c r="C70" s="124"/>
      <c r="D70" s="120"/>
      <c r="E70" s="120"/>
      <c r="F70" s="125"/>
    </row>
    <row r="71" spans="1:6" x14ac:dyDescent="0.2">
      <c r="A71" s="119" t="s">
        <v>61</v>
      </c>
      <c r="B71" s="120"/>
      <c r="C71" s="122">
        <f>ROUND(SUM(C65-C66-C67-C68-C69),-3)</f>
        <v>5048000</v>
      </c>
      <c r="D71" s="120"/>
      <c r="E71" s="120"/>
      <c r="F71" s="123">
        <f>ROUND(SUM(F65-F66-F67-F68-F69),-3)</f>
        <v>4427000</v>
      </c>
    </row>
    <row r="72" spans="1:6" x14ac:dyDescent="0.2">
      <c r="A72" s="119"/>
      <c r="B72" s="120"/>
      <c r="C72" s="124"/>
      <c r="D72" s="120"/>
      <c r="E72" s="120"/>
      <c r="F72" s="125"/>
    </row>
    <row r="73" spans="1:6" x14ac:dyDescent="0.2">
      <c r="A73" s="119" t="s">
        <v>62</v>
      </c>
      <c r="B73" s="120"/>
      <c r="C73" s="124">
        <f>+E15</f>
        <v>5047770.0000000009</v>
      </c>
      <c r="D73" s="120"/>
      <c r="E73" s="120"/>
      <c r="F73" s="125">
        <f>+F15</f>
        <v>4427010</v>
      </c>
    </row>
    <row r="74" spans="1:6" x14ac:dyDescent="0.2">
      <c r="A74" s="119"/>
      <c r="B74" s="120"/>
      <c r="C74" s="120"/>
      <c r="D74" s="120"/>
      <c r="E74" s="120"/>
      <c r="F74" s="121"/>
    </row>
    <row r="75" spans="1:6" x14ac:dyDescent="0.2">
      <c r="A75" s="119" t="s">
        <v>63</v>
      </c>
      <c r="B75" s="120"/>
      <c r="C75" s="126">
        <f>+C71-C73</f>
        <v>229.99999999906868</v>
      </c>
      <c r="D75" s="120"/>
      <c r="E75" s="120"/>
      <c r="F75" s="127">
        <f>+F71-F73</f>
        <v>-10</v>
      </c>
    </row>
    <row r="76" spans="1:6" x14ac:dyDescent="0.2">
      <c r="A76" s="119"/>
      <c r="B76" s="120"/>
      <c r="C76" s="120"/>
      <c r="D76" s="120"/>
      <c r="E76" s="120"/>
      <c r="F76" s="121"/>
    </row>
    <row r="77" spans="1:6" x14ac:dyDescent="0.2">
      <c r="A77" s="119" t="s">
        <v>64</v>
      </c>
      <c r="B77" s="120"/>
      <c r="C77" s="128">
        <f>+E19</f>
        <v>1.7389621669059889</v>
      </c>
      <c r="D77" s="120"/>
      <c r="E77" s="120"/>
      <c r="F77" s="129">
        <f>+C77</f>
        <v>1.7389621669059889</v>
      </c>
    </row>
    <row r="78" spans="1:6" x14ac:dyDescent="0.2">
      <c r="A78" s="119"/>
      <c r="B78" s="120"/>
      <c r="C78" s="120"/>
      <c r="D78" s="120"/>
      <c r="E78" s="120"/>
      <c r="F78" s="121"/>
    </row>
    <row r="79" spans="1:6" x14ac:dyDescent="0.2">
      <c r="A79" s="119" t="s">
        <v>65</v>
      </c>
      <c r="B79" s="120"/>
      <c r="C79" s="122">
        <f>+C73-C71</f>
        <v>-229.99999999906868</v>
      </c>
      <c r="D79" s="120"/>
      <c r="E79" s="120"/>
      <c r="F79" s="123">
        <f>+F73-F71</f>
        <v>10</v>
      </c>
    </row>
    <row r="80" spans="1:6" x14ac:dyDescent="0.2">
      <c r="A80" s="119"/>
      <c r="B80" s="120"/>
      <c r="C80" s="120"/>
      <c r="D80" s="120"/>
      <c r="E80" s="120"/>
      <c r="F80" s="121"/>
    </row>
    <row r="81" spans="1:6" x14ac:dyDescent="0.2">
      <c r="A81" s="119" t="s">
        <v>96</v>
      </c>
      <c r="B81" s="120"/>
      <c r="C81" s="124">
        <f>+E28*D36</f>
        <v>36055500</v>
      </c>
      <c r="D81" s="120"/>
      <c r="E81" s="120"/>
      <c r="F81" s="125">
        <f>+F28*D36</f>
        <v>31621500</v>
      </c>
    </row>
    <row r="82" spans="1:6" x14ac:dyDescent="0.2">
      <c r="A82" s="119"/>
      <c r="B82" s="120"/>
      <c r="C82" s="120"/>
      <c r="D82" s="120"/>
      <c r="E82" s="120"/>
      <c r="F82" s="121"/>
    </row>
    <row r="83" spans="1:6" x14ac:dyDescent="0.2">
      <c r="A83" s="130" t="s">
        <v>97</v>
      </c>
      <c r="B83" s="131"/>
      <c r="C83" s="132">
        <f>SUM(C71-E29)/C81</f>
        <v>0.10000637905451318</v>
      </c>
      <c r="D83" s="131"/>
      <c r="E83" s="131"/>
      <c r="F83" s="133">
        <f>SUM(F71-F29)/F81</f>
        <v>9.9999683759467453E-2</v>
      </c>
    </row>
  </sheetData>
  <pageMargins left="0.7" right="0.7" top="0.75" bottom="0.7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85"/>
  <sheetViews>
    <sheetView workbookViewId="0"/>
  </sheetViews>
  <sheetFormatPr defaultRowHeight="14.25" x14ac:dyDescent="0.2"/>
  <cols>
    <col min="1" max="1" width="8.88671875" style="111"/>
    <col min="2" max="2" width="25.109375" style="111" bestFit="1" customWidth="1"/>
    <col min="3" max="3" width="18.5546875" style="111" bestFit="1" customWidth="1"/>
    <col min="4" max="4" width="8.88671875" style="111"/>
    <col min="5" max="5" width="19.5546875" style="111" bestFit="1" customWidth="1"/>
    <col min="6" max="6" width="20.33203125" style="111" bestFit="1" customWidth="1"/>
    <col min="7" max="7" width="40.5546875" style="111" bestFit="1" customWidth="1"/>
    <col min="8" max="8" width="22.21875" style="111" bestFit="1" customWidth="1"/>
    <col min="9" max="9" width="8.88671875" style="111"/>
    <col min="10" max="10" width="22.21875" style="111" bestFit="1" customWidth="1"/>
    <col min="11" max="11" width="8.88671875" style="111"/>
    <col min="12" max="12" width="9.5546875" style="111" bestFit="1" customWidth="1"/>
    <col min="13" max="16384" width="8.88671875" style="111"/>
  </cols>
  <sheetData>
    <row r="1" spans="1:7" ht="15" x14ac:dyDescent="0.2">
      <c r="A1" s="56" t="s">
        <v>45</v>
      </c>
      <c r="G1" s="57" t="s">
        <v>116</v>
      </c>
    </row>
    <row r="2" spans="1:7" ht="15" x14ac:dyDescent="0.2">
      <c r="A2" s="56" t="s">
        <v>47</v>
      </c>
    </row>
    <row r="5" spans="1:7" x14ac:dyDescent="0.2">
      <c r="A5" s="58" t="s">
        <v>48</v>
      </c>
      <c r="B5" s="59" t="s">
        <v>49</v>
      </c>
      <c r="E5" s="157"/>
    </row>
    <row r="6" spans="1:7" x14ac:dyDescent="0.2">
      <c r="C6" s="134"/>
      <c r="D6" s="134"/>
      <c r="E6" s="61" t="s">
        <v>114</v>
      </c>
      <c r="F6" s="61" t="s">
        <v>109</v>
      </c>
      <c r="G6" s="59" t="s">
        <v>50</v>
      </c>
    </row>
    <row r="7" spans="1:7" x14ac:dyDescent="0.2">
      <c r="C7" s="134" t="s">
        <v>51</v>
      </c>
      <c r="D7" s="134"/>
      <c r="E7" s="135">
        <f>'$60M workpaper'!F7</f>
        <v>4771000</v>
      </c>
      <c r="F7" s="135">
        <f>'$60M workpaper'!K7</f>
        <v>5516000</v>
      </c>
      <c r="G7" s="63" t="s">
        <v>52</v>
      </c>
    </row>
    <row r="8" spans="1:7" x14ac:dyDescent="0.2">
      <c r="C8" s="134" t="s">
        <v>53</v>
      </c>
      <c r="D8" s="134"/>
      <c r="E8" s="136">
        <f>ROUND('$60M workpaper'!F8,-3)</f>
        <v>2060000</v>
      </c>
      <c r="F8" s="136">
        <f>ROUND('$60M workpaper'!K8,-3)</f>
        <v>2388000</v>
      </c>
      <c r="G8" s="63" t="s">
        <v>54</v>
      </c>
    </row>
    <row r="9" spans="1:7" x14ac:dyDescent="0.2">
      <c r="C9" s="134" t="s">
        <v>55</v>
      </c>
      <c r="D9" s="134"/>
      <c r="E9" s="136">
        <f>ROUND('$60M workpaper'!F9,-3)</f>
        <v>2280000</v>
      </c>
      <c r="F9" s="136">
        <f>ROUND('$60M workpaper'!K9,-3)</f>
        <v>2770000</v>
      </c>
      <c r="G9" s="63" t="s">
        <v>56</v>
      </c>
    </row>
    <row r="10" spans="1:7" x14ac:dyDescent="0.2">
      <c r="C10" s="134" t="s">
        <v>57</v>
      </c>
      <c r="D10" s="134"/>
      <c r="E10" s="136">
        <f>ROUND('$60M workpaper'!F10,-3)</f>
        <v>90000</v>
      </c>
      <c r="F10" s="136">
        <f>ROUND('$60M workpaper'!K10,-3)</f>
        <v>90000</v>
      </c>
      <c r="G10" s="63" t="s">
        <v>58</v>
      </c>
    </row>
    <row r="11" spans="1:7" x14ac:dyDescent="0.2">
      <c r="C11" s="134" t="s">
        <v>59</v>
      </c>
      <c r="D11" s="134"/>
      <c r="E11" s="137">
        <f>ROUND((SUM(E7-E8-E9-E10-E29)*E55),-3)</f>
        <v>-373000</v>
      </c>
      <c r="F11" s="137">
        <f>SUM(F7-F8-F9-F10-F29)*E55</f>
        <v>-424004.83589499997</v>
      </c>
      <c r="G11" s="63" t="s">
        <v>60</v>
      </c>
    </row>
    <row r="12" spans="1:7" x14ac:dyDescent="0.2">
      <c r="C12" s="134"/>
      <c r="D12" s="134"/>
      <c r="E12" s="134"/>
      <c r="F12" s="134"/>
    </row>
    <row r="13" spans="1:7" x14ac:dyDescent="0.2">
      <c r="C13" s="134" t="s">
        <v>61</v>
      </c>
      <c r="D13" s="134"/>
      <c r="E13" s="137">
        <f>SUM(E7-E8-E9-E10-E11)</f>
        <v>714000</v>
      </c>
      <c r="F13" s="137">
        <f>SUM(F7-F8-F9-F10-F11)</f>
        <v>692004.83589500003</v>
      </c>
    </row>
    <row r="14" spans="1:7" x14ac:dyDescent="0.2">
      <c r="C14" s="134"/>
      <c r="D14" s="134"/>
      <c r="E14" s="137"/>
      <c r="F14" s="137"/>
    </row>
    <row r="15" spans="1:7" x14ac:dyDescent="0.2">
      <c r="C15" s="134" t="s">
        <v>62</v>
      </c>
      <c r="D15" s="134"/>
      <c r="E15" s="137">
        <f>+F39*E28</f>
        <v>4343290</v>
      </c>
      <c r="F15" s="137">
        <f>+F39*F28</f>
        <v>4513950</v>
      </c>
    </row>
    <row r="16" spans="1:7" x14ac:dyDescent="0.2">
      <c r="C16" s="134"/>
      <c r="D16" s="134"/>
      <c r="E16" s="137"/>
      <c r="F16" s="137"/>
    </row>
    <row r="17" spans="3:8" x14ac:dyDescent="0.2">
      <c r="C17" s="134" t="s">
        <v>63</v>
      </c>
      <c r="D17" s="134"/>
      <c r="E17" s="137">
        <f>+E15-E13</f>
        <v>3629290</v>
      </c>
      <c r="F17" s="137">
        <f>+F15-F13</f>
        <v>3821945.164105</v>
      </c>
    </row>
    <row r="18" spans="3:8" x14ac:dyDescent="0.2">
      <c r="C18" s="134"/>
      <c r="D18" s="134"/>
      <c r="E18" s="137"/>
      <c r="F18" s="137"/>
    </row>
    <row r="19" spans="3:8" x14ac:dyDescent="0.2">
      <c r="C19" s="134" t="s">
        <v>64</v>
      </c>
      <c r="D19" s="134"/>
      <c r="E19" s="138">
        <f>+F54</f>
        <v>1.7389621669059889</v>
      </c>
      <c r="F19" s="138">
        <f>+E19</f>
        <v>1.7389621669059889</v>
      </c>
    </row>
    <row r="20" spans="3:8" x14ac:dyDescent="0.2">
      <c r="C20" s="134"/>
      <c r="D20" s="134"/>
      <c r="E20" s="137"/>
      <c r="F20" s="137"/>
    </row>
    <row r="21" spans="3:8" x14ac:dyDescent="0.2">
      <c r="C21" s="134" t="s">
        <v>65</v>
      </c>
      <c r="D21" s="134"/>
      <c r="E21" s="137">
        <f>ROUND(+E17*E19,-3)</f>
        <v>6311000</v>
      </c>
      <c r="F21" s="137">
        <f>ROUND(+F17*F19,-3)</f>
        <v>6646000</v>
      </c>
    </row>
    <row r="22" spans="3:8" x14ac:dyDescent="0.2">
      <c r="C22" s="134"/>
      <c r="D22" s="134"/>
      <c r="E22" s="137"/>
      <c r="F22" s="134"/>
    </row>
    <row r="23" spans="3:8" x14ac:dyDescent="0.2">
      <c r="C23" s="134" t="s">
        <v>66</v>
      </c>
      <c r="D23" s="134"/>
      <c r="E23" s="137">
        <f>'$60M workpaper'!F23</f>
        <v>0</v>
      </c>
      <c r="F23" s="137">
        <f>'$60M workpaper'!K23</f>
        <v>4650000</v>
      </c>
      <c r="G23" s="159"/>
    </row>
    <row r="24" spans="3:8" x14ac:dyDescent="0.2">
      <c r="C24" s="134" t="s">
        <v>67</v>
      </c>
      <c r="D24" s="134"/>
      <c r="E24" s="137">
        <f>+E21-E23</f>
        <v>6311000</v>
      </c>
      <c r="F24" s="137">
        <f>+F21-F23</f>
        <v>1996000</v>
      </c>
      <c r="G24" s="112"/>
      <c r="H24" s="112"/>
    </row>
    <row r="25" spans="3:8" x14ac:dyDescent="0.2">
      <c r="C25" s="134" t="s">
        <v>68</v>
      </c>
      <c r="D25" s="134"/>
      <c r="E25" s="136">
        <v>455000</v>
      </c>
      <c r="F25" s="136">
        <v>455000</v>
      </c>
      <c r="G25" s="112"/>
    </row>
    <row r="26" spans="3:8" x14ac:dyDescent="0.2">
      <c r="C26" s="134" t="s">
        <v>69</v>
      </c>
      <c r="D26" s="134"/>
      <c r="E26" s="139">
        <f>+E24/E25/12</f>
        <v>1.155860805860806</v>
      </c>
      <c r="F26" s="139">
        <f>+F24/F25/12</f>
        <v>0.3655677655677656</v>
      </c>
    </row>
    <row r="27" spans="3:8" x14ac:dyDescent="0.2">
      <c r="C27" s="134"/>
      <c r="D27" s="134"/>
      <c r="E27" s="139"/>
      <c r="F27" s="139"/>
    </row>
    <row r="28" spans="3:8" x14ac:dyDescent="0.2">
      <c r="C28" s="134" t="s">
        <v>70</v>
      </c>
      <c r="D28" s="134"/>
      <c r="E28" s="137">
        <f>ROUND('$60M workpaper'!F31,-3)</f>
        <v>62047000</v>
      </c>
      <c r="F28" s="136">
        <f>ROUND('$60M workpaper'!K31,-3)</f>
        <v>64485000</v>
      </c>
      <c r="G28" s="63" t="s">
        <v>71</v>
      </c>
    </row>
    <row r="29" spans="3:8" x14ac:dyDescent="0.2">
      <c r="C29" s="134" t="s">
        <v>72</v>
      </c>
      <c r="D29" s="134"/>
      <c r="E29" s="136">
        <f>+E28*D37*E37</f>
        <v>1240940</v>
      </c>
      <c r="F29" s="136">
        <f>+F28*D37*E37</f>
        <v>1289700</v>
      </c>
    </row>
    <row r="30" spans="3:8" x14ac:dyDescent="0.2">
      <c r="C30" s="63" t="s">
        <v>113</v>
      </c>
    </row>
    <row r="31" spans="3:8" x14ac:dyDescent="0.2">
      <c r="C31" s="63"/>
    </row>
    <row r="32" spans="3:8" x14ac:dyDescent="0.2">
      <c r="C32" s="63"/>
    </row>
    <row r="33" spans="1:6" x14ac:dyDescent="0.2">
      <c r="A33" s="68"/>
    </row>
    <row r="34" spans="1:6" x14ac:dyDescent="0.2">
      <c r="E34" s="112"/>
    </row>
    <row r="35" spans="1:6" x14ac:dyDescent="0.2">
      <c r="A35" s="58" t="s">
        <v>74</v>
      </c>
      <c r="B35" s="59" t="s">
        <v>75</v>
      </c>
      <c r="E35" s="112"/>
    </row>
    <row r="36" spans="1:6" x14ac:dyDescent="0.2">
      <c r="C36" s="134"/>
      <c r="D36" s="61" t="s">
        <v>76</v>
      </c>
      <c r="E36" s="61" t="s">
        <v>77</v>
      </c>
      <c r="F36" s="61" t="s">
        <v>78</v>
      </c>
    </row>
    <row r="37" spans="1:6" x14ac:dyDescent="0.2">
      <c r="C37" s="134" t="s">
        <v>79</v>
      </c>
      <c r="D37" s="140">
        <v>0.5</v>
      </c>
      <c r="E37" s="141">
        <v>0.04</v>
      </c>
      <c r="F37" s="141">
        <f>+D37*E37</f>
        <v>0.02</v>
      </c>
    </row>
    <row r="38" spans="1:6" x14ac:dyDescent="0.2">
      <c r="C38" s="134" t="s">
        <v>80</v>
      </c>
      <c r="D38" s="142">
        <v>0.5</v>
      </c>
      <c r="E38" s="143">
        <v>0.1</v>
      </c>
      <c r="F38" s="143">
        <f>+D38*E38</f>
        <v>0.05</v>
      </c>
    </row>
    <row r="39" spans="1:6" x14ac:dyDescent="0.2">
      <c r="C39" s="134"/>
      <c r="D39" s="144">
        <f>SUM(D37:D38)</f>
        <v>1</v>
      </c>
      <c r="E39" s="137"/>
      <c r="F39" s="145">
        <f>SUM(F37:F38)</f>
        <v>7.0000000000000007E-2</v>
      </c>
    </row>
    <row r="40" spans="1:6" x14ac:dyDescent="0.2">
      <c r="E40" s="112"/>
    </row>
    <row r="41" spans="1:6" x14ac:dyDescent="0.2">
      <c r="E41" s="112"/>
    </row>
    <row r="42" spans="1:6" x14ac:dyDescent="0.2">
      <c r="A42" s="58" t="s">
        <v>81</v>
      </c>
      <c r="B42" s="59" t="s">
        <v>82</v>
      </c>
      <c r="E42" s="112"/>
    </row>
    <row r="43" spans="1:6" x14ac:dyDescent="0.2">
      <c r="E43" s="112"/>
    </row>
    <row r="44" spans="1:6" x14ac:dyDescent="0.2">
      <c r="C44" s="146" t="s">
        <v>83</v>
      </c>
      <c r="D44" s="147"/>
      <c r="E44" s="148"/>
      <c r="F44" s="148">
        <v>1</v>
      </c>
    </row>
    <row r="45" spans="1:6" x14ac:dyDescent="0.2">
      <c r="C45" s="146" t="s">
        <v>84</v>
      </c>
      <c r="D45" s="147"/>
      <c r="E45" s="149">
        <v>0</v>
      </c>
      <c r="F45" s="148">
        <f>+E45*F44</f>
        <v>0</v>
      </c>
    </row>
    <row r="46" spans="1:6" x14ac:dyDescent="0.2">
      <c r="C46" s="146" t="s">
        <v>85</v>
      </c>
      <c r="D46" s="147"/>
      <c r="E46" s="149">
        <v>1.2E-2</v>
      </c>
      <c r="F46" s="148">
        <f>+E46*F44</f>
        <v>1.2E-2</v>
      </c>
    </row>
    <row r="47" spans="1:6" x14ac:dyDescent="0.2">
      <c r="C47" s="146" t="s">
        <v>86</v>
      </c>
      <c r="D47" s="147"/>
      <c r="E47" s="149">
        <v>5.0000000000000001E-3</v>
      </c>
      <c r="F47" s="148">
        <f>+E47*F44</f>
        <v>5.0000000000000001E-3</v>
      </c>
    </row>
    <row r="48" spans="1:6" x14ac:dyDescent="0.2">
      <c r="C48" s="146" t="s">
        <v>87</v>
      </c>
      <c r="D48" s="147"/>
      <c r="E48" s="148"/>
      <c r="F48" s="150">
        <f>+F44-F45-F47-F46</f>
        <v>0.98299999999999998</v>
      </c>
    </row>
    <row r="49" spans="1:12" x14ac:dyDescent="0.2">
      <c r="C49" s="146" t="s">
        <v>88</v>
      </c>
      <c r="D49" s="147"/>
      <c r="E49" s="151">
        <v>9.9999000000000005E-2</v>
      </c>
      <c r="F49" s="148">
        <f>+F48*E49</f>
        <v>9.8299017000000002E-2</v>
      </c>
    </row>
    <row r="50" spans="1:12" x14ac:dyDescent="0.2">
      <c r="C50" s="146" t="s">
        <v>89</v>
      </c>
      <c r="D50" s="147"/>
      <c r="E50" s="149"/>
      <c r="F50" s="152">
        <f>+F48-F49</f>
        <v>0.884700983</v>
      </c>
      <c r="G50" s="113"/>
    </row>
    <row r="51" spans="1:12" x14ac:dyDescent="0.2">
      <c r="C51" s="146" t="s">
        <v>90</v>
      </c>
      <c r="D51" s="147"/>
      <c r="E51" s="149">
        <v>0.35</v>
      </c>
      <c r="F51" s="148"/>
    </row>
    <row r="52" spans="1:12" x14ac:dyDescent="0.2">
      <c r="C52" s="146" t="s">
        <v>91</v>
      </c>
      <c r="D52" s="147"/>
      <c r="E52" s="148"/>
      <c r="F52" s="150">
        <f>+F50*E51</f>
        <v>0.30964534404999999</v>
      </c>
    </row>
    <row r="53" spans="1:12" x14ac:dyDescent="0.2">
      <c r="C53" s="146" t="s">
        <v>92</v>
      </c>
      <c r="D53" s="147"/>
      <c r="E53" s="148"/>
      <c r="F53" s="153">
        <f>+F50-F52</f>
        <v>0.57505563895</v>
      </c>
    </row>
    <row r="54" spans="1:12" x14ac:dyDescent="0.2">
      <c r="C54" s="146" t="s">
        <v>82</v>
      </c>
      <c r="D54" s="147"/>
      <c r="E54" s="148"/>
      <c r="F54" s="154">
        <f>1/F53</f>
        <v>1.7389621669059889</v>
      </c>
    </row>
    <row r="55" spans="1:12" x14ac:dyDescent="0.2">
      <c r="C55" s="155" t="s">
        <v>93</v>
      </c>
      <c r="D55" s="134"/>
      <c r="E55" s="156">
        <f>1-(SUM(1-E49)-(SUM(1-E49)*E51))</f>
        <v>0.41499934999999999</v>
      </c>
      <c r="F55" s="134"/>
    </row>
    <row r="57" spans="1:12" x14ac:dyDescent="0.2">
      <c r="A57" s="114"/>
      <c r="B57" s="114"/>
      <c r="C57" s="114"/>
      <c r="D57" s="114"/>
      <c r="E57" s="115"/>
      <c r="F57" s="114"/>
      <c r="G57" s="114"/>
      <c r="H57" s="114"/>
      <c r="I57" s="114"/>
      <c r="J57" s="114"/>
    </row>
    <row r="58" spans="1:12" x14ac:dyDescent="0.2">
      <c r="A58" s="58" t="s">
        <v>94</v>
      </c>
    </row>
    <row r="59" spans="1:12" x14ac:dyDescent="0.2">
      <c r="A59" s="68"/>
    </row>
    <row r="61" spans="1:12" x14ac:dyDescent="0.2">
      <c r="L61" s="112"/>
    </row>
    <row r="62" spans="1:12" x14ac:dyDescent="0.2">
      <c r="L62" s="116"/>
    </row>
    <row r="65" spans="1:6" x14ac:dyDescent="0.2">
      <c r="A65" s="117"/>
      <c r="B65" s="118"/>
      <c r="C65" s="92" t="s">
        <v>95</v>
      </c>
      <c r="D65" s="118"/>
      <c r="E65" s="118"/>
      <c r="F65" s="93" t="s">
        <v>95</v>
      </c>
    </row>
    <row r="66" spans="1:6" x14ac:dyDescent="0.2">
      <c r="A66" s="119"/>
      <c r="B66" s="120"/>
      <c r="C66" s="120"/>
      <c r="D66" s="120"/>
      <c r="E66" s="120"/>
      <c r="F66" s="121"/>
    </row>
    <row r="67" spans="1:6" x14ac:dyDescent="0.2">
      <c r="A67" s="119" t="s">
        <v>51</v>
      </c>
      <c r="B67" s="120"/>
      <c r="C67" s="122">
        <f>+E7+E21</f>
        <v>11082000</v>
      </c>
      <c r="D67" s="120"/>
      <c r="E67" s="120"/>
      <c r="F67" s="123">
        <f>+F7+F21</f>
        <v>12162000</v>
      </c>
    </row>
    <row r="68" spans="1:6" x14ac:dyDescent="0.2">
      <c r="A68" s="119" t="s">
        <v>53</v>
      </c>
      <c r="B68" s="120"/>
      <c r="C68" s="124">
        <f>+E8+ROUND(SUM(E21*E47),-3)</f>
        <v>2092000</v>
      </c>
      <c r="D68" s="120"/>
      <c r="E68" s="120"/>
      <c r="F68" s="125">
        <f>+F8+ROUND(SUM(F21*F47),-3)</f>
        <v>2421000</v>
      </c>
    </row>
    <row r="69" spans="1:6" x14ac:dyDescent="0.2">
      <c r="A69" s="119" t="s">
        <v>55</v>
      </c>
      <c r="B69" s="120"/>
      <c r="C69" s="124">
        <f>+E9</f>
        <v>2280000</v>
      </c>
      <c r="D69" s="120"/>
      <c r="E69" s="120"/>
      <c r="F69" s="125">
        <f>+F9</f>
        <v>2770000</v>
      </c>
    </row>
    <row r="70" spans="1:6" x14ac:dyDescent="0.2">
      <c r="A70" s="119" t="s">
        <v>57</v>
      </c>
      <c r="B70" s="120"/>
      <c r="C70" s="124">
        <f>ROUND(+E10+SUM(E21*E46),-3)</f>
        <v>166000</v>
      </c>
      <c r="D70" s="120"/>
      <c r="E70" s="120"/>
      <c r="F70" s="125">
        <f>ROUND(+F10+SUM(F21*F46),-3)</f>
        <v>170000</v>
      </c>
    </row>
    <row r="71" spans="1:6" x14ac:dyDescent="0.2">
      <c r="A71" s="119" t="s">
        <v>59</v>
      </c>
      <c r="B71" s="120"/>
      <c r="C71" s="122">
        <f>SUM(C67-C68-C69-C70-E29)*E55</f>
        <v>2200766.4530110001</v>
      </c>
      <c r="D71" s="120"/>
      <c r="E71" s="120"/>
      <c r="F71" s="123">
        <f>SUM(F67-F68-F69-F70-F29)*E55</f>
        <v>2287185.917655</v>
      </c>
    </row>
    <row r="72" spans="1:6" x14ac:dyDescent="0.2">
      <c r="A72" s="119"/>
      <c r="B72" s="120"/>
      <c r="C72" s="124"/>
      <c r="D72" s="120"/>
      <c r="E72" s="120"/>
      <c r="F72" s="125"/>
    </row>
    <row r="73" spans="1:6" x14ac:dyDescent="0.2">
      <c r="A73" s="119" t="s">
        <v>61</v>
      </c>
      <c r="B73" s="120"/>
      <c r="C73" s="122">
        <f>ROUND(SUM(C67-C68-C69-C70-C71),-3)</f>
        <v>4343000</v>
      </c>
      <c r="D73" s="120"/>
      <c r="E73" s="120"/>
      <c r="F73" s="123">
        <f>ROUND(SUM(F67-F68-F69-F70-F71),-3)</f>
        <v>4514000</v>
      </c>
    </row>
    <row r="74" spans="1:6" x14ac:dyDescent="0.2">
      <c r="A74" s="119"/>
      <c r="B74" s="120"/>
      <c r="C74" s="124"/>
      <c r="D74" s="120"/>
      <c r="E74" s="120"/>
      <c r="F74" s="125"/>
    </row>
    <row r="75" spans="1:6" x14ac:dyDescent="0.2">
      <c r="A75" s="119" t="s">
        <v>62</v>
      </c>
      <c r="B75" s="120"/>
      <c r="C75" s="124">
        <f>+E15</f>
        <v>4343290</v>
      </c>
      <c r="D75" s="120"/>
      <c r="E75" s="120"/>
      <c r="F75" s="125">
        <f>+F15</f>
        <v>4513950</v>
      </c>
    </row>
    <row r="76" spans="1:6" x14ac:dyDescent="0.2">
      <c r="A76" s="119"/>
      <c r="B76" s="120"/>
      <c r="C76" s="120"/>
      <c r="D76" s="120"/>
      <c r="E76" s="120"/>
      <c r="F76" s="121"/>
    </row>
    <row r="77" spans="1:6" x14ac:dyDescent="0.2">
      <c r="A77" s="119" t="s">
        <v>63</v>
      </c>
      <c r="B77" s="120"/>
      <c r="C77" s="126">
        <f>+C73-C75</f>
        <v>-290</v>
      </c>
      <c r="D77" s="120"/>
      <c r="E77" s="120"/>
      <c r="F77" s="127">
        <f>+F73-F75</f>
        <v>50</v>
      </c>
    </row>
    <row r="78" spans="1:6" x14ac:dyDescent="0.2">
      <c r="A78" s="119"/>
      <c r="B78" s="120"/>
      <c r="C78" s="120"/>
      <c r="D78" s="120"/>
      <c r="E78" s="120"/>
      <c r="F78" s="121"/>
    </row>
    <row r="79" spans="1:6" x14ac:dyDescent="0.2">
      <c r="A79" s="119" t="s">
        <v>64</v>
      </c>
      <c r="B79" s="120"/>
      <c r="C79" s="128">
        <f>+E19</f>
        <v>1.7389621669059889</v>
      </c>
      <c r="D79" s="120"/>
      <c r="E79" s="120"/>
      <c r="F79" s="129">
        <f>+C79</f>
        <v>1.7389621669059889</v>
      </c>
    </row>
    <row r="80" spans="1:6" x14ac:dyDescent="0.2">
      <c r="A80" s="119"/>
      <c r="B80" s="120"/>
      <c r="C80" s="120"/>
      <c r="D80" s="120"/>
      <c r="E80" s="120"/>
      <c r="F80" s="121"/>
    </row>
    <row r="81" spans="1:6" x14ac:dyDescent="0.2">
      <c r="A81" s="119" t="s">
        <v>65</v>
      </c>
      <c r="B81" s="120"/>
      <c r="C81" s="122">
        <f>+C75-C73</f>
        <v>290</v>
      </c>
      <c r="D81" s="120"/>
      <c r="E81" s="120"/>
      <c r="F81" s="123">
        <f>+F75-F73</f>
        <v>-50</v>
      </c>
    </row>
    <row r="82" spans="1:6" x14ac:dyDescent="0.2">
      <c r="A82" s="119"/>
      <c r="B82" s="120"/>
      <c r="C82" s="120"/>
      <c r="D82" s="120"/>
      <c r="E82" s="120"/>
      <c r="F82" s="121"/>
    </row>
    <row r="83" spans="1:6" x14ac:dyDescent="0.2">
      <c r="A83" s="119" t="s">
        <v>96</v>
      </c>
      <c r="B83" s="120"/>
      <c r="C83" s="124">
        <f>+E28*D38</f>
        <v>31023500</v>
      </c>
      <c r="D83" s="120"/>
      <c r="E83" s="120"/>
      <c r="F83" s="125">
        <f>+F28*D38</f>
        <v>32242500</v>
      </c>
    </row>
    <row r="84" spans="1:6" x14ac:dyDescent="0.2">
      <c r="A84" s="119"/>
      <c r="B84" s="120"/>
      <c r="C84" s="120"/>
      <c r="D84" s="120"/>
      <c r="E84" s="120"/>
      <c r="F84" s="121"/>
    </row>
    <row r="85" spans="1:6" x14ac:dyDescent="0.2">
      <c r="A85" s="130" t="s">
        <v>97</v>
      </c>
      <c r="B85" s="131"/>
      <c r="C85" s="132">
        <f>SUM(C73-E29)/C83</f>
        <v>9.9990652247489806E-2</v>
      </c>
      <c r="D85" s="131"/>
      <c r="E85" s="131"/>
      <c r="F85" s="133">
        <f>SUM(F73-F29)/F83</f>
        <v>0.10000155074823602</v>
      </c>
    </row>
  </sheetData>
  <pageMargins left="0.7" right="0.7" top="0.75" bottom="0.75" header="0.3" footer="0.3"/>
  <pageSetup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O87"/>
  <sheetViews>
    <sheetView zoomScaleNormal="100" workbookViewId="0">
      <selection activeCell="C21" sqref="C21"/>
    </sheetView>
  </sheetViews>
  <sheetFormatPr defaultRowHeight="15.75" x14ac:dyDescent="0.3"/>
  <cols>
    <col min="2" max="2" width="25.109375" bestFit="1" customWidth="1"/>
    <col min="3" max="3" width="18.5546875" bestFit="1" customWidth="1"/>
    <col min="4" max="4" width="11.44140625" bestFit="1" customWidth="1"/>
    <col min="5" max="5" width="11.33203125" bestFit="1" customWidth="1"/>
    <col min="6" max="6" width="11.21875" bestFit="1" customWidth="1"/>
    <col min="7" max="7" width="10.88671875" bestFit="1" customWidth="1"/>
    <col min="8" max="8" width="11.33203125" bestFit="1" customWidth="1"/>
    <col min="9" max="9" width="11.77734375" bestFit="1" customWidth="1"/>
    <col min="10" max="10" width="11.33203125" bestFit="1" customWidth="1"/>
    <col min="11" max="11" width="11.21875" bestFit="1" customWidth="1"/>
    <col min="12" max="12" width="11.33203125" bestFit="1" customWidth="1"/>
    <col min="13" max="13" width="11.21875" bestFit="1" customWidth="1"/>
  </cols>
  <sheetData>
    <row r="1" spans="1:14" ht="16.5" x14ac:dyDescent="0.3">
      <c r="A1" s="56" t="s">
        <v>45</v>
      </c>
      <c r="N1" s="57" t="s">
        <v>119</v>
      </c>
    </row>
    <row r="2" spans="1:14" ht="16.5" x14ac:dyDescent="0.3">
      <c r="A2" s="56" t="s">
        <v>47</v>
      </c>
    </row>
    <row r="5" spans="1:14" x14ac:dyDescent="0.3">
      <c r="A5" s="58" t="s">
        <v>48</v>
      </c>
      <c r="B5" s="59" t="s">
        <v>49</v>
      </c>
      <c r="E5" s="60">
        <v>2018</v>
      </c>
      <c r="F5" s="60">
        <v>2019</v>
      </c>
      <c r="G5" s="60">
        <v>2020</v>
      </c>
      <c r="H5" s="60">
        <v>2021</v>
      </c>
      <c r="I5" s="60">
        <v>2022</v>
      </c>
      <c r="J5" s="60">
        <v>2023</v>
      </c>
      <c r="K5" s="60">
        <v>2024</v>
      </c>
      <c r="L5" s="60">
        <v>2025</v>
      </c>
      <c r="M5" s="60">
        <v>2026</v>
      </c>
    </row>
    <row r="6" spans="1:14" x14ac:dyDescent="0.3">
      <c r="E6" s="109" t="s">
        <v>99</v>
      </c>
      <c r="F6" s="109" t="s">
        <v>100</v>
      </c>
      <c r="G6" s="109" t="s">
        <v>98</v>
      </c>
      <c r="H6" s="109" t="s">
        <v>101</v>
      </c>
      <c r="I6" s="109" t="s">
        <v>102</v>
      </c>
      <c r="J6" s="109" t="s">
        <v>103</v>
      </c>
      <c r="K6" s="109" t="s">
        <v>104</v>
      </c>
      <c r="L6" s="109" t="s">
        <v>105</v>
      </c>
      <c r="M6" s="109" t="s">
        <v>106</v>
      </c>
      <c r="N6" s="59" t="s">
        <v>50</v>
      </c>
    </row>
    <row r="7" spans="1:14" x14ac:dyDescent="0.3">
      <c r="C7" t="s">
        <v>51</v>
      </c>
      <c r="E7" s="62">
        <f>'Supporting workpaper C &amp; D'!I84</f>
        <v>4437000</v>
      </c>
      <c r="F7" s="62">
        <f>'Supporting workpaper C &amp; D'!J84</f>
        <v>4771000</v>
      </c>
      <c r="G7" s="62">
        <f>'Supporting workpaper C &amp; D'!K84</f>
        <v>4840000</v>
      </c>
      <c r="H7" s="62">
        <f>'Supporting workpaper C &amp; D'!L84</f>
        <v>4888000</v>
      </c>
      <c r="I7" s="62">
        <f>'Supporting workpaper C &amp; D'!M84</f>
        <v>5112000</v>
      </c>
      <c r="J7" s="62">
        <f>'Supporting workpaper C &amp; D'!N84</f>
        <v>5314000</v>
      </c>
      <c r="K7" s="62">
        <f>'Supporting workpaper C &amp; D'!O84</f>
        <v>5516000</v>
      </c>
      <c r="L7" s="62">
        <f>'Supporting workpaper C &amp; D'!P84</f>
        <v>5724000</v>
      </c>
      <c r="M7" s="62">
        <f>'Supporting workpaper C &amp; D'!Q84</f>
        <v>5917000</v>
      </c>
      <c r="N7" s="63" t="s">
        <v>52</v>
      </c>
    </row>
    <row r="8" spans="1:14" x14ac:dyDescent="0.3">
      <c r="C8" t="s">
        <v>53</v>
      </c>
      <c r="E8" s="64">
        <v>2000000</v>
      </c>
      <c r="F8" s="64">
        <f t="shared" ref="F8:M8" si="0">E8*1.03</f>
        <v>2060000</v>
      </c>
      <c r="G8" s="64">
        <f t="shared" si="0"/>
        <v>2121800</v>
      </c>
      <c r="H8" s="64">
        <f t="shared" si="0"/>
        <v>2185454</v>
      </c>
      <c r="I8" s="64">
        <f t="shared" si="0"/>
        <v>2251017.62</v>
      </c>
      <c r="J8" s="64">
        <f t="shared" si="0"/>
        <v>2318548.1486</v>
      </c>
      <c r="K8" s="64">
        <f t="shared" si="0"/>
        <v>2388104.5930579999</v>
      </c>
      <c r="L8" s="64">
        <f t="shared" si="0"/>
        <v>2459747.7308497401</v>
      </c>
      <c r="M8" s="64">
        <f t="shared" si="0"/>
        <v>2533540.1627752325</v>
      </c>
      <c r="N8" s="63" t="s">
        <v>54</v>
      </c>
    </row>
    <row r="9" spans="1:14" x14ac:dyDescent="0.3">
      <c r="C9" t="s">
        <v>55</v>
      </c>
      <c r="E9" s="64">
        <f>D30*0.035</f>
        <v>2628500.0000000005</v>
      </c>
      <c r="F9" s="64">
        <f t="shared" ref="F9:M9" si="1">E9+(F28*0.025)</f>
        <v>2661000.0000000005</v>
      </c>
      <c r="G9" s="64">
        <f t="shared" si="1"/>
        <v>2711000.0000000005</v>
      </c>
      <c r="H9" s="64">
        <f t="shared" si="1"/>
        <v>2736000.0000000005</v>
      </c>
      <c r="I9" s="64">
        <f t="shared" si="1"/>
        <v>2761000.0000000005</v>
      </c>
      <c r="J9" s="64">
        <f t="shared" si="1"/>
        <v>2776000.0000000005</v>
      </c>
      <c r="K9" s="64">
        <f t="shared" si="1"/>
        <v>2783500.0000000005</v>
      </c>
      <c r="L9" s="64">
        <f t="shared" si="1"/>
        <v>2791000.0000000005</v>
      </c>
      <c r="M9" s="64">
        <f t="shared" si="1"/>
        <v>2798500.0000000005</v>
      </c>
      <c r="N9" s="160" t="s">
        <v>56</v>
      </c>
    </row>
    <row r="10" spans="1:14" x14ac:dyDescent="0.3">
      <c r="C10" t="s">
        <v>57</v>
      </c>
      <c r="E10" s="64">
        <v>90000</v>
      </c>
      <c r="F10" s="64">
        <v>90000</v>
      </c>
      <c r="G10" s="64">
        <v>90000</v>
      </c>
      <c r="H10" s="64">
        <v>90000</v>
      </c>
      <c r="I10" s="64">
        <v>90000</v>
      </c>
      <c r="J10" s="64">
        <v>90000</v>
      </c>
      <c r="K10" s="64">
        <v>90000</v>
      </c>
      <c r="L10" s="64">
        <v>90000</v>
      </c>
      <c r="M10" s="64">
        <v>90000</v>
      </c>
      <c r="N10" s="63" t="s">
        <v>58</v>
      </c>
    </row>
    <row r="11" spans="1:14" x14ac:dyDescent="0.3">
      <c r="C11" t="s">
        <v>59</v>
      </c>
      <c r="E11" s="65">
        <f t="shared" ref="E11:M11" si="2">SUM(E7-E8-E9-E10-E31)*$E$57</f>
        <v>-726634.81189550017</v>
      </c>
      <c r="F11" s="65">
        <f t="shared" si="2"/>
        <v>-615116.1865635002</v>
      </c>
      <c r="G11" s="65">
        <f t="shared" si="2"/>
        <v>-626976.86798650015</v>
      </c>
      <c r="H11" s="65">
        <f t="shared" si="2"/>
        <v>-629439.47412940022</v>
      </c>
      <c r="I11" s="65">
        <f t="shared" si="2"/>
        <v>-559447.18605604721</v>
      </c>
      <c r="J11" s="65">
        <f t="shared" si="2"/>
        <v>-491806.66136820358</v>
      </c>
      <c r="K11" s="65">
        <f t="shared" si="2"/>
        <v>-419342.14931708464</v>
      </c>
      <c r="L11" s="65">
        <f t="shared" si="2"/>
        <v>-345191.36764061725</v>
      </c>
      <c r="M11" s="65">
        <f t="shared" si="2"/>
        <v>-278095.28198011586</v>
      </c>
      <c r="N11" s="63" t="s">
        <v>60</v>
      </c>
    </row>
    <row r="13" spans="1:14" x14ac:dyDescent="0.3">
      <c r="C13" t="s">
        <v>61</v>
      </c>
      <c r="E13" s="65">
        <f t="shared" ref="E13:M13" si="3">SUM(E7-E8-E9-E10-E11)</f>
        <v>445134.8118954997</v>
      </c>
      <c r="F13" s="65">
        <f t="shared" si="3"/>
        <v>575116.18656349974</v>
      </c>
      <c r="G13" s="65">
        <f t="shared" si="3"/>
        <v>544176.86798649968</v>
      </c>
      <c r="H13" s="65">
        <f t="shared" si="3"/>
        <v>505985.47412939975</v>
      </c>
      <c r="I13" s="65">
        <f t="shared" si="3"/>
        <v>569429.56605604663</v>
      </c>
      <c r="J13" s="65">
        <f t="shared" si="3"/>
        <v>621258.51276820316</v>
      </c>
      <c r="K13" s="65">
        <f t="shared" si="3"/>
        <v>673737.55625908426</v>
      </c>
      <c r="L13" s="65">
        <f t="shared" si="3"/>
        <v>728443.63679087674</v>
      </c>
      <c r="M13" s="65">
        <f t="shared" si="3"/>
        <v>773055.119204883</v>
      </c>
    </row>
    <row r="14" spans="1:14" x14ac:dyDescent="0.3">
      <c r="E14" s="65"/>
      <c r="F14" s="65"/>
      <c r="G14" s="65"/>
      <c r="H14" s="65"/>
      <c r="I14" s="65"/>
      <c r="J14" s="65"/>
      <c r="K14" s="65"/>
      <c r="L14" s="65"/>
      <c r="M14" s="65"/>
    </row>
    <row r="15" spans="1:14" x14ac:dyDescent="0.3">
      <c r="C15" t="s">
        <v>62</v>
      </c>
      <c r="E15" s="65">
        <f t="shared" ref="E15:M15" si="4">+$F$41*E30</f>
        <v>5143005.0000000009</v>
      </c>
      <c r="F15" s="65">
        <f t="shared" si="4"/>
        <v>5047735.0000000009</v>
      </c>
      <c r="G15" s="65">
        <f t="shared" si="4"/>
        <v>4997965.0000000009</v>
      </c>
      <c r="H15" s="65">
        <f t="shared" si="4"/>
        <v>4876445</v>
      </c>
      <c r="I15" s="65">
        <f t="shared" si="4"/>
        <v>4753175</v>
      </c>
      <c r="J15" s="65">
        <f t="shared" si="4"/>
        <v>4600855</v>
      </c>
      <c r="K15" s="65">
        <f t="shared" si="4"/>
        <v>4427010</v>
      </c>
      <c r="L15" s="65">
        <f t="shared" si="4"/>
        <v>4252640</v>
      </c>
      <c r="M15" s="65">
        <f t="shared" si="4"/>
        <v>4077745.0000000005</v>
      </c>
    </row>
    <row r="16" spans="1:14" x14ac:dyDescent="0.3">
      <c r="E16" s="65"/>
      <c r="F16" s="65"/>
      <c r="G16" s="65"/>
      <c r="H16" s="65"/>
      <c r="I16" s="65"/>
      <c r="J16" s="65"/>
      <c r="K16" s="65"/>
      <c r="L16" s="65"/>
      <c r="M16" s="65"/>
    </row>
    <row r="17" spans="3:15" x14ac:dyDescent="0.3">
      <c r="C17" t="s">
        <v>63</v>
      </c>
      <c r="E17" s="65">
        <f t="shared" ref="E17:M17" si="5">+E15-E13</f>
        <v>4697870.188104501</v>
      </c>
      <c r="F17" s="65">
        <f t="shared" si="5"/>
        <v>4472618.8134365007</v>
      </c>
      <c r="G17" s="65">
        <f t="shared" si="5"/>
        <v>4453788.1320135016</v>
      </c>
      <c r="H17" s="65">
        <f t="shared" si="5"/>
        <v>4370459.5258706007</v>
      </c>
      <c r="I17" s="65">
        <f t="shared" si="5"/>
        <v>4183745.4339439534</v>
      </c>
      <c r="J17" s="65">
        <f t="shared" si="5"/>
        <v>3979596.4872317966</v>
      </c>
      <c r="K17" s="65">
        <f t="shared" si="5"/>
        <v>3753272.4437409155</v>
      </c>
      <c r="L17" s="65">
        <f t="shared" si="5"/>
        <v>3524196.3632091233</v>
      </c>
      <c r="M17" s="65">
        <f t="shared" si="5"/>
        <v>3304689.8807951175</v>
      </c>
    </row>
    <row r="18" spans="3:15" x14ac:dyDescent="0.3">
      <c r="E18" s="65"/>
      <c r="F18" s="65"/>
      <c r="G18" s="65"/>
      <c r="H18" s="65"/>
      <c r="I18" s="65"/>
      <c r="J18" s="65"/>
      <c r="K18" s="65"/>
      <c r="L18" s="65"/>
      <c r="M18" s="65"/>
    </row>
    <row r="19" spans="3:15" x14ac:dyDescent="0.3">
      <c r="C19" t="s">
        <v>82</v>
      </c>
      <c r="E19" s="66">
        <f t="shared" ref="E19:M19" si="6">+$F$56</f>
        <v>1.7389621669059889</v>
      </c>
      <c r="F19" s="66">
        <f t="shared" si="6"/>
        <v>1.7389621669059889</v>
      </c>
      <c r="G19" s="66">
        <f t="shared" si="6"/>
        <v>1.7389621669059889</v>
      </c>
      <c r="H19" s="66">
        <f t="shared" si="6"/>
        <v>1.7389621669059889</v>
      </c>
      <c r="I19" s="66">
        <f t="shared" si="6"/>
        <v>1.7389621669059889</v>
      </c>
      <c r="J19" s="66">
        <f t="shared" si="6"/>
        <v>1.7389621669059889</v>
      </c>
      <c r="K19" s="66">
        <f t="shared" si="6"/>
        <v>1.7389621669059889</v>
      </c>
      <c r="L19" s="66">
        <f t="shared" si="6"/>
        <v>1.7389621669059889</v>
      </c>
      <c r="M19" s="66">
        <f t="shared" si="6"/>
        <v>1.7389621669059889</v>
      </c>
    </row>
    <row r="20" spans="3:15" x14ac:dyDescent="0.3">
      <c r="E20" s="65"/>
      <c r="F20" s="65"/>
      <c r="G20" s="65"/>
      <c r="H20" s="65"/>
      <c r="I20" s="65"/>
      <c r="J20" s="65"/>
      <c r="K20" s="65"/>
      <c r="L20" s="65"/>
      <c r="M20" s="65"/>
    </row>
    <row r="21" spans="3:15" x14ac:dyDescent="0.3">
      <c r="C21" t="s">
        <v>65</v>
      </c>
      <c r="E21" s="65">
        <f t="shared" ref="E21:M21" si="7">ROUND(+E17*E19,-3)</f>
        <v>8169000</v>
      </c>
      <c r="F21" s="65">
        <f t="shared" si="7"/>
        <v>7778000</v>
      </c>
      <c r="G21" s="65">
        <f t="shared" si="7"/>
        <v>7745000</v>
      </c>
      <c r="H21" s="65">
        <f t="shared" si="7"/>
        <v>7600000</v>
      </c>
      <c r="I21" s="65">
        <f t="shared" si="7"/>
        <v>7275000</v>
      </c>
      <c r="J21" s="65">
        <f t="shared" si="7"/>
        <v>6920000</v>
      </c>
      <c r="K21" s="65">
        <f t="shared" si="7"/>
        <v>6527000</v>
      </c>
      <c r="L21" s="65">
        <f t="shared" si="7"/>
        <v>6128000</v>
      </c>
      <c r="M21" s="65">
        <f t="shared" si="7"/>
        <v>5747000</v>
      </c>
    </row>
    <row r="22" spans="3:15" x14ac:dyDescent="0.3">
      <c r="E22" s="65"/>
      <c r="F22" s="65"/>
      <c r="G22" s="65"/>
      <c r="H22" s="65"/>
      <c r="I22" s="65"/>
      <c r="J22" s="65"/>
      <c r="K22" s="65"/>
      <c r="L22" s="65"/>
      <c r="M22" s="65"/>
    </row>
    <row r="23" spans="3:15" x14ac:dyDescent="0.3">
      <c r="C23" t="s">
        <v>66</v>
      </c>
      <c r="E23" s="65">
        <v>0</v>
      </c>
      <c r="F23" s="65">
        <v>0</v>
      </c>
      <c r="G23" s="65">
        <v>0</v>
      </c>
      <c r="H23" s="169">
        <v>4650000</v>
      </c>
      <c r="I23" s="169">
        <v>4650000</v>
      </c>
      <c r="J23" s="169">
        <v>4650000</v>
      </c>
      <c r="K23" s="169">
        <v>4650000</v>
      </c>
      <c r="L23" s="169">
        <v>4650000</v>
      </c>
      <c r="M23" s="169">
        <v>4650000</v>
      </c>
    </row>
    <row r="24" spans="3:15" x14ac:dyDescent="0.3">
      <c r="C24" t="s">
        <v>67</v>
      </c>
      <c r="E24" s="65">
        <v>0</v>
      </c>
      <c r="F24" s="65">
        <f t="shared" ref="F24:M24" si="8">+F21-F23</f>
        <v>7778000</v>
      </c>
      <c r="G24" s="65">
        <f t="shared" si="8"/>
        <v>7745000</v>
      </c>
      <c r="H24" s="65">
        <f t="shared" si="8"/>
        <v>2950000</v>
      </c>
      <c r="I24" s="65">
        <f t="shared" si="8"/>
        <v>2625000</v>
      </c>
      <c r="J24" s="65">
        <f t="shared" si="8"/>
        <v>2270000</v>
      </c>
      <c r="K24" s="65">
        <f t="shared" si="8"/>
        <v>1877000</v>
      </c>
      <c r="L24" s="65">
        <f t="shared" si="8"/>
        <v>1478000</v>
      </c>
      <c r="M24" s="65">
        <f t="shared" si="8"/>
        <v>1097000</v>
      </c>
      <c r="N24" s="65"/>
      <c r="O24" s="65"/>
    </row>
    <row r="25" spans="3:15" x14ac:dyDescent="0.3">
      <c r="C25" t="s">
        <v>68</v>
      </c>
      <c r="E25" s="64">
        <v>455000</v>
      </c>
      <c r="F25" s="64">
        <v>455000</v>
      </c>
      <c r="G25" s="64">
        <v>455000</v>
      </c>
      <c r="H25" s="64">
        <v>455000</v>
      </c>
      <c r="I25" s="64">
        <v>455000</v>
      </c>
      <c r="J25" s="64">
        <v>455000</v>
      </c>
      <c r="K25" s="64">
        <v>455000</v>
      </c>
      <c r="L25" s="64">
        <v>455000</v>
      </c>
      <c r="M25" s="64">
        <v>455000</v>
      </c>
    </row>
    <row r="26" spans="3:15" x14ac:dyDescent="0.3">
      <c r="C26" t="s">
        <v>69</v>
      </c>
      <c r="E26" s="67">
        <f t="shared" ref="E26:M26" si="9">+E24/E25/12</f>
        <v>0</v>
      </c>
      <c r="F26" s="67">
        <f t="shared" si="9"/>
        <v>1.4245421245421246</v>
      </c>
      <c r="G26" s="67">
        <f t="shared" si="9"/>
        <v>1.4184981684981686</v>
      </c>
      <c r="H26" s="67">
        <f t="shared" si="9"/>
        <v>0.54029304029304026</v>
      </c>
      <c r="I26" s="67">
        <f t="shared" si="9"/>
        <v>0.48076923076923078</v>
      </c>
      <c r="J26" s="67">
        <f t="shared" si="9"/>
        <v>0.41575091575091577</v>
      </c>
      <c r="K26" s="67">
        <f t="shared" si="9"/>
        <v>0.34377289377289383</v>
      </c>
      <c r="L26" s="67">
        <f t="shared" si="9"/>
        <v>0.27069597069597068</v>
      </c>
      <c r="M26" s="67">
        <f t="shared" si="9"/>
        <v>0.2009157509157509</v>
      </c>
    </row>
    <row r="27" spans="3:15" x14ac:dyDescent="0.3">
      <c r="E27" s="67"/>
      <c r="F27" s="67"/>
      <c r="G27" s="67"/>
      <c r="H27" s="67"/>
      <c r="I27" s="67"/>
      <c r="J27" s="67"/>
      <c r="K27" s="67"/>
      <c r="L27" s="67"/>
      <c r="M27" s="67"/>
    </row>
    <row r="28" spans="3:15" x14ac:dyDescent="0.3">
      <c r="C28" t="s">
        <v>108</v>
      </c>
      <c r="E28" s="158">
        <v>1000000</v>
      </c>
      <c r="F28" s="158">
        <v>1300000</v>
      </c>
      <c r="G28" s="158">
        <v>2000000</v>
      </c>
      <c r="H28" s="158">
        <v>1000000</v>
      </c>
      <c r="I28" s="158">
        <v>1000000</v>
      </c>
      <c r="J28" s="158">
        <v>600000</v>
      </c>
      <c r="K28" s="158">
        <v>300000</v>
      </c>
      <c r="L28" s="158">
        <v>300000</v>
      </c>
      <c r="M28" s="158">
        <v>300000</v>
      </c>
    </row>
    <row r="29" spans="3:15" x14ac:dyDescent="0.3">
      <c r="E29" s="67"/>
      <c r="F29" s="67"/>
      <c r="G29" s="67"/>
      <c r="H29" s="67"/>
      <c r="I29" s="67"/>
      <c r="J29" s="67"/>
      <c r="K29" s="67"/>
      <c r="L29" s="67"/>
      <c r="M29" s="67"/>
    </row>
    <row r="30" spans="3:15" x14ac:dyDescent="0.3">
      <c r="C30" t="s">
        <v>70</v>
      </c>
      <c r="D30" s="65">
        <v>75100000</v>
      </c>
      <c r="E30" s="65">
        <f t="shared" ref="E30:M30" si="10">D30-E9+E28</f>
        <v>73471500</v>
      </c>
      <c r="F30" s="65">
        <f t="shared" si="10"/>
        <v>72110500</v>
      </c>
      <c r="G30" s="65">
        <f t="shared" si="10"/>
        <v>71399500</v>
      </c>
      <c r="H30" s="65">
        <f t="shared" si="10"/>
        <v>69663500</v>
      </c>
      <c r="I30" s="65">
        <f t="shared" si="10"/>
        <v>67902500</v>
      </c>
      <c r="J30" s="65">
        <f t="shared" si="10"/>
        <v>65726500</v>
      </c>
      <c r="K30" s="65">
        <f t="shared" si="10"/>
        <v>63243000</v>
      </c>
      <c r="L30" s="65">
        <f t="shared" si="10"/>
        <v>60752000</v>
      </c>
      <c r="M30" s="65">
        <f t="shared" si="10"/>
        <v>58253500</v>
      </c>
      <c r="N30" s="63" t="s">
        <v>71</v>
      </c>
    </row>
    <row r="31" spans="3:15" x14ac:dyDescent="0.3">
      <c r="C31" t="s">
        <v>72</v>
      </c>
      <c r="E31" s="64">
        <f t="shared" ref="E31:M31" si="11">+E30*$D$39*$E$39</f>
        <v>1469430</v>
      </c>
      <c r="F31" s="64">
        <f t="shared" si="11"/>
        <v>1442210</v>
      </c>
      <c r="G31" s="64">
        <f t="shared" si="11"/>
        <v>1427990</v>
      </c>
      <c r="H31" s="64">
        <f t="shared" si="11"/>
        <v>1393270</v>
      </c>
      <c r="I31" s="64">
        <f t="shared" si="11"/>
        <v>1358050</v>
      </c>
      <c r="J31" s="64">
        <f t="shared" si="11"/>
        <v>1314530</v>
      </c>
      <c r="K31" s="64">
        <f t="shared" si="11"/>
        <v>1264860</v>
      </c>
      <c r="L31" s="64">
        <f t="shared" si="11"/>
        <v>1215040</v>
      </c>
      <c r="M31" s="64">
        <f t="shared" si="11"/>
        <v>1165070</v>
      </c>
    </row>
    <row r="32" spans="3:15" x14ac:dyDescent="0.3">
      <c r="C32" s="63" t="s">
        <v>73</v>
      </c>
      <c r="E32" s="64"/>
      <c r="F32" s="64"/>
      <c r="G32" s="64"/>
      <c r="H32" s="161"/>
      <c r="I32" s="64"/>
      <c r="J32" s="64"/>
      <c r="K32" s="161"/>
      <c r="L32" s="64"/>
      <c r="M32" s="64"/>
    </row>
    <row r="33" spans="1:13" x14ac:dyDescent="0.3">
      <c r="E33" s="67"/>
      <c r="F33" s="67"/>
      <c r="G33" s="67"/>
      <c r="H33" s="67"/>
      <c r="I33" s="161"/>
      <c r="J33" s="67"/>
      <c r="K33" s="67"/>
      <c r="L33" s="67"/>
      <c r="M33" s="67"/>
    </row>
    <row r="34" spans="1:13" x14ac:dyDescent="0.3">
      <c r="I34" s="162"/>
    </row>
    <row r="35" spans="1:13" x14ac:dyDescent="0.3">
      <c r="A35" s="68"/>
    </row>
    <row r="36" spans="1:13" x14ac:dyDescent="0.3">
      <c r="E36" s="65"/>
    </row>
    <row r="37" spans="1:13" x14ac:dyDescent="0.3">
      <c r="A37" s="58" t="s">
        <v>74</v>
      </c>
      <c r="B37" s="59" t="s">
        <v>75</v>
      </c>
      <c r="E37" s="65"/>
    </row>
    <row r="38" spans="1:13" x14ac:dyDescent="0.3">
      <c r="D38" s="61" t="s">
        <v>76</v>
      </c>
      <c r="E38" s="61" t="s">
        <v>77</v>
      </c>
      <c r="F38" s="61" t="s">
        <v>78</v>
      </c>
    </row>
    <row r="39" spans="1:13" x14ac:dyDescent="0.3">
      <c r="C39" t="s">
        <v>79</v>
      </c>
      <c r="D39" s="69">
        <v>0.5</v>
      </c>
      <c r="E39" s="70">
        <v>0.04</v>
      </c>
      <c r="F39" s="70">
        <f>+D39*E39</f>
        <v>0.02</v>
      </c>
    </row>
    <row r="40" spans="1:13" x14ac:dyDescent="0.3">
      <c r="C40" t="s">
        <v>80</v>
      </c>
      <c r="D40" s="71">
        <v>0.5</v>
      </c>
      <c r="E40" s="72">
        <v>0.1</v>
      </c>
      <c r="F40" s="72">
        <f>+D40*E40</f>
        <v>0.05</v>
      </c>
    </row>
    <row r="41" spans="1:13" x14ac:dyDescent="0.3">
      <c r="D41" s="73">
        <f>SUM(D39:D40)</f>
        <v>1</v>
      </c>
      <c r="E41" s="65"/>
      <c r="F41" s="74">
        <f>SUM(F39:F40)</f>
        <v>7.0000000000000007E-2</v>
      </c>
    </row>
    <row r="42" spans="1:13" x14ac:dyDescent="0.3">
      <c r="E42" s="65"/>
    </row>
    <row r="43" spans="1:13" x14ac:dyDescent="0.3">
      <c r="E43" s="65"/>
    </row>
    <row r="44" spans="1:13" x14ac:dyDescent="0.3">
      <c r="A44" s="58" t="s">
        <v>81</v>
      </c>
      <c r="B44" s="59" t="s">
        <v>82</v>
      </c>
      <c r="E44" s="65"/>
    </row>
    <row r="45" spans="1:13" x14ac:dyDescent="0.3">
      <c r="E45" s="65"/>
    </row>
    <row r="46" spans="1:13" x14ac:dyDescent="0.3">
      <c r="C46" s="75" t="s">
        <v>83</v>
      </c>
      <c r="D46" s="76"/>
      <c r="E46" s="77"/>
      <c r="F46" s="77">
        <v>1</v>
      </c>
    </row>
    <row r="47" spans="1:13" x14ac:dyDescent="0.3">
      <c r="C47" s="75" t="s">
        <v>84</v>
      </c>
      <c r="D47" s="76"/>
      <c r="E47" s="78">
        <v>0</v>
      </c>
      <c r="F47" s="77">
        <f>+E47*F46</f>
        <v>0</v>
      </c>
    </row>
    <row r="48" spans="1:13" x14ac:dyDescent="0.3">
      <c r="C48" s="75" t="s">
        <v>85</v>
      </c>
      <c r="D48" s="76"/>
      <c r="E48" s="78">
        <v>1.2E-2</v>
      </c>
      <c r="F48" s="77">
        <f>+E48*F46</f>
        <v>1.2E-2</v>
      </c>
    </row>
    <row r="49" spans="1:12" x14ac:dyDescent="0.3">
      <c r="C49" s="75" t="s">
        <v>86</v>
      </c>
      <c r="D49" s="76"/>
      <c r="E49" s="78">
        <v>5.0000000000000001E-3</v>
      </c>
      <c r="F49" s="77">
        <f>+E49*F46</f>
        <v>5.0000000000000001E-3</v>
      </c>
    </row>
    <row r="50" spans="1:12" x14ac:dyDescent="0.3">
      <c r="C50" s="75" t="s">
        <v>87</v>
      </c>
      <c r="D50" s="76"/>
      <c r="E50" s="77"/>
      <c r="F50" s="79">
        <f>+F46-F47-F49-F48</f>
        <v>0.98299999999999998</v>
      </c>
    </row>
    <row r="51" spans="1:12" x14ac:dyDescent="0.3">
      <c r="C51" s="75" t="s">
        <v>88</v>
      </c>
      <c r="D51" s="76"/>
      <c r="E51" s="80">
        <v>9.9999000000000005E-2</v>
      </c>
      <c r="F51" s="77">
        <f>+F50*E51</f>
        <v>9.8299017000000002E-2</v>
      </c>
    </row>
    <row r="52" spans="1:12" x14ac:dyDescent="0.3">
      <c r="C52" s="75" t="s">
        <v>89</v>
      </c>
      <c r="D52" s="76"/>
      <c r="E52" s="78"/>
      <c r="F52" s="81">
        <f>+F50-F51</f>
        <v>0.884700983</v>
      </c>
      <c r="G52" s="82"/>
    </row>
    <row r="53" spans="1:12" x14ac:dyDescent="0.3">
      <c r="C53" s="75" t="s">
        <v>90</v>
      </c>
      <c r="D53" s="76"/>
      <c r="E53" s="78">
        <v>0.35</v>
      </c>
      <c r="F53" s="77"/>
    </row>
    <row r="54" spans="1:12" x14ac:dyDescent="0.3">
      <c r="C54" s="75" t="s">
        <v>91</v>
      </c>
      <c r="D54" s="76"/>
      <c r="E54" s="77"/>
      <c r="F54" s="79">
        <f>+F52*E53</f>
        <v>0.30964534404999999</v>
      </c>
    </row>
    <row r="55" spans="1:12" x14ac:dyDescent="0.3">
      <c r="C55" s="75" t="s">
        <v>92</v>
      </c>
      <c r="D55" s="76"/>
      <c r="E55" s="77"/>
      <c r="F55" s="83">
        <f>+F52-F54</f>
        <v>0.57505563895</v>
      </c>
    </row>
    <row r="56" spans="1:12" x14ac:dyDescent="0.3">
      <c r="C56" s="75" t="s">
        <v>82</v>
      </c>
      <c r="D56" s="76"/>
      <c r="E56" s="77"/>
      <c r="F56" s="84">
        <f>1/F55</f>
        <v>1.7389621669059889</v>
      </c>
    </row>
    <row r="57" spans="1:12" x14ac:dyDescent="0.3">
      <c r="C57" s="85" t="s">
        <v>93</v>
      </c>
      <c r="E57" s="86">
        <f>1-(SUM(1-E51)-(SUM(1-E51)*E53))</f>
        <v>0.41499934999999999</v>
      </c>
    </row>
    <row r="59" spans="1:12" x14ac:dyDescent="0.3">
      <c r="A59" s="87"/>
      <c r="B59" s="87"/>
      <c r="C59" s="87"/>
      <c r="D59" s="87"/>
      <c r="E59" s="88"/>
      <c r="F59" s="87"/>
      <c r="G59" s="87"/>
      <c r="H59" s="87"/>
      <c r="I59" s="87"/>
      <c r="J59" s="87"/>
    </row>
    <row r="60" spans="1:12" x14ac:dyDescent="0.3">
      <c r="A60" s="58" t="s">
        <v>94</v>
      </c>
    </row>
    <row r="61" spans="1:12" x14ac:dyDescent="0.3">
      <c r="A61" s="68"/>
    </row>
    <row r="63" spans="1:12" x14ac:dyDescent="0.3">
      <c r="L63" s="65"/>
    </row>
    <row r="64" spans="1:12" x14ac:dyDescent="0.3">
      <c r="L64" s="89"/>
    </row>
    <row r="67" spans="1:6" x14ac:dyDescent="0.3">
      <c r="A67" s="90"/>
      <c r="B67" s="91"/>
      <c r="C67" s="92" t="s">
        <v>95</v>
      </c>
      <c r="D67" s="91"/>
      <c r="E67" s="91"/>
      <c r="F67" s="93" t="s">
        <v>95</v>
      </c>
    </row>
    <row r="68" spans="1:6" x14ac:dyDescent="0.3">
      <c r="A68" s="94"/>
      <c r="B68" s="95"/>
      <c r="C68" s="95"/>
      <c r="D68" s="95"/>
      <c r="E68" s="95"/>
      <c r="F68" s="96"/>
    </row>
    <row r="69" spans="1:6" x14ac:dyDescent="0.3">
      <c r="A69" s="94" t="s">
        <v>51</v>
      </c>
      <c r="B69" s="95"/>
      <c r="C69" s="97">
        <f>+E7+E21</f>
        <v>12606000</v>
      </c>
      <c r="D69" s="95"/>
      <c r="E69" s="95"/>
      <c r="F69" s="98">
        <f>+M7+M21</f>
        <v>11664000</v>
      </c>
    </row>
    <row r="70" spans="1:6" x14ac:dyDescent="0.3">
      <c r="A70" s="94" t="s">
        <v>53</v>
      </c>
      <c r="B70" s="95"/>
      <c r="C70" s="99">
        <f>+E8+ROUND(SUM(E21*E49),-3)</f>
        <v>2041000</v>
      </c>
      <c r="D70" s="95"/>
      <c r="E70" s="95"/>
      <c r="F70" s="100">
        <f>+M8+ROUND(SUM(M21*E49),-3)</f>
        <v>2562540.1627752325</v>
      </c>
    </row>
    <row r="71" spans="1:6" x14ac:dyDescent="0.3">
      <c r="A71" s="94" t="s">
        <v>55</v>
      </c>
      <c r="B71" s="95"/>
      <c r="C71" s="99">
        <f>+E9</f>
        <v>2628500.0000000005</v>
      </c>
      <c r="D71" s="95"/>
      <c r="E71" s="95"/>
      <c r="F71" s="100">
        <f>+M9</f>
        <v>2798500.0000000005</v>
      </c>
    </row>
    <row r="72" spans="1:6" x14ac:dyDescent="0.3">
      <c r="A72" s="94" t="s">
        <v>57</v>
      </c>
      <c r="B72" s="95"/>
      <c r="C72" s="99">
        <f>ROUND(+E10+SUM(E21*E48),-3)</f>
        <v>188000</v>
      </c>
      <c r="D72" s="95"/>
      <c r="E72" s="95"/>
      <c r="F72" s="100">
        <f>ROUND(+M10+SUM(M21*E48),-3)</f>
        <v>159000</v>
      </c>
    </row>
    <row r="73" spans="1:6" x14ac:dyDescent="0.3">
      <c r="A73" s="94" t="s">
        <v>59</v>
      </c>
      <c r="B73" s="95"/>
      <c r="C73" s="97">
        <f>SUM(C69-C70-C71-C72-E31)*E57</f>
        <v>2605809.9686044999</v>
      </c>
      <c r="D73" s="95"/>
      <c r="E73" s="95"/>
      <c r="F73" s="98">
        <f>SUM(F69-F70-F71-F72-M31)*E57</f>
        <v>2066236.0461698838</v>
      </c>
    </row>
    <row r="74" spans="1:6" x14ac:dyDescent="0.3">
      <c r="A74" s="94"/>
      <c r="B74" s="95"/>
      <c r="C74" s="99"/>
      <c r="D74" s="95"/>
      <c r="E74" s="95"/>
      <c r="F74" s="100"/>
    </row>
    <row r="75" spans="1:6" x14ac:dyDescent="0.3">
      <c r="A75" s="94" t="s">
        <v>61</v>
      </c>
      <c r="B75" s="95"/>
      <c r="C75" s="97">
        <f>ROUND(SUM(C69-C70-C71-C72-C73),-3)</f>
        <v>5143000</v>
      </c>
      <c r="D75" s="95"/>
      <c r="E75" s="95"/>
      <c r="F75" s="98">
        <f>ROUND(SUM(F69-F70-F71-F72-F73),-3)</f>
        <v>4078000</v>
      </c>
    </row>
    <row r="76" spans="1:6" x14ac:dyDescent="0.3">
      <c r="A76" s="94"/>
      <c r="B76" s="95"/>
      <c r="C76" s="99"/>
      <c r="D76" s="95"/>
      <c r="E76" s="95"/>
      <c r="F76" s="100"/>
    </row>
    <row r="77" spans="1:6" x14ac:dyDescent="0.3">
      <c r="A77" s="94" t="s">
        <v>62</v>
      </c>
      <c r="B77" s="95"/>
      <c r="C77" s="99">
        <f>+E15</f>
        <v>5143005.0000000009</v>
      </c>
      <c r="D77" s="95"/>
      <c r="E77" s="95"/>
      <c r="F77" s="100">
        <f>+M15</f>
        <v>4077745.0000000005</v>
      </c>
    </row>
    <row r="78" spans="1:6" x14ac:dyDescent="0.3">
      <c r="A78" s="94"/>
      <c r="B78" s="95"/>
      <c r="C78" s="95"/>
      <c r="D78" s="95"/>
      <c r="E78" s="95"/>
      <c r="F78" s="96"/>
    </row>
    <row r="79" spans="1:6" x14ac:dyDescent="0.3">
      <c r="A79" s="94" t="s">
        <v>63</v>
      </c>
      <c r="B79" s="95"/>
      <c r="C79" s="101">
        <f>+C75-C77</f>
        <v>-5.0000000009313226</v>
      </c>
      <c r="D79" s="95"/>
      <c r="E79" s="95"/>
      <c r="F79" s="102">
        <f>+F75-F77</f>
        <v>254.99999999953434</v>
      </c>
    </row>
    <row r="80" spans="1:6" x14ac:dyDescent="0.3">
      <c r="A80" s="94"/>
      <c r="B80" s="95"/>
      <c r="C80" s="95"/>
      <c r="D80" s="95"/>
      <c r="E80" s="95"/>
      <c r="F80" s="96"/>
    </row>
    <row r="81" spans="1:6" x14ac:dyDescent="0.3">
      <c r="A81" s="94" t="s">
        <v>64</v>
      </c>
      <c r="B81" s="95"/>
      <c r="C81" s="103">
        <f>+E19</f>
        <v>1.7389621669059889</v>
      </c>
      <c r="D81" s="95"/>
      <c r="E81" s="95"/>
      <c r="F81" s="104">
        <f>+M19</f>
        <v>1.7389621669059889</v>
      </c>
    </row>
    <row r="82" spans="1:6" x14ac:dyDescent="0.3">
      <c r="A82" s="94"/>
      <c r="B82" s="95"/>
      <c r="C82" s="95"/>
      <c r="D82" s="95"/>
      <c r="E82" s="95"/>
      <c r="F82" s="96"/>
    </row>
    <row r="83" spans="1:6" x14ac:dyDescent="0.3">
      <c r="A83" s="94" t="s">
        <v>65</v>
      </c>
      <c r="B83" s="95"/>
      <c r="C83" s="97">
        <f>+C77-C75</f>
        <v>5.0000000009313226</v>
      </c>
      <c r="D83" s="95"/>
      <c r="E83" s="95"/>
      <c r="F83" s="98">
        <f>+F77-F75</f>
        <v>-254.99999999953434</v>
      </c>
    </row>
    <row r="84" spans="1:6" x14ac:dyDescent="0.3">
      <c r="A84" s="94"/>
      <c r="B84" s="95"/>
      <c r="C84" s="95"/>
      <c r="D84" s="95"/>
      <c r="E84" s="95"/>
      <c r="F84" s="96"/>
    </row>
    <row r="85" spans="1:6" x14ac:dyDescent="0.3">
      <c r="A85" s="94" t="s">
        <v>96</v>
      </c>
      <c r="B85" s="95"/>
      <c r="C85" s="99">
        <f>+E30*D40</f>
        <v>36735750</v>
      </c>
      <c r="D85" s="95"/>
      <c r="E85" s="95"/>
      <c r="F85" s="100">
        <f>+M30*D40</f>
        <v>29126750</v>
      </c>
    </row>
    <row r="86" spans="1:6" x14ac:dyDescent="0.3">
      <c r="A86" s="94"/>
      <c r="B86" s="95"/>
      <c r="C86" s="95"/>
      <c r="D86" s="95"/>
      <c r="E86" s="95"/>
      <c r="F86" s="96"/>
    </row>
    <row r="87" spans="1:6" x14ac:dyDescent="0.3">
      <c r="A87" s="105" t="s">
        <v>97</v>
      </c>
      <c r="B87" s="106"/>
      <c r="C87" s="107">
        <f>SUM(C75-E31)/C85</f>
        <v>9.9999863892801966E-2</v>
      </c>
      <c r="D87" s="106"/>
      <c r="E87" s="106"/>
      <c r="F87" s="108">
        <f>SUM(F75-M31)/F85</f>
        <v>0.10000875483876505</v>
      </c>
    </row>
  </sheetData>
  <pageMargins left="0.7" right="0.7" top="0.75" bottom="0.75" header="0.3" footer="0.3"/>
  <pageSetup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O88"/>
  <sheetViews>
    <sheetView zoomScaleNormal="100" workbookViewId="0"/>
  </sheetViews>
  <sheetFormatPr defaultRowHeight="15.75" x14ac:dyDescent="0.3"/>
  <cols>
    <col min="2" max="2" width="25.109375" bestFit="1" customWidth="1"/>
    <col min="3" max="3" width="18.5546875" bestFit="1" customWidth="1"/>
    <col min="4" max="4" width="11.88671875" bestFit="1" customWidth="1"/>
    <col min="5" max="5" width="11.44140625" bestFit="1" customWidth="1"/>
    <col min="6" max="6" width="11.21875" bestFit="1" customWidth="1"/>
    <col min="7" max="7" width="11.33203125" bestFit="1" customWidth="1"/>
    <col min="8" max="8" width="11" bestFit="1" customWidth="1"/>
    <col min="9" max="9" width="11.44140625" bestFit="1" customWidth="1"/>
    <col min="10" max="11" width="11.33203125" bestFit="1" customWidth="1"/>
    <col min="12" max="12" width="11.44140625" bestFit="1" customWidth="1"/>
    <col min="13" max="13" width="11.21875" bestFit="1" customWidth="1"/>
  </cols>
  <sheetData>
    <row r="1" spans="1:14" ht="16.5" x14ac:dyDescent="0.3">
      <c r="A1" s="56" t="s">
        <v>45</v>
      </c>
      <c r="N1" s="57" t="s">
        <v>118</v>
      </c>
    </row>
    <row r="2" spans="1:14" ht="16.5" x14ac:dyDescent="0.3">
      <c r="A2" s="56" t="s">
        <v>47</v>
      </c>
    </row>
    <row r="5" spans="1:14" x14ac:dyDescent="0.3">
      <c r="A5" s="58" t="s">
        <v>48</v>
      </c>
      <c r="B5" s="59" t="s">
        <v>49</v>
      </c>
      <c r="E5" s="60">
        <v>2018</v>
      </c>
      <c r="F5" s="60">
        <v>2019</v>
      </c>
      <c r="G5" s="60">
        <v>2020</v>
      </c>
      <c r="H5" s="60">
        <v>2021</v>
      </c>
      <c r="I5" s="60">
        <v>2022</v>
      </c>
      <c r="J5" s="60">
        <v>2023</v>
      </c>
      <c r="K5" s="60">
        <v>2024</v>
      </c>
      <c r="L5" s="60">
        <v>2025</v>
      </c>
      <c r="M5" s="60">
        <v>2026</v>
      </c>
    </row>
    <row r="6" spans="1:14" x14ac:dyDescent="0.3">
      <c r="E6" s="109" t="s">
        <v>99</v>
      </c>
      <c r="F6" s="109" t="s">
        <v>100</v>
      </c>
      <c r="G6" s="109" t="s">
        <v>98</v>
      </c>
      <c r="H6" s="109" t="s">
        <v>101</v>
      </c>
      <c r="I6" s="109" t="s">
        <v>102</v>
      </c>
      <c r="J6" s="109" t="s">
        <v>103</v>
      </c>
      <c r="K6" s="109" t="s">
        <v>104</v>
      </c>
      <c r="L6" s="109" t="s">
        <v>105</v>
      </c>
      <c r="M6" s="109" t="s">
        <v>106</v>
      </c>
      <c r="N6" s="59" t="s">
        <v>50</v>
      </c>
    </row>
    <row r="7" spans="1:14" x14ac:dyDescent="0.3">
      <c r="C7" t="s">
        <v>51</v>
      </c>
      <c r="D7" s="65"/>
      <c r="E7" s="62">
        <f>'Supporting workpaper C &amp; D'!I84</f>
        <v>4437000</v>
      </c>
      <c r="F7" s="62">
        <f>'Supporting workpaper C &amp; D'!J84</f>
        <v>4771000</v>
      </c>
      <c r="G7" s="62">
        <f>'Supporting workpaper C &amp; D'!K84</f>
        <v>4840000</v>
      </c>
      <c r="H7" s="62">
        <f>'Supporting workpaper C &amp; D'!L84</f>
        <v>4888000</v>
      </c>
      <c r="I7" s="62">
        <f>'Supporting workpaper C &amp; D'!M84</f>
        <v>5112000</v>
      </c>
      <c r="J7" s="62">
        <f>'Supporting workpaper C &amp; D'!N84</f>
        <v>5314000</v>
      </c>
      <c r="K7" s="62">
        <f>'Supporting workpaper C &amp; D'!O84</f>
        <v>5516000</v>
      </c>
      <c r="L7" s="62">
        <f>'Supporting workpaper C &amp; D'!P84</f>
        <v>5724000</v>
      </c>
      <c r="M7" s="62">
        <f>'Supporting workpaper C &amp; D'!Q84</f>
        <v>5917000</v>
      </c>
      <c r="N7" s="63" t="s">
        <v>52</v>
      </c>
    </row>
    <row r="8" spans="1:14" x14ac:dyDescent="0.3">
      <c r="C8" t="s">
        <v>53</v>
      </c>
      <c r="D8" s="65"/>
      <c r="E8" s="64">
        <v>2000000</v>
      </c>
      <c r="F8" s="64">
        <f t="shared" ref="F8:M8" si="0">E8*1.03</f>
        <v>2060000</v>
      </c>
      <c r="G8" s="64">
        <f t="shared" si="0"/>
        <v>2121800</v>
      </c>
      <c r="H8" s="64">
        <f t="shared" si="0"/>
        <v>2185454</v>
      </c>
      <c r="I8" s="64">
        <f t="shared" si="0"/>
        <v>2251017.62</v>
      </c>
      <c r="J8" s="64">
        <f t="shared" si="0"/>
        <v>2318548.1486</v>
      </c>
      <c r="K8" s="64">
        <f t="shared" si="0"/>
        <v>2388104.5930579999</v>
      </c>
      <c r="L8" s="64">
        <f t="shared" si="0"/>
        <v>2459747.7308497401</v>
      </c>
      <c r="M8" s="64">
        <f t="shared" si="0"/>
        <v>2533540.1627752325</v>
      </c>
      <c r="N8" s="63" t="s">
        <v>54</v>
      </c>
    </row>
    <row r="9" spans="1:14" x14ac:dyDescent="0.3">
      <c r="C9" t="s">
        <v>55</v>
      </c>
      <c r="D9" s="65"/>
      <c r="E9" s="64">
        <f>(D31*0.035)+(E30*0.035)</f>
        <v>2173500</v>
      </c>
      <c r="F9" s="64">
        <f t="shared" ref="F9:M9" si="1">E9+(F28*0.025)+(E30*0.035)</f>
        <v>2279500</v>
      </c>
      <c r="G9" s="64">
        <f t="shared" si="1"/>
        <v>2403000</v>
      </c>
      <c r="H9" s="64">
        <f t="shared" si="1"/>
        <v>2501500</v>
      </c>
      <c r="I9" s="64">
        <f t="shared" si="1"/>
        <v>2600000</v>
      </c>
      <c r="J9" s="64">
        <f t="shared" si="1"/>
        <v>2688500</v>
      </c>
      <c r="K9" s="64">
        <f t="shared" si="1"/>
        <v>2769500</v>
      </c>
      <c r="L9" s="64">
        <f t="shared" si="1"/>
        <v>2850500</v>
      </c>
      <c r="M9" s="64">
        <f t="shared" si="1"/>
        <v>2872000</v>
      </c>
      <c r="N9" s="160" t="s">
        <v>56</v>
      </c>
    </row>
    <row r="10" spans="1:14" x14ac:dyDescent="0.3">
      <c r="C10" t="s">
        <v>57</v>
      </c>
      <c r="D10" s="65"/>
      <c r="E10" s="64">
        <v>90000</v>
      </c>
      <c r="F10" s="64">
        <v>90000</v>
      </c>
      <c r="G10" s="64">
        <v>90000</v>
      </c>
      <c r="H10" s="64">
        <v>90000</v>
      </c>
      <c r="I10" s="64">
        <v>90000</v>
      </c>
      <c r="J10" s="64">
        <v>90000</v>
      </c>
      <c r="K10" s="64">
        <v>90000</v>
      </c>
      <c r="L10" s="64">
        <v>90000</v>
      </c>
      <c r="M10" s="64">
        <v>90000</v>
      </c>
      <c r="N10" s="63" t="s">
        <v>58</v>
      </c>
    </row>
    <row r="11" spans="1:14" x14ac:dyDescent="0.3">
      <c r="C11" t="s">
        <v>59</v>
      </c>
      <c r="D11" s="65"/>
      <c r="E11" s="65">
        <f t="shared" ref="E11:M11" si="2">SUM(E7-E8-E9-E10-E32)*$E$58</f>
        <v>-433686.77073049999</v>
      </c>
      <c r="F11" s="65">
        <f t="shared" si="2"/>
        <v>-373267.01536399999</v>
      </c>
      <c r="G11" s="65">
        <f t="shared" si="2"/>
        <v>-435616.51770799997</v>
      </c>
      <c r="H11" s="65">
        <f t="shared" si="2"/>
        <v>-487957.89572739997</v>
      </c>
      <c r="I11" s="65">
        <f t="shared" si="2"/>
        <v>-467234.33048604702</v>
      </c>
      <c r="J11" s="65">
        <f t="shared" si="2"/>
        <v>-448252.4795857034</v>
      </c>
      <c r="K11" s="65">
        <f t="shared" si="2"/>
        <v>-423836.59227758442</v>
      </c>
      <c r="L11" s="65">
        <f t="shared" si="2"/>
        <v>-383014.40839961707</v>
      </c>
      <c r="M11" s="65">
        <f t="shared" si="2"/>
        <v>-321118.26459461567</v>
      </c>
      <c r="N11" s="63" t="s">
        <v>60</v>
      </c>
    </row>
    <row r="13" spans="1:14" x14ac:dyDescent="0.3">
      <c r="C13" t="s">
        <v>61</v>
      </c>
      <c r="E13" s="65">
        <f t="shared" ref="E13:M13" si="3">SUM(E7-E8-E9-E10-E11)</f>
        <v>607186.77073049999</v>
      </c>
      <c r="F13" s="65">
        <f t="shared" si="3"/>
        <v>714767.01536399999</v>
      </c>
      <c r="G13" s="65">
        <f t="shared" si="3"/>
        <v>660816.51770800003</v>
      </c>
      <c r="H13" s="65">
        <f t="shared" si="3"/>
        <v>599003.89572739997</v>
      </c>
      <c r="I13" s="65">
        <f t="shared" si="3"/>
        <v>638216.71048604697</v>
      </c>
      <c r="J13" s="65">
        <f t="shared" si="3"/>
        <v>665204.33098570351</v>
      </c>
      <c r="K13" s="65">
        <f t="shared" si="3"/>
        <v>692231.99921958451</v>
      </c>
      <c r="L13" s="65">
        <f t="shared" si="3"/>
        <v>706766.67754987697</v>
      </c>
      <c r="M13" s="65">
        <f t="shared" si="3"/>
        <v>742578.10181938321</v>
      </c>
    </row>
    <row r="14" spans="1:14" x14ac:dyDescent="0.3">
      <c r="E14" s="65"/>
      <c r="F14" s="65"/>
      <c r="G14" s="65"/>
      <c r="H14" s="65"/>
      <c r="I14" s="65"/>
      <c r="J14" s="65"/>
      <c r="K14" s="65"/>
      <c r="L14" s="65"/>
      <c r="M14" s="65"/>
    </row>
    <row r="15" spans="1:14" x14ac:dyDescent="0.3">
      <c r="C15" t="s">
        <v>62</v>
      </c>
      <c r="E15" s="65">
        <f t="shared" ref="E15:M15" si="4">+$F$42*E31</f>
        <v>4264855</v>
      </c>
      <c r="F15" s="65">
        <f t="shared" si="4"/>
        <v>4343290</v>
      </c>
      <c r="G15" s="65">
        <f t="shared" si="4"/>
        <v>4462080</v>
      </c>
      <c r="H15" s="65">
        <f t="shared" si="4"/>
        <v>4503975</v>
      </c>
      <c r="I15" s="65">
        <f t="shared" si="4"/>
        <v>4538975</v>
      </c>
      <c r="J15" s="65">
        <f t="shared" si="4"/>
        <v>4539780</v>
      </c>
      <c r="K15" s="65">
        <f t="shared" si="4"/>
        <v>4513915</v>
      </c>
      <c r="L15" s="65">
        <f t="shared" si="4"/>
        <v>4363380</v>
      </c>
      <c r="M15" s="65">
        <f t="shared" si="4"/>
        <v>4183340.0000000005</v>
      </c>
    </row>
    <row r="16" spans="1:14" x14ac:dyDescent="0.3">
      <c r="E16" s="65"/>
      <c r="F16" s="65"/>
      <c r="G16" s="65"/>
      <c r="H16" s="65"/>
      <c r="I16" s="65"/>
      <c r="J16" s="65"/>
      <c r="K16" s="65"/>
      <c r="L16" s="65"/>
      <c r="M16" s="65"/>
    </row>
    <row r="17" spans="3:15" x14ac:dyDescent="0.3">
      <c r="C17" t="s">
        <v>63</v>
      </c>
      <c r="E17" s="65">
        <f>+E15-E13</f>
        <v>3657668.2292694999</v>
      </c>
      <c r="F17" s="65">
        <f t="shared" ref="F17:M17" si="5">+F15-F13</f>
        <v>3628522.9846359999</v>
      </c>
      <c r="G17" s="65">
        <f t="shared" si="5"/>
        <v>3801263.4822920002</v>
      </c>
      <c r="H17" s="65">
        <f t="shared" si="5"/>
        <v>3904971.1042726003</v>
      </c>
      <c r="I17" s="65">
        <f t="shared" si="5"/>
        <v>3900758.289513953</v>
      </c>
      <c r="J17" s="65">
        <f t="shared" si="5"/>
        <v>3874575.6690142965</v>
      </c>
      <c r="K17" s="65">
        <f t="shared" si="5"/>
        <v>3821683.0007804157</v>
      </c>
      <c r="L17" s="65">
        <f t="shared" si="5"/>
        <v>3656613.3224501228</v>
      </c>
      <c r="M17" s="65">
        <f t="shared" si="5"/>
        <v>3440761.898180617</v>
      </c>
    </row>
    <row r="18" spans="3:15" x14ac:dyDescent="0.3">
      <c r="E18" s="65"/>
      <c r="F18" s="65"/>
      <c r="G18" s="65"/>
      <c r="H18" s="65"/>
      <c r="I18" s="65"/>
      <c r="J18" s="65"/>
      <c r="K18" s="65"/>
      <c r="L18" s="65"/>
      <c r="M18" s="65"/>
    </row>
    <row r="19" spans="3:15" x14ac:dyDescent="0.3">
      <c r="C19" t="s">
        <v>82</v>
      </c>
      <c r="E19" s="66">
        <f t="shared" ref="E19:M19" si="6">+$F$57</f>
        <v>1.7389621669059889</v>
      </c>
      <c r="F19" s="66">
        <f t="shared" si="6"/>
        <v>1.7389621669059889</v>
      </c>
      <c r="G19" s="66">
        <f t="shared" si="6"/>
        <v>1.7389621669059889</v>
      </c>
      <c r="H19" s="66">
        <f t="shared" si="6"/>
        <v>1.7389621669059889</v>
      </c>
      <c r="I19" s="66">
        <f t="shared" si="6"/>
        <v>1.7389621669059889</v>
      </c>
      <c r="J19" s="66">
        <f t="shared" si="6"/>
        <v>1.7389621669059889</v>
      </c>
      <c r="K19" s="66">
        <f t="shared" si="6"/>
        <v>1.7389621669059889</v>
      </c>
      <c r="L19" s="66">
        <f t="shared" si="6"/>
        <v>1.7389621669059889</v>
      </c>
      <c r="M19" s="66">
        <f t="shared" si="6"/>
        <v>1.7389621669059889</v>
      </c>
    </row>
    <row r="20" spans="3:15" x14ac:dyDescent="0.3">
      <c r="E20" s="65"/>
      <c r="F20" s="65"/>
      <c r="G20" s="65"/>
      <c r="H20" s="65"/>
      <c r="I20" s="65"/>
      <c r="J20" s="65"/>
      <c r="K20" s="65"/>
      <c r="L20" s="65"/>
      <c r="M20" s="65"/>
    </row>
    <row r="21" spans="3:15" x14ac:dyDescent="0.3">
      <c r="C21" t="s">
        <v>65</v>
      </c>
      <c r="E21" s="65">
        <f>ROUND(+E17*E19,-3)</f>
        <v>6361000</v>
      </c>
      <c r="F21" s="65">
        <f t="shared" ref="F21:M21" si="7">ROUND(+F17*F19,-3)</f>
        <v>6310000</v>
      </c>
      <c r="G21" s="65">
        <f t="shared" si="7"/>
        <v>6610000</v>
      </c>
      <c r="H21" s="65">
        <f t="shared" si="7"/>
        <v>6791000</v>
      </c>
      <c r="I21" s="65">
        <f t="shared" si="7"/>
        <v>6783000</v>
      </c>
      <c r="J21" s="65">
        <f t="shared" si="7"/>
        <v>6738000</v>
      </c>
      <c r="K21" s="65">
        <f t="shared" si="7"/>
        <v>6646000</v>
      </c>
      <c r="L21" s="65">
        <f t="shared" si="7"/>
        <v>6359000</v>
      </c>
      <c r="M21" s="65">
        <f t="shared" si="7"/>
        <v>5983000</v>
      </c>
    </row>
    <row r="22" spans="3:15" x14ac:dyDescent="0.3">
      <c r="E22" s="65"/>
      <c r="F22" s="65"/>
      <c r="G22" s="65"/>
      <c r="H22" s="65"/>
      <c r="I22" s="65"/>
      <c r="J22" s="65"/>
      <c r="K22" s="65"/>
      <c r="L22" s="65"/>
      <c r="M22" s="65"/>
    </row>
    <row r="23" spans="3:15" x14ac:dyDescent="0.3">
      <c r="C23" t="s">
        <v>66</v>
      </c>
      <c r="E23" s="65">
        <v>0</v>
      </c>
      <c r="F23" s="65">
        <v>0</v>
      </c>
      <c r="G23" s="65">
        <v>0</v>
      </c>
      <c r="H23" s="169">
        <v>4650000</v>
      </c>
      <c r="I23" s="169">
        <v>4650000</v>
      </c>
      <c r="J23" s="169">
        <v>4650000</v>
      </c>
      <c r="K23" s="169">
        <v>4650000</v>
      </c>
      <c r="L23" s="169">
        <v>4650000</v>
      </c>
      <c r="M23" s="169">
        <v>4650000</v>
      </c>
    </row>
    <row r="24" spans="3:15" x14ac:dyDescent="0.3">
      <c r="C24" t="s">
        <v>67</v>
      </c>
      <c r="E24" s="65">
        <v>0</v>
      </c>
      <c r="F24" s="65">
        <f t="shared" ref="F24:M24" si="8">+F21-F23</f>
        <v>6310000</v>
      </c>
      <c r="G24" s="65">
        <f t="shared" si="8"/>
        <v>6610000</v>
      </c>
      <c r="H24" s="65">
        <f t="shared" si="8"/>
        <v>2141000</v>
      </c>
      <c r="I24" s="65">
        <f t="shared" si="8"/>
        <v>2133000</v>
      </c>
      <c r="J24" s="65">
        <f t="shared" si="8"/>
        <v>2088000</v>
      </c>
      <c r="K24" s="65">
        <f t="shared" si="8"/>
        <v>1996000</v>
      </c>
      <c r="L24" s="65">
        <f t="shared" si="8"/>
        <v>1709000</v>
      </c>
      <c r="M24" s="65">
        <f t="shared" si="8"/>
        <v>1333000</v>
      </c>
      <c r="N24" s="65"/>
      <c r="O24" s="65"/>
    </row>
    <row r="25" spans="3:15" x14ac:dyDescent="0.3">
      <c r="C25" t="s">
        <v>68</v>
      </c>
      <c r="E25" s="64">
        <v>455000</v>
      </c>
      <c r="F25" s="64">
        <v>455000</v>
      </c>
      <c r="G25" s="64">
        <v>455000</v>
      </c>
      <c r="H25" s="64">
        <v>455000</v>
      </c>
      <c r="I25" s="64">
        <v>455000</v>
      </c>
      <c r="J25" s="64">
        <v>455000</v>
      </c>
      <c r="K25" s="64">
        <v>455000</v>
      </c>
      <c r="L25" s="64">
        <v>455000</v>
      </c>
      <c r="M25" s="64">
        <v>455000</v>
      </c>
    </row>
    <row r="26" spans="3:15" x14ac:dyDescent="0.3">
      <c r="C26" t="s">
        <v>69</v>
      </c>
      <c r="E26" s="67">
        <f t="shared" ref="E26:M26" si="9">+E24/E25/12</f>
        <v>0</v>
      </c>
      <c r="F26" s="67">
        <f t="shared" si="9"/>
        <v>1.1556776556776558</v>
      </c>
      <c r="G26" s="67">
        <f t="shared" si="9"/>
        <v>1.2106227106227105</v>
      </c>
      <c r="H26" s="67">
        <f t="shared" si="9"/>
        <v>0.39212454212454212</v>
      </c>
      <c r="I26" s="67">
        <f t="shared" si="9"/>
        <v>0.39065934065934066</v>
      </c>
      <c r="J26" s="67">
        <f t="shared" si="9"/>
        <v>0.38241758241758239</v>
      </c>
      <c r="K26" s="67">
        <f t="shared" si="9"/>
        <v>0.3655677655677656</v>
      </c>
      <c r="L26" s="67">
        <f t="shared" si="9"/>
        <v>0.313003663003663</v>
      </c>
      <c r="M26" s="67">
        <f t="shared" si="9"/>
        <v>0.24413919413919413</v>
      </c>
    </row>
    <row r="27" spans="3:15" x14ac:dyDescent="0.3">
      <c r="E27" s="67"/>
      <c r="F27" s="67"/>
      <c r="G27" s="67"/>
      <c r="H27" s="67"/>
      <c r="I27" s="67"/>
      <c r="J27" s="67"/>
      <c r="K27" s="67"/>
      <c r="L27" s="67"/>
      <c r="M27" s="67"/>
    </row>
    <row r="28" spans="3:15" x14ac:dyDescent="0.3">
      <c r="C28" t="s">
        <v>108</v>
      </c>
      <c r="E28" s="158">
        <v>1000000</v>
      </c>
      <c r="F28" s="158">
        <v>1300000</v>
      </c>
      <c r="G28" s="158">
        <v>2000000</v>
      </c>
      <c r="H28" s="158">
        <v>1000000</v>
      </c>
      <c r="I28" s="158">
        <v>1000000</v>
      </c>
      <c r="J28" s="158">
        <v>600000</v>
      </c>
      <c r="K28" s="158">
        <v>300000</v>
      </c>
      <c r="L28" s="158">
        <v>300000</v>
      </c>
      <c r="M28" s="158">
        <v>300000</v>
      </c>
    </row>
    <row r="29" spans="3:15" x14ac:dyDescent="0.3">
      <c r="E29" s="67"/>
      <c r="F29" s="67"/>
      <c r="G29" s="67"/>
      <c r="H29" s="67"/>
      <c r="I29" s="67"/>
      <c r="J29" s="67"/>
      <c r="K29" s="67"/>
      <c r="L29" s="67"/>
      <c r="M29" s="67"/>
    </row>
    <row r="30" spans="3:15" x14ac:dyDescent="0.3">
      <c r="C30" t="s">
        <v>112</v>
      </c>
      <c r="E30" s="64">
        <v>2100000</v>
      </c>
      <c r="F30" s="64">
        <v>2100000</v>
      </c>
      <c r="G30" s="64">
        <v>2100000</v>
      </c>
      <c r="H30" s="64">
        <v>2100000</v>
      </c>
      <c r="I30" s="64">
        <v>2100000</v>
      </c>
      <c r="J30" s="64">
        <v>2100000</v>
      </c>
      <c r="K30" s="64">
        <v>2100000</v>
      </c>
      <c r="L30" s="64">
        <v>400000</v>
      </c>
      <c r="M30" s="67"/>
      <c r="N30" t="s">
        <v>120</v>
      </c>
    </row>
    <row r="31" spans="3:15" x14ac:dyDescent="0.3">
      <c r="C31" t="s">
        <v>70</v>
      </c>
      <c r="D31" s="65">
        <f>60000000</f>
        <v>60000000</v>
      </c>
      <c r="E31" s="65">
        <f t="shared" ref="E31:M31" si="10">D31-E9+E28+E30</f>
        <v>60926500</v>
      </c>
      <c r="F31" s="65">
        <f t="shared" si="10"/>
        <v>62047000</v>
      </c>
      <c r="G31" s="65">
        <f t="shared" si="10"/>
        <v>63744000</v>
      </c>
      <c r="H31" s="65">
        <f t="shared" si="10"/>
        <v>64342500</v>
      </c>
      <c r="I31" s="65">
        <f t="shared" si="10"/>
        <v>64842500</v>
      </c>
      <c r="J31" s="65">
        <f t="shared" si="10"/>
        <v>64854000</v>
      </c>
      <c r="K31" s="65">
        <f t="shared" si="10"/>
        <v>64484500</v>
      </c>
      <c r="L31" s="65">
        <f t="shared" si="10"/>
        <v>62334000</v>
      </c>
      <c r="M31" s="65">
        <f t="shared" si="10"/>
        <v>59762000</v>
      </c>
      <c r="N31" s="63" t="s">
        <v>71</v>
      </c>
    </row>
    <row r="32" spans="3:15" x14ac:dyDescent="0.3">
      <c r="C32" t="s">
        <v>72</v>
      </c>
      <c r="E32" s="64">
        <f t="shared" ref="E32:M32" si="11">+E31*$D$40*$E$40</f>
        <v>1218530</v>
      </c>
      <c r="F32" s="64">
        <f t="shared" si="11"/>
        <v>1240940</v>
      </c>
      <c r="G32" s="64">
        <f t="shared" si="11"/>
        <v>1274880</v>
      </c>
      <c r="H32" s="64">
        <f t="shared" si="11"/>
        <v>1286850</v>
      </c>
      <c r="I32" s="64">
        <f t="shared" si="11"/>
        <v>1296850</v>
      </c>
      <c r="J32" s="64">
        <f t="shared" si="11"/>
        <v>1297080</v>
      </c>
      <c r="K32" s="64">
        <f t="shared" si="11"/>
        <v>1289690</v>
      </c>
      <c r="L32" s="64">
        <f t="shared" si="11"/>
        <v>1246680</v>
      </c>
      <c r="M32" s="64">
        <f t="shared" si="11"/>
        <v>1195240</v>
      </c>
    </row>
    <row r="33" spans="1:13" x14ac:dyDescent="0.3">
      <c r="C33" s="63" t="s">
        <v>113</v>
      </c>
      <c r="E33" s="64"/>
      <c r="F33" s="64"/>
      <c r="G33" s="64"/>
      <c r="H33" s="64"/>
      <c r="I33" s="64"/>
      <c r="J33" s="64"/>
      <c r="K33" s="161"/>
      <c r="L33" s="64"/>
      <c r="M33" s="64"/>
    </row>
    <row r="34" spans="1:13" x14ac:dyDescent="0.3">
      <c r="K34" s="67"/>
    </row>
    <row r="35" spans="1:13" x14ac:dyDescent="0.3">
      <c r="H35" s="65"/>
    </row>
    <row r="36" spans="1:13" x14ac:dyDescent="0.3">
      <c r="A36" s="68"/>
    </row>
    <row r="37" spans="1:13" x14ac:dyDescent="0.3">
      <c r="E37" s="65"/>
    </row>
    <row r="38" spans="1:13" x14ac:dyDescent="0.3">
      <c r="A38" s="58" t="s">
        <v>74</v>
      </c>
      <c r="B38" s="59" t="s">
        <v>75</v>
      </c>
      <c r="E38" s="65"/>
    </row>
    <row r="39" spans="1:13" x14ac:dyDescent="0.3">
      <c r="D39" s="61" t="s">
        <v>76</v>
      </c>
      <c r="E39" s="61" t="s">
        <v>77</v>
      </c>
      <c r="F39" s="61" t="s">
        <v>78</v>
      </c>
    </row>
    <row r="40" spans="1:13" x14ac:dyDescent="0.3">
      <c r="C40" t="s">
        <v>79</v>
      </c>
      <c r="D40" s="69">
        <v>0.5</v>
      </c>
      <c r="E40" s="70">
        <v>0.04</v>
      </c>
      <c r="F40" s="70">
        <f>+D40*E40</f>
        <v>0.02</v>
      </c>
    </row>
    <row r="41" spans="1:13" x14ac:dyDescent="0.3">
      <c r="C41" t="s">
        <v>80</v>
      </c>
      <c r="D41" s="71">
        <v>0.5</v>
      </c>
      <c r="E41" s="72">
        <v>0.1</v>
      </c>
      <c r="F41" s="72">
        <f>+D41*E41</f>
        <v>0.05</v>
      </c>
    </row>
    <row r="42" spans="1:13" x14ac:dyDescent="0.3">
      <c r="D42" s="73">
        <f>SUM(D40:D41)</f>
        <v>1</v>
      </c>
      <c r="E42" s="65"/>
      <c r="F42" s="74">
        <f>SUM(F40:F41)</f>
        <v>7.0000000000000007E-2</v>
      </c>
    </row>
    <row r="43" spans="1:13" x14ac:dyDescent="0.3">
      <c r="E43" s="65"/>
    </row>
    <row r="44" spans="1:13" x14ac:dyDescent="0.3">
      <c r="E44" s="65"/>
    </row>
    <row r="45" spans="1:13" x14ac:dyDescent="0.3">
      <c r="A45" s="58" t="s">
        <v>81</v>
      </c>
      <c r="B45" s="59" t="s">
        <v>82</v>
      </c>
      <c r="E45" s="65"/>
    </row>
    <row r="46" spans="1:13" x14ac:dyDescent="0.3">
      <c r="E46" s="65"/>
    </row>
    <row r="47" spans="1:13" x14ac:dyDescent="0.3">
      <c r="C47" s="75" t="s">
        <v>83</v>
      </c>
      <c r="D47" s="76"/>
      <c r="E47" s="77"/>
      <c r="F47" s="77">
        <v>1</v>
      </c>
    </row>
    <row r="48" spans="1:13" x14ac:dyDescent="0.3">
      <c r="C48" s="75" t="s">
        <v>84</v>
      </c>
      <c r="D48" s="76"/>
      <c r="E48" s="78">
        <v>0</v>
      </c>
      <c r="F48" s="77">
        <f>+E48*F47</f>
        <v>0</v>
      </c>
    </row>
    <row r="49" spans="1:12" x14ac:dyDescent="0.3">
      <c r="C49" s="75" t="s">
        <v>85</v>
      </c>
      <c r="D49" s="76"/>
      <c r="E49" s="78">
        <v>1.2E-2</v>
      </c>
      <c r="F49" s="77">
        <f>+E49*F47</f>
        <v>1.2E-2</v>
      </c>
    </row>
    <row r="50" spans="1:12" x14ac:dyDescent="0.3">
      <c r="C50" s="75" t="s">
        <v>86</v>
      </c>
      <c r="D50" s="76"/>
      <c r="E50" s="78">
        <v>5.0000000000000001E-3</v>
      </c>
      <c r="F50" s="77">
        <f>+E50*F47</f>
        <v>5.0000000000000001E-3</v>
      </c>
    </row>
    <row r="51" spans="1:12" x14ac:dyDescent="0.3">
      <c r="C51" s="75" t="s">
        <v>87</v>
      </c>
      <c r="D51" s="76"/>
      <c r="E51" s="77"/>
      <c r="F51" s="79">
        <f>+F47-F48-F50-F49</f>
        <v>0.98299999999999998</v>
      </c>
    </row>
    <row r="52" spans="1:12" x14ac:dyDescent="0.3">
      <c r="C52" s="75" t="s">
        <v>88</v>
      </c>
      <c r="D52" s="76"/>
      <c r="E52" s="80">
        <v>9.9999000000000005E-2</v>
      </c>
      <c r="F52" s="77">
        <f>+F51*E52</f>
        <v>9.8299017000000002E-2</v>
      </c>
    </row>
    <row r="53" spans="1:12" x14ac:dyDescent="0.3">
      <c r="C53" s="75" t="s">
        <v>89</v>
      </c>
      <c r="D53" s="76"/>
      <c r="E53" s="78"/>
      <c r="F53" s="81">
        <f>+F51-F52</f>
        <v>0.884700983</v>
      </c>
      <c r="G53" s="82"/>
    </row>
    <row r="54" spans="1:12" x14ac:dyDescent="0.3">
      <c r="C54" s="75" t="s">
        <v>90</v>
      </c>
      <c r="D54" s="76"/>
      <c r="E54" s="78">
        <v>0.35</v>
      </c>
      <c r="F54" s="77"/>
    </row>
    <row r="55" spans="1:12" x14ac:dyDescent="0.3">
      <c r="C55" s="75" t="s">
        <v>91</v>
      </c>
      <c r="D55" s="76"/>
      <c r="E55" s="77"/>
      <c r="F55" s="79">
        <f>+F53*E54</f>
        <v>0.30964534404999999</v>
      </c>
    </row>
    <row r="56" spans="1:12" x14ac:dyDescent="0.3">
      <c r="C56" s="75" t="s">
        <v>92</v>
      </c>
      <c r="D56" s="76"/>
      <c r="E56" s="77"/>
      <c r="F56" s="83">
        <f>+F53-F55</f>
        <v>0.57505563895</v>
      </c>
    </row>
    <row r="57" spans="1:12" x14ac:dyDescent="0.3">
      <c r="C57" s="75" t="s">
        <v>82</v>
      </c>
      <c r="D57" s="76"/>
      <c r="E57" s="77"/>
      <c r="F57" s="84">
        <f>1/F56</f>
        <v>1.7389621669059889</v>
      </c>
    </row>
    <row r="58" spans="1:12" x14ac:dyDescent="0.3">
      <c r="C58" s="85" t="s">
        <v>93</v>
      </c>
      <c r="E58" s="86">
        <f>1-(SUM(1-E52)-(SUM(1-E52)*E54))</f>
        <v>0.41499934999999999</v>
      </c>
    </row>
    <row r="60" spans="1:12" x14ac:dyDescent="0.3">
      <c r="A60" s="87"/>
      <c r="B60" s="87"/>
      <c r="C60" s="87"/>
      <c r="D60" s="87"/>
      <c r="E60" s="88"/>
      <c r="F60" s="87"/>
      <c r="G60" s="87"/>
      <c r="H60" s="87"/>
      <c r="I60" s="87"/>
      <c r="J60" s="87"/>
    </row>
    <row r="61" spans="1:12" x14ac:dyDescent="0.3">
      <c r="A61" s="58" t="s">
        <v>94</v>
      </c>
    </row>
    <row r="62" spans="1:12" x14ac:dyDescent="0.3">
      <c r="A62" s="68"/>
    </row>
    <row r="64" spans="1:12" x14ac:dyDescent="0.3">
      <c r="L64" s="65"/>
    </row>
    <row r="65" spans="1:12" x14ac:dyDescent="0.3">
      <c r="L65" s="89"/>
    </row>
    <row r="68" spans="1:12" x14ac:dyDescent="0.3">
      <c r="A68" s="90"/>
      <c r="B68" s="91"/>
      <c r="C68" s="92" t="s">
        <v>95</v>
      </c>
      <c r="D68" s="91"/>
      <c r="E68" s="91"/>
      <c r="F68" s="93" t="s">
        <v>95</v>
      </c>
    </row>
    <row r="69" spans="1:12" x14ac:dyDescent="0.3">
      <c r="A69" s="94"/>
      <c r="B69" s="95"/>
      <c r="C69" s="95"/>
      <c r="D69" s="95"/>
      <c r="E69" s="95"/>
      <c r="F69" s="96"/>
    </row>
    <row r="70" spans="1:12" x14ac:dyDescent="0.3">
      <c r="A70" s="94" t="s">
        <v>51</v>
      </c>
      <c r="B70" s="95"/>
      <c r="C70" s="97">
        <f>+E7+E21</f>
        <v>10798000</v>
      </c>
      <c r="D70" s="95"/>
      <c r="E70" s="95"/>
      <c r="F70" s="98">
        <f>+M7+M21</f>
        <v>11900000</v>
      </c>
    </row>
    <row r="71" spans="1:12" x14ac:dyDescent="0.3">
      <c r="A71" s="94" t="s">
        <v>53</v>
      </c>
      <c r="B71" s="95"/>
      <c r="C71" s="99">
        <f>+E8+ROUND(SUM(E21*E50),-3)</f>
        <v>2032000</v>
      </c>
      <c r="D71" s="95"/>
      <c r="E71" s="95"/>
      <c r="F71" s="100">
        <f>+M8+ROUND(SUM(M21*E50),-3)</f>
        <v>2563540.1627752325</v>
      </c>
    </row>
    <row r="72" spans="1:12" x14ac:dyDescent="0.3">
      <c r="A72" s="94" t="s">
        <v>55</v>
      </c>
      <c r="B72" s="95"/>
      <c r="C72" s="99">
        <f>+E9</f>
        <v>2173500</v>
      </c>
      <c r="D72" s="95"/>
      <c r="E72" s="95"/>
      <c r="F72" s="100">
        <f>+M9</f>
        <v>2872000</v>
      </c>
    </row>
    <row r="73" spans="1:12" x14ac:dyDescent="0.3">
      <c r="A73" s="94" t="s">
        <v>57</v>
      </c>
      <c r="B73" s="95"/>
      <c r="C73" s="99">
        <f>ROUND(+E10+SUM(E21*E49),-3)</f>
        <v>166000</v>
      </c>
      <c r="D73" s="95"/>
      <c r="E73" s="95"/>
      <c r="F73" s="100">
        <f>ROUND(+M10+SUM(M21*E49),-3)</f>
        <v>162000</v>
      </c>
    </row>
    <row r="74" spans="1:12" x14ac:dyDescent="0.3">
      <c r="A74" s="94" t="s">
        <v>59</v>
      </c>
      <c r="B74" s="95"/>
      <c r="C74" s="97">
        <f>SUM(C70-C71-C72-C73-E32)*E58</f>
        <v>2161304.1648194999</v>
      </c>
      <c r="D74" s="95"/>
      <c r="E74" s="95"/>
      <c r="F74" s="98">
        <f>SUM(F70-F71-F72-F73-H32)*E58</f>
        <v>2081474.8223018839</v>
      </c>
    </row>
    <row r="75" spans="1:12" x14ac:dyDescent="0.3">
      <c r="A75" s="94"/>
      <c r="B75" s="95"/>
      <c r="C75" s="99"/>
      <c r="D75" s="95"/>
      <c r="E75" s="95"/>
      <c r="F75" s="100"/>
    </row>
    <row r="76" spans="1:12" x14ac:dyDescent="0.3">
      <c r="A76" s="94" t="s">
        <v>61</v>
      </c>
      <c r="B76" s="95"/>
      <c r="C76" s="97">
        <f>ROUND(SUM(C70-C71-C72-C73-C74),-3)</f>
        <v>4265000</v>
      </c>
      <c r="D76" s="95"/>
      <c r="E76" s="95"/>
      <c r="F76" s="98">
        <f>ROUND(SUM(F70-F71-F72-F73-F74),-3)</f>
        <v>4221000</v>
      </c>
    </row>
    <row r="77" spans="1:12" x14ac:dyDescent="0.3">
      <c r="A77" s="94"/>
      <c r="B77" s="95"/>
      <c r="C77" s="99"/>
      <c r="D77" s="95"/>
      <c r="E77" s="95"/>
      <c r="F77" s="100"/>
    </row>
    <row r="78" spans="1:12" x14ac:dyDescent="0.3">
      <c r="A78" s="94" t="s">
        <v>62</v>
      </c>
      <c r="B78" s="95"/>
      <c r="C78" s="99">
        <f>+E15</f>
        <v>4264855</v>
      </c>
      <c r="D78" s="95"/>
      <c r="E78" s="95"/>
      <c r="F78" s="100">
        <f>+M15</f>
        <v>4183340.0000000005</v>
      </c>
    </row>
    <row r="79" spans="1:12" x14ac:dyDescent="0.3">
      <c r="A79" s="94"/>
      <c r="B79" s="95"/>
      <c r="C79" s="95"/>
      <c r="D79" s="95"/>
      <c r="E79" s="95"/>
      <c r="F79" s="96"/>
    </row>
    <row r="80" spans="1:12" x14ac:dyDescent="0.3">
      <c r="A80" s="94" t="s">
        <v>63</v>
      </c>
      <c r="B80" s="95"/>
      <c r="C80" s="101">
        <f>+C76-C78</f>
        <v>145</v>
      </c>
      <c r="D80" s="95"/>
      <c r="E80" s="95"/>
      <c r="F80" s="102">
        <f>+F76-F78</f>
        <v>37659.999999999534</v>
      </c>
    </row>
    <row r="81" spans="1:6" x14ac:dyDescent="0.3">
      <c r="A81" s="94"/>
      <c r="B81" s="95"/>
      <c r="C81" s="95"/>
      <c r="D81" s="95"/>
      <c r="E81" s="95"/>
      <c r="F81" s="96"/>
    </row>
    <row r="82" spans="1:6" x14ac:dyDescent="0.3">
      <c r="A82" s="94" t="s">
        <v>64</v>
      </c>
      <c r="B82" s="95"/>
      <c r="C82" s="103">
        <f>+E19</f>
        <v>1.7389621669059889</v>
      </c>
      <c r="D82" s="95"/>
      <c r="E82" s="95"/>
      <c r="F82" s="104">
        <f>+M19</f>
        <v>1.7389621669059889</v>
      </c>
    </row>
    <row r="83" spans="1:6" x14ac:dyDescent="0.3">
      <c r="A83" s="94"/>
      <c r="B83" s="95"/>
      <c r="C83" s="95"/>
      <c r="D83" s="95"/>
      <c r="E83" s="95"/>
      <c r="F83" s="96"/>
    </row>
    <row r="84" spans="1:6" x14ac:dyDescent="0.3">
      <c r="A84" s="94" t="s">
        <v>65</v>
      </c>
      <c r="B84" s="95"/>
      <c r="C84" s="97">
        <f>+C78-C76</f>
        <v>-145</v>
      </c>
      <c r="D84" s="95"/>
      <c r="E84" s="95"/>
      <c r="F84" s="98">
        <f>+F78-F76</f>
        <v>-37659.999999999534</v>
      </c>
    </row>
    <row r="85" spans="1:6" x14ac:dyDescent="0.3">
      <c r="A85" s="94"/>
      <c r="B85" s="95"/>
      <c r="C85" s="95"/>
      <c r="D85" s="95"/>
      <c r="E85" s="95"/>
      <c r="F85" s="96"/>
    </row>
    <row r="86" spans="1:6" x14ac:dyDescent="0.3">
      <c r="A86" s="94" t="s">
        <v>96</v>
      </c>
      <c r="B86" s="95"/>
      <c r="C86" s="99">
        <f>+E31*D41</f>
        <v>30463250</v>
      </c>
      <c r="D86" s="95"/>
      <c r="E86" s="95"/>
      <c r="F86" s="100">
        <f>+M31*D41</f>
        <v>29881000</v>
      </c>
    </row>
    <row r="87" spans="1:6" x14ac:dyDescent="0.3">
      <c r="A87" s="94"/>
      <c r="B87" s="95"/>
      <c r="C87" s="95"/>
      <c r="D87" s="95"/>
      <c r="E87" s="95"/>
      <c r="F87" s="96"/>
    </row>
    <row r="88" spans="1:6" x14ac:dyDescent="0.3">
      <c r="A88" s="105" t="s">
        <v>97</v>
      </c>
      <c r="B88" s="106"/>
      <c r="C88" s="107">
        <f>SUM(C76-E32)/C86</f>
        <v>0.10000475983356996</v>
      </c>
      <c r="D88" s="106"/>
      <c r="E88" s="106"/>
      <c r="F88" s="108">
        <f>SUM(F76-M32)/F86</f>
        <v>0.10126033265285633</v>
      </c>
    </row>
  </sheetData>
  <pageMargins left="0.7" right="0.7" top="0.75" bottom="0.75" header="0.3" footer="0.3"/>
  <pageSetup scale="3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85"/>
  <sheetViews>
    <sheetView zoomScaleNormal="100" workbookViewId="0"/>
  </sheetViews>
  <sheetFormatPr defaultRowHeight="15" x14ac:dyDescent="0.25"/>
  <cols>
    <col min="1" max="1" width="12.44140625" style="1" bestFit="1" customWidth="1"/>
    <col min="2" max="6" width="12.21875" style="1" bestFit="1" customWidth="1"/>
    <col min="7" max="7" width="12.21875" style="1" customWidth="1"/>
    <col min="8" max="8" width="12.88671875" style="1" bestFit="1" customWidth="1"/>
    <col min="9" max="9" width="12.33203125" style="1" customWidth="1"/>
    <col min="10" max="10" width="11.6640625" style="1" customWidth="1"/>
    <col min="11" max="11" width="13.44140625" style="1" customWidth="1"/>
    <col min="12" max="17" width="13.77734375" style="1" customWidth="1"/>
    <col min="18" max="16384" width="8.88671875" style="1"/>
  </cols>
  <sheetData>
    <row r="1" spans="1:15" ht="18.75" x14ac:dyDescent="0.3">
      <c r="A1" s="11"/>
      <c r="B1" s="184" t="s">
        <v>29</v>
      </c>
      <c r="C1" s="184"/>
      <c r="D1" s="184"/>
      <c r="E1" s="184"/>
      <c r="F1" s="185"/>
      <c r="G1" s="44"/>
      <c r="O1" s="1" t="s">
        <v>117</v>
      </c>
    </row>
    <row r="2" spans="1:15" ht="18.75" x14ac:dyDescent="0.3">
      <c r="A2" s="14"/>
      <c r="B2" s="44"/>
      <c r="C2" s="44"/>
      <c r="D2" s="44"/>
      <c r="E2" s="44"/>
      <c r="F2" s="48"/>
      <c r="G2" s="44"/>
    </row>
    <row r="3" spans="1:15" ht="18.75" x14ac:dyDescent="0.3">
      <c r="A3" s="12" t="s">
        <v>0</v>
      </c>
      <c r="B3" s="182" t="s">
        <v>41</v>
      </c>
      <c r="C3" s="182"/>
      <c r="D3" s="182"/>
      <c r="E3" s="182"/>
      <c r="F3" s="183"/>
      <c r="G3" s="44"/>
    </row>
    <row r="4" spans="1:15" ht="18.75" x14ac:dyDescent="0.3">
      <c r="A4" s="14"/>
      <c r="B4" s="15">
        <v>42460</v>
      </c>
      <c r="C4" s="16">
        <v>42551</v>
      </c>
      <c r="D4" s="15">
        <v>42643</v>
      </c>
      <c r="E4" s="16">
        <v>42735</v>
      </c>
      <c r="F4" s="17" t="s">
        <v>27</v>
      </c>
      <c r="G4" s="44"/>
    </row>
    <row r="5" spans="1:15" ht="18.75" x14ac:dyDescent="0.3">
      <c r="A5" s="14" t="s">
        <v>2</v>
      </c>
      <c r="B5" s="18">
        <v>4765</v>
      </c>
      <c r="C5" s="19">
        <v>4805</v>
      </c>
      <c r="D5" s="18">
        <v>4858</v>
      </c>
      <c r="E5" s="19">
        <v>4870</v>
      </c>
      <c r="F5" s="20">
        <f t="shared" ref="F5:F10" si="0">SUM(B5:E5)</f>
        <v>19298</v>
      </c>
      <c r="G5" s="44"/>
    </row>
    <row r="6" spans="1:15" ht="18.75" x14ac:dyDescent="0.3">
      <c r="A6" s="14" t="s">
        <v>3</v>
      </c>
      <c r="B6" s="18">
        <v>314</v>
      </c>
      <c r="C6" s="19">
        <v>314</v>
      </c>
      <c r="D6" s="18">
        <v>315</v>
      </c>
      <c r="E6" s="19">
        <v>315</v>
      </c>
      <c r="F6" s="20">
        <f t="shared" si="0"/>
        <v>1258</v>
      </c>
      <c r="G6" s="44"/>
    </row>
    <row r="7" spans="1:15" ht="18.75" x14ac:dyDescent="0.3">
      <c r="A7" s="14" t="s">
        <v>4</v>
      </c>
      <c r="B7" s="18">
        <v>210</v>
      </c>
      <c r="C7" s="19">
        <v>209</v>
      </c>
      <c r="D7" s="18">
        <v>210</v>
      </c>
      <c r="E7" s="19">
        <v>210</v>
      </c>
      <c r="F7" s="20">
        <f t="shared" si="0"/>
        <v>839</v>
      </c>
      <c r="G7" s="44"/>
    </row>
    <row r="8" spans="1:15" ht="18.75" x14ac:dyDescent="0.3">
      <c r="A8" s="14" t="s">
        <v>5</v>
      </c>
      <c r="B8" s="18">
        <v>14</v>
      </c>
      <c r="C8" s="19">
        <v>14</v>
      </c>
      <c r="D8" s="18">
        <v>14</v>
      </c>
      <c r="E8" s="19">
        <v>14</v>
      </c>
      <c r="F8" s="20">
        <f t="shared" si="0"/>
        <v>56</v>
      </c>
      <c r="G8" s="44"/>
    </row>
    <row r="9" spans="1:15" ht="18.75" x14ac:dyDescent="0.3">
      <c r="A9" s="14" t="s">
        <v>6</v>
      </c>
      <c r="B9" s="18">
        <v>9</v>
      </c>
      <c r="C9" s="19">
        <v>9</v>
      </c>
      <c r="D9" s="18">
        <v>9</v>
      </c>
      <c r="E9" s="19">
        <v>9</v>
      </c>
      <c r="F9" s="20">
        <f t="shared" si="0"/>
        <v>36</v>
      </c>
      <c r="G9" s="44"/>
    </row>
    <row r="10" spans="1:15" ht="18.75" x14ac:dyDescent="0.3">
      <c r="A10" s="14" t="s">
        <v>7</v>
      </c>
      <c r="B10" s="2">
        <v>4</v>
      </c>
      <c r="C10" s="4">
        <v>4</v>
      </c>
      <c r="D10" s="2">
        <v>4</v>
      </c>
      <c r="E10" s="4">
        <v>4</v>
      </c>
      <c r="F10" s="21">
        <f t="shared" si="0"/>
        <v>16</v>
      </c>
      <c r="G10" s="44"/>
    </row>
    <row r="11" spans="1:15" ht="18.75" x14ac:dyDescent="0.3">
      <c r="A11" s="14"/>
      <c r="B11" s="18">
        <f t="shared" ref="B11" si="1">SUM(B5:B10)</f>
        <v>5316</v>
      </c>
      <c r="C11" s="19">
        <f t="shared" ref="C11" si="2">SUM(C5:C10)</f>
        <v>5355</v>
      </c>
      <c r="D11" s="18">
        <f t="shared" ref="D11" si="3">SUM(D5:D10)</f>
        <v>5410</v>
      </c>
      <c r="E11" s="19">
        <f t="shared" ref="E11" si="4">SUM(E5:E10)</f>
        <v>5422</v>
      </c>
      <c r="F11" s="20">
        <f t="shared" ref="F11" si="5">SUM(F5:F10)</f>
        <v>21503</v>
      </c>
      <c r="G11" s="44"/>
    </row>
    <row r="12" spans="1:15" ht="18.75" x14ac:dyDescent="0.3">
      <c r="A12" s="14"/>
      <c r="B12" s="18"/>
      <c r="C12" s="19"/>
      <c r="D12" s="18"/>
      <c r="E12" s="19"/>
      <c r="F12" s="20"/>
      <c r="G12" s="44"/>
    </row>
    <row r="13" spans="1:15" ht="15.75" customHeight="1" x14ac:dyDescent="0.25">
      <c r="A13" s="12"/>
      <c r="B13" s="182" t="s">
        <v>1</v>
      </c>
      <c r="C13" s="182"/>
      <c r="D13" s="182"/>
      <c r="E13" s="182"/>
      <c r="F13" s="183"/>
      <c r="G13" s="176" t="s">
        <v>40</v>
      </c>
      <c r="H13" s="177"/>
      <c r="I13" s="177"/>
      <c r="J13" s="177"/>
    </row>
    <row r="14" spans="1:15" ht="15.75" customHeight="1" x14ac:dyDescent="0.25">
      <c r="A14" s="14"/>
      <c r="B14" s="15">
        <v>42460</v>
      </c>
      <c r="C14" s="16">
        <v>42551</v>
      </c>
      <c r="D14" s="15">
        <v>42643</v>
      </c>
      <c r="E14" s="16">
        <v>42735</v>
      </c>
      <c r="F14" s="17" t="s">
        <v>27</v>
      </c>
      <c r="G14" s="15">
        <v>42460</v>
      </c>
      <c r="H14" s="16">
        <v>42551</v>
      </c>
      <c r="I14" s="15">
        <v>42643</v>
      </c>
      <c r="J14" s="16">
        <v>42735</v>
      </c>
      <c r="K14" s="7" t="s">
        <v>42</v>
      </c>
      <c r="L14" s="7"/>
    </row>
    <row r="15" spans="1:15" ht="15.75" customHeight="1" x14ac:dyDescent="0.25">
      <c r="A15" s="14" t="s">
        <v>2</v>
      </c>
      <c r="B15" s="18">
        <v>55967989</v>
      </c>
      <c r="C15" s="19">
        <v>59762888</v>
      </c>
      <c r="D15" s="18">
        <v>63263435</v>
      </c>
      <c r="E15" s="19">
        <v>56354761</v>
      </c>
      <c r="F15" s="20">
        <f t="shared" ref="F15:F20" si="6">SUM(B15:E15)</f>
        <v>235349073</v>
      </c>
      <c r="G15" s="19">
        <f>B15/($D$41-$E$41-118)</f>
        <v>11775.297496318115</v>
      </c>
      <c r="H15" s="19">
        <f>C15/($D$41-$E$41-79)</f>
        <v>12471.387312186978</v>
      </c>
      <c r="I15" s="19">
        <f>D15/($D$41-$E$41-24)</f>
        <v>13052.080668454715</v>
      </c>
      <c r="J15" s="19">
        <f>E15/($D$41-$E$41-12)</f>
        <v>11598.016258489401</v>
      </c>
      <c r="K15" s="49">
        <f t="shared" ref="K15:K20" si="7">SUM(G15:J15)</f>
        <v>48896.781735449207</v>
      </c>
      <c r="L15" s="7"/>
    </row>
    <row r="16" spans="1:15" ht="15.75" customHeight="1" x14ac:dyDescent="0.25">
      <c r="A16" s="14" t="s">
        <v>3</v>
      </c>
      <c r="B16" s="18">
        <v>21186650</v>
      </c>
      <c r="C16" s="19">
        <v>22793006</v>
      </c>
      <c r="D16" s="18">
        <v>30443513</v>
      </c>
      <c r="E16" s="19">
        <v>22741370</v>
      </c>
      <c r="F16" s="20">
        <f t="shared" si="6"/>
        <v>97164539</v>
      </c>
      <c r="G16" s="19">
        <f>B16/($D$42-$E$42)</f>
        <v>35607.815126050424</v>
      </c>
      <c r="H16" s="19">
        <f>C16/($D$42-$E$42)</f>
        <v>38307.573109243698</v>
      </c>
      <c r="I16" s="19">
        <f>D16/($D$42-$E$42)</f>
        <v>51165.568067226894</v>
      </c>
      <c r="J16" s="19">
        <f>E16/($D$42-$E$42)</f>
        <v>38220.789915966387</v>
      </c>
      <c r="K16" s="49">
        <f t="shared" si="7"/>
        <v>163301.74621848739</v>
      </c>
      <c r="L16" s="7"/>
    </row>
    <row r="17" spans="1:12" ht="15.75" customHeight="1" x14ac:dyDescent="0.25">
      <c r="A17" s="14" t="s">
        <v>4</v>
      </c>
      <c r="B17" s="18">
        <v>9239718</v>
      </c>
      <c r="C17" s="19">
        <v>9448534</v>
      </c>
      <c r="D17" s="18">
        <v>11226946</v>
      </c>
      <c r="E17" s="19">
        <v>10111326</v>
      </c>
      <c r="F17" s="20">
        <f t="shared" si="6"/>
        <v>40026524</v>
      </c>
      <c r="G17" s="19">
        <f>B17/($D$43-$E$43)</f>
        <v>8069.6227074235812</v>
      </c>
      <c r="H17" s="19">
        <f>C17/($D$43-$E$43)</f>
        <v>8251.9947598253275</v>
      </c>
      <c r="I17" s="19">
        <f>D17/($D$43-$E$43)</f>
        <v>9805.1930131004374</v>
      </c>
      <c r="J17" s="19">
        <f>E17/($D$43-$E$43)</f>
        <v>8830.8524017467244</v>
      </c>
      <c r="K17" s="49">
        <f t="shared" si="7"/>
        <v>34957.662882096076</v>
      </c>
      <c r="L17" s="7"/>
    </row>
    <row r="18" spans="1:12" ht="15.75" customHeight="1" x14ac:dyDescent="0.25">
      <c r="A18" s="14" t="s">
        <v>5</v>
      </c>
      <c r="B18" s="18">
        <v>1833200</v>
      </c>
      <c r="C18" s="19">
        <v>2024800</v>
      </c>
      <c r="D18" s="18">
        <v>2178300</v>
      </c>
      <c r="E18" s="19">
        <v>2305700</v>
      </c>
      <c r="F18" s="20">
        <f t="shared" si="6"/>
        <v>8342000</v>
      </c>
      <c r="G18" s="19">
        <f>B18/($D$44-$E$44)</f>
        <v>114575</v>
      </c>
      <c r="H18" s="19">
        <f>C18/($D$44-$E$44)</f>
        <v>126550</v>
      </c>
      <c r="I18" s="19">
        <f>D18/($D$44-$E$44)</f>
        <v>136143.75</v>
      </c>
      <c r="J18" s="19">
        <f>E18/($D$44-$E$44)</f>
        <v>144106.25</v>
      </c>
      <c r="K18" s="49">
        <f t="shared" si="7"/>
        <v>521375</v>
      </c>
      <c r="L18" s="7"/>
    </row>
    <row r="19" spans="1:12" ht="15.75" customHeight="1" x14ac:dyDescent="0.25">
      <c r="A19" s="14" t="s">
        <v>6</v>
      </c>
      <c r="B19" s="18">
        <v>73000</v>
      </c>
      <c r="C19" s="19">
        <v>67400</v>
      </c>
      <c r="D19" s="18">
        <v>87900</v>
      </c>
      <c r="E19" s="19">
        <v>107000</v>
      </c>
      <c r="F19" s="20">
        <f t="shared" si="6"/>
        <v>335300</v>
      </c>
      <c r="G19" s="19">
        <f>B19/($D$45-$E$45)</f>
        <v>14600</v>
      </c>
      <c r="H19" s="19">
        <f>C19/($D$45-$E$45)</f>
        <v>13480</v>
      </c>
      <c r="I19" s="19">
        <f>D19/($D$45-$E$45)</f>
        <v>17580</v>
      </c>
      <c r="J19" s="19">
        <f>E19/($D$45-$E$45)</f>
        <v>21400</v>
      </c>
      <c r="K19" s="49">
        <f t="shared" si="7"/>
        <v>67060</v>
      </c>
      <c r="L19" s="7"/>
    </row>
    <row r="20" spans="1:12" ht="15.75" customHeight="1" x14ac:dyDescent="0.25">
      <c r="A20" s="14" t="s">
        <v>7</v>
      </c>
      <c r="B20" s="2">
        <v>947216</v>
      </c>
      <c r="C20" s="4">
        <v>1694704</v>
      </c>
      <c r="D20" s="2">
        <v>2015984</v>
      </c>
      <c r="E20" s="4">
        <v>869908</v>
      </c>
      <c r="F20" s="21">
        <f t="shared" si="6"/>
        <v>5527812</v>
      </c>
      <c r="G20" s="41">
        <f>B20/($D$46-$E$46)</f>
        <v>236804</v>
      </c>
      <c r="H20" s="4">
        <f>C20/($D$46-$E$46)</f>
        <v>423676</v>
      </c>
      <c r="I20" s="4">
        <f>D20/($D$46-$E$46)</f>
        <v>503996</v>
      </c>
      <c r="J20" s="4">
        <f>E20/($D$46-$E$46)</f>
        <v>217477</v>
      </c>
      <c r="K20" s="50">
        <f t="shared" si="7"/>
        <v>1381953</v>
      </c>
    </row>
    <row r="21" spans="1:12" ht="15.75" customHeight="1" x14ac:dyDescent="0.25">
      <c r="A21" s="14"/>
      <c r="B21" s="18">
        <f t="shared" ref="B21:F21" si="8">SUM(B15:B20)</f>
        <v>89247773</v>
      </c>
      <c r="C21" s="19">
        <f t="shared" si="8"/>
        <v>95791332</v>
      </c>
      <c r="D21" s="18">
        <f t="shared" si="8"/>
        <v>109216078</v>
      </c>
      <c r="E21" s="19">
        <f t="shared" si="8"/>
        <v>92490065</v>
      </c>
      <c r="F21" s="20">
        <f t="shared" si="8"/>
        <v>386745248</v>
      </c>
      <c r="G21" s="19">
        <f>SUM(G15:G20)</f>
        <v>421431.73532979214</v>
      </c>
      <c r="H21" s="19">
        <f>SUM(H15:H20)</f>
        <v>622736.95518125594</v>
      </c>
      <c r="I21" s="19">
        <f>SUM(I15:I20)</f>
        <v>731742.59174878197</v>
      </c>
      <c r="J21" s="19">
        <f>SUM(J15:J20)</f>
        <v>441632.90857620252</v>
      </c>
      <c r="K21" s="19">
        <f>SUM(K15:K20)</f>
        <v>2217544.1908360329</v>
      </c>
    </row>
    <row r="22" spans="1:12" ht="15.75" customHeight="1" x14ac:dyDescent="0.25">
      <c r="A22" s="14"/>
      <c r="B22" s="22"/>
      <c r="C22" s="22"/>
      <c r="D22" s="22"/>
      <c r="E22" s="22"/>
      <c r="F22" s="23"/>
      <c r="G22" s="22"/>
    </row>
    <row r="23" spans="1:12" x14ac:dyDescent="0.25">
      <c r="A23" s="14"/>
      <c r="B23" s="182" t="s">
        <v>28</v>
      </c>
      <c r="C23" s="182"/>
      <c r="D23" s="182"/>
      <c r="E23" s="182"/>
      <c r="F23" s="183"/>
      <c r="G23" s="13"/>
    </row>
    <row r="24" spans="1:12" x14ac:dyDescent="0.25">
      <c r="A24" s="12"/>
      <c r="B24" s="15">
        <v>42460</v>
      </c>
      <c r="C24" s="16">
        <v>42551</v>
      </c>
      <c r="D24" s="15">
        <v>42643</v>
      </c>
      <c r="E24" s="16">
        <v>42735</v>
      </c>
      <c r="F24" s="17" t="s">
        <v>27</v>
      </c>
      <c r="G24" s="45"/>
    </row>
    <row r="25" spans="1:12" x14ac:dyDescent="0.25">
      <c r="A25" s="14" t="s">
        <v>2</v>
      </c>
      <c r="B25" s="24">
        <v>599854.01</v>
      </c>
      <c r="C25" s="25">
        <v>625186.74</v>
      </c>
      <c r="D25" s="24">
        <v>653429.84</v>
      </c>
      <c r="E25" s="25">
        <v>608500.88</v>
      </c>
      <c r="F25" s="26">
        <f t="shared" ref="F25:F30" si="9">SUM(B25:E25)</f>
        <v>2486971.4699999997</v>
      </c>
      <c r="G25" s="46"/>
    </row>
    <row r="26" spans="1:12" x14ac:dyDescent="0.25">
      <c r="A26" s="14" t="s">
        <v>3</v>
      </c>
      <c r="B26" s="24">
        <v>167758.5</v>
      </c>
      <c r="C26" s="25">
        <v>177583.21</v>
      </c>
      <c r="D26" s="24">
        <v>227618.64</v>
      </c>
      <c r="E26" s="25">
        <v>177743.77</v>
      </c>
      <c r="F26" s="26">
        <f t="shared" si="9"/>
        <v>750704.12</v>
      </c>
      <c r="G26" s="46"/>
    </row>
    <row r="27" spans="1:12" x14ac:dyDescent="0.25">
      <c r="A27" s="14" t="s">
        <v>4</v>
      </c>
      <c r="B27" s="24">
        <v>114790.58</v>
      </c>
      <c r="C27" s="25">
        <v>113387.98</v>
      </c>
      <c r="D27" s="24">
        <v>121494.56</v>
      </c>
      <c r="E27" s="25">
        <v>115226.24000000001</v>
      </c>
      <c r="F27" s="26">
        <f t="shared" si="9"/>
        <v>464899.36</v>
      </c>
      <c r="G27" s="46"/>
    </row>
    <row r="28" spans="1:12" x14ac:dyDescent="0.25">
      <c r="A28" s="14" t="s">
        <v>5</v>
      </c>
      <c r="B28" s="24">
        <v>12418.03</v>
      </c>
      <c r="C28" s="25">
        <v>13655.76</v>
      </c>
      <c r="D28" s="24">
        <v>14689.25</v>
      </c>
      <c r="E28" s="25">
        <v>15503.84</v>
      </c>
      <c r="F28" s="26">
        <f t="shared" si="9"/>
        <v>56266.880000000005</v>
      </c>
      <c r="G28" s="46"/>
      <c r="H28" s="43"/>
    </row>
    <row r="29" spans="1:12" x14ac:dyDescent="0.25">
      <c r="A29" s="14" t="s">
        <v>6</v>
      </c>
      <c r="B29" s="24">
        <v>1033.93</v>
      </c>
      <c r="C29" s="25">
        <v>946.2</v>
      </c>
      <c r="D29" s="24">
        <v>1122.43</v>
      </c>
      <c r="E29" s="25">
        <v>1236.9000000000001</v>
      </c>
      <c r="F29" s="26">
        <f t="shared" si="9"/>
        <v>4339.4600000000009</v>
      </c>
      <c r="G29" s="46"/>
    </row>
    <row r="30" spans="1:12" x14ac:dyDescent="0.25">
      <c r="A30" s="14" t="s">
        <v>7</v>
      </c>
      <c r="B30" s="3">
        <v>6262.9</v>
      </c>
      <c r="C30" s="5">
        <v>11091.68</v>
      </c>
      <c r="D30" s="3">
        <v>13167.15</v>
      </c>
      <c r="E30" s="5">
        <v>5763.5</v>
      </c>
      <c r="F30" s="27">
        <f t="shared" si="9"/>
        <v>36285.230000000003</v>
      </c>
      <c r="G30" s="46"/>
      <c r="H30" s="43"/>
    </row>
    <row r="31" spans="1:12" ht="15.75" thickBot="1" x14ac:dyDescent="0.3">
      <c r="A31" s="28"/>
      <c r="B31" s="29">
        <f>SUM(B25:B30)</f>
        <v>902117.95000000007</v>
      </c>
      <c r="C31" s="30">
        <f>SUM(C25:C30)</f>
        <v>941851.57</v>
      </c>
      <c r="D31" s="29">
        <f>SUM(D25:D30)</f>
        <v>1031521.8700000001</v>
      </c>
      <c r="E31" s="30">
        <f>SUM(E25:E30)</f>
        <v>923975.13</v>
      </c>
      <c r="F31" s="31">
        <f>SUM(F25:F30)</f>
        <v>3799466.5199999996</v>
      </c>
      <c r="G31" s="47"/>
    </row>
    <row r="32" spans="1:12" x14ac:dyDescent="0.25">
      <c r="A32" s="22"/>
      <c r="B32" s="47"/>
      <c r="C32" s="47"/>
      <c r="D32" s="47"/>
      <c r="E32" s="47"/>
      <c r="F32" s="47"/>
      <c r="G32" s="47"/>
    </row>
    <row r="33" spans="1:17" x14ac:dyDescent="0.25">
      <c r="A33" s="22"/>
      <c r="B33" s="47"/>
      <c r="C33" s="47"/>
      <c r="D33" s="47"/>
      <c r="E33" s="47"/>
      <c r="F33" s="47"/>
      <c r="G33" s="47"/>
    </row>
    <row r="34" spans="1:17" x14ac:dyDescent="0.25">
      <c r="A34" s="22"/>
      <c r="B34" s="47"/>
      <c r="C34" s="47"/>
      <c r="D34" s="47"/>
      <c r="E34" s="47"/>
      <c r="F34" s="47"/>
      <c r="G34" s="47"/>
    </row>
    <row r="35" spans="1:17" ht="15.75" thickBot="1" x14ac:dyDescent="0.3"/>
    <row r="36" spans="1:17" ht="18.75" x14ac:dyDescent="0.3">
      <c r="A36" s="11"/>
      <c r="B36" s="184" t="s">
        <v>26</v>
      </c>
      <c r="C36" s="184"/>
      <c r="D36" s="184"/>
      <c r="E36" s="184"/>
      <c r="F36" s="32"/>
      <c r="G36" s="22"/>
    </row>
    <row r="37" spans="1:17" ht="15.75" thickBot="1" x14ac:dyDescent="0.3">
      <c r="A37" s="14"/>
      <c r="B37" s="186" t="s">
        <v>8</v>
      </c>
      <c r="C37" s="175" t="s">
        <v>9</v>
      </c>
      <c r="D37" s="175" t="s">
        <v>10</v>
      </c>
      <c r="E37" s="175" t="s">
        <v>11</v>
      </c>
      <c r="F37" s="23"/>
      <c r="G37" s="22"/>
    </row>
    <row r="38" spans="1:17" ht="18.75" x14ac:dyDescent="0.3">
      <c r="A38" s="14"/>
      <c r="B38" s="186"/>
      <c r="C38" s="175"/>
      <c r="D38" s="175"/>
      <c r="E38" s="175"/>
      <c r="F38" s="23"/>
      <c r="G38" s="22"/>
      <c r="H38" s="11"/>
      <c r="I38" s="36"/>
      <c r="J38" s="36"/>
      <c r="K38" s="36"/>
      <c r="L38" s="110" t="s">
        <v>39</v>
      </c>
      <c r="M38" s="36"/>
      <c r="N38" s="36"/>
      <c r="O38" s="36"/>
      <c r="P38" s="36"/>
      <c r="Q38" s="32"/>
    </row>
    <row r="39" spans="1:17" ht="15.75" customHeight="1" x14ac:dyDescent="0.25">
      <c r="A39" s="14"/>
      <c r="B39" s="186"/>
      <c r="C39" s="175"/>
      <c r="D39" s="175"/>
      <c r="E39" s="175"/>
      <c r="F39" s="23"/>
      <c r="G39" s="22"/>
      <c r="H39" s="180" t="s">
        <v>44</v>
      </c>
      <c r="I39" s="181"/>
      <c r="J39" s="181"/>
      <c r="K39" s="181"/>
      <c r="L39" s="181"/>
      <c r="M39" s="178" t="s">
        <v>43</v>
      </c>
      <c r="N39" s="178"/>
      <c r="O39" s="178"/>
      <c r="P39" s="178"/>
      <c r="Q39" s="179"/>
    </row>
    <row r="40" spans="1:17" x14ac:dyDescent="0.25">
      <c r="A40" s="14"/>
      <c r="B40" s="186"/>
      <c r="C40" s="175"/>
      <c r="D40" s="175"/>
      <c r="E40" s="175"/>
      <c r="F40" s="23"/>
      <c r="G40" s="22"/>
      <c r="H40" s="37" t="s">
        <v>110</v>
      </c>
      <c r="I40" s="38" t="s">
        <v>30</v>
      </c>
      <c r="J40" s="38" t="s">
        <v>31</v>
      </c>
      <c r="K40" s="38" t="s">
        <v>32</v>
      </c>
      <c r="L40" s="38" t="s">
        <v>33</v>
      </c>
      <c r="M40" s="38" t="s">
        <v>34</v>
      </c>
      <c r="N40" s="38" t="s">
        <v>35</v>
      </c>
      <c r="O40" s="38" t="s">
        <v>36</v>
      </c>
      <c r="P40" s="38" t="s">
        <v>37</v>
      </c>
      <c r="Q40" s="39" t="s">
        <v>38</v>
      </c>
    </row>
    <row r="41" spans="1:17" x14ac:dyDescent="0.25">
      <c r="A41" s="14" t="s">
        <v>2</v>
      </c>
      <c r="B41" s="33">
        <v>4882</v>
      </c>
      <c r="C41" s="55">
        <v>5337</v>
      </c>
      <c r="D41" s="55">
        <v>5390</v>
      </c>
      <c r="E41" s="33">
        <v>519</v>
      </c>
      <c r="F41" s="170"/>
      <c r="G41" s="22"/>
      <c r="H41" s="51">
        <f>260+205</f>
        <v>465</v>
      </c>
      <c r="I41" s="52">
        <f>345+215</f>
        <v>560</v>
      </c>
      <c r="J41" s="52">
        <f>163+194</f>
        <v>357</v>
      </c>
      <c r="K41" s="52">
        <f>4+94</f>
        <v>98</v>
      </c>
      <c r="L41" s="52">
        <f>2</f>
        <v>2</v>
      </c>
      <c r="M41" s="22">
        <v>139</v>
      </c>
      <c r="N41" s="22">
        <v>91</v>
      </c>
      <c r="O41" s="22">
        <v>91</v>
      </c>
      <c r="P41" s="22">
        <v>103</v>
      </c>
      <c r="Q41" s="23">
        <v>71</v>
      </c>
    </row>
    <row r="42" spans="1:17" x14ac:dyDescent="0.25">
      <c r="A42" s="14" t="s">
        <v>3</v>
      </c>
      <c r="B42" s="33">
        <v>315</v>
      </c>
      <c r="C42" s="33">
        <v>1658</v>
      </c>
      <c r="D42" s="33">
        <v>672</v>
      </c>
      <c r="E42" s="33">
        <v>77</v>
      </c>
      <c r="F42" s="23"/>
      <c r="G42" s="22"/>
      <c r="H42" s="51">
        <f>161+6</f>
        <v>167</v>
      </c>
      <c r="I42" s="52">
        <f>300+22</f>
        <v>322</v>
      </c>
      <c r="J42" s="52">
        <f>20+20</f>
        <v>40</v>
      </c>
      <c r="K42" s="52">
        <v>20</v>
      </c>
      <c r="L42" s="52">
        <v>40</v>
      </c>
      <c r="M42" s="22">
        <v>134</v>
      </c>
      <c r="N42" s="22">
        <v>134</v>
      </c>
      <c r="O42" s="22">
        <v>134</v>
      </c>
      <c r="P42" s="22">
        <v>134</v>
      </c>
      <c r="Q42" s="23">
        <v>134</v>
      </c>
    </row>
    <row r="43" spans="1:17" x14ac:dyDescent="0.25">
      <c r="A43" s="14" t="s">
        <v>4</v>
      </c>
      <c r="B43" s="33">
        <v>210</v>
      </c>
      <c r="C43" s="33">
        <v>1189</v>
      </c>
      <c r="D43" s="33">
        <v>1180</v>
      </c>
      <c r="E43" s="33">
        <v>35</v>
      </c>
      <c r="F43" s="23"/>
      <c r="G43" s="22"/>
      <c r="H43" s="51">
        <v>0</v>
      </c>
      <c r="I43" s="52">
        <v>0</v>
      </c>
      <c r="J43" s="52">
        <v>0</v>
      </c>
      <c r="K43" s="52">
        <v>0</v>
      </c>
      <c r="L43" s="52">
        <v>0</v>
      </c>
      <c r="M43" s="22">
        <v>0</v>
      </c>
      <c r="N43" s="22">
        <v>0</v>
      </c>
      <c r="O43" s="22">
        <v>0</v>
      </c>
      <c r="P43" s="22">
        <v>0</v>
      </c>
      <c r="Q43" s="23">
        <v>0</v>
      </c>
    </row>
    <row r="44" spans="1:17" x14ac:dyDescent="0.25">
      <c r="A44" s="14" t="s">
        <v>5</v>
      </c>
      <c r="B44" s="33">
        <v>14</v>
      </c>
      <c r="C44" s="33">
        <v>189</v>
      </c>
      <c r="D44" s="33">
        <v>16</v>
      </c>
      <c r="E44" s="33">
        <v>0</v>
      </c>
      <c r="F44" s="23"/>
      <c r="G44" s="22"/>
      <c r="H44" s="51">
        <v>0</v>
      </c>
      <c r="I44" s="52">
        <v>30</v>
      </c>
      <c r="J44" s="52">
        <v>35</v>
      </c>
      <c r="K44" s="52">
        <v>0</v>
      </c>
      <c r="L44" s="52">
        <v>0</v>
      </c>
      <c r="M44" s="22">
        <v>0</v>
      </c>
      <c r="N44" s="22">
        <v>0</v>
      </c>
      <c r="O44" s="22">
        <v>0</v>
      </c>
      <c r="P44" s="22">
        <v>0</v>
      </c>
      <c r="Q44" s="23">
        <v>0</v>
      </c>
    </row>
    <row r="45" spans="1:17" x14ac:dyDescent="0.25">
      <c r="A45" s="14" t="s">
        <v>6</v>
      </c>
      <c r="B45" s="33">
        <v>9</v>
      </c>
      <c r="C45" s="33">
        <v>13</v>
      </c>
      <c r="D45" s="33">
        <v>10</v>
      </c>
      <c r="E45" s="33">
        <v>5</v>
      </c>
      <c r="F45" s="23"/>
      <c r="G45" s="22"/>
      <c r="H45" s="51">
        <v>0</v>
      </c>
      <c r="I45" s="52">
        <v>0</v>
      </c>
      <c r="J45" s="52">
        <v>0</v>
      </c>
      <c r="K45" s="52">
        <v>0</v>
      </c>
      <c r="L45" s="52">
        <v>0</v>
      </c>
      <c r="M45" s="22">
        <v>0</v>
      </c>
      <c r="N45" s="22">
        <v>0</v>
      </c>
      <c r="O45" s="22">
        <v>0</v>
      </c>
      <c r="P45" s="22">
        <v>0</v>
      </c>
      <c r="Q45" s="23">
        <v>0</v>
      </c>
    </row>
    <row r="46" spans="1:17" ht="15.75" thickBot="1" x14ac:dyDescent="0.3">
      <c r="A46" s="14" t="s">
        <v>7</v>
      </c>
      <c r="B46" s="33">
        <v>4</v>
      </c>
      <c r="C46" s="33">
        <v>42</v>
      </c>
      <c r="D46" s="33">
        <v>4</v>
      </c>
      <c r="E46" s="33">
        <v>0</v>
      </c>
      <c r="F46" s="23"/>
      <c r="G46" s="22"/>
      <c r="H46" s="53">
        <v>0</v>
      </c>
      <c r="I46" s="54">
        <v>0</v>
      </c>
      <c r="J46" s="54">
        <v>0</v>
      </c>
      <c r="K46" s="54">
        <v>0</v>
      </c>
      <c r="L46" s="54">
        <v>0</v>
      </c>
      <c r="M46" s="40">
        <v>0</v>
      </c>
      <c r="N46" s="40">
        <v>0</v>
      </c>
      <c r="O46" s="40">
        <v>0</v>
      </c>
      <c r="P46" s="40">
        <v>0</v>
      </c>
      <c r="Q46" s="35">
        <v>0</v>
      </c>
    </row>
    <row r="47" spans="1:17" ht="15.75" thickBot="1" x14ac:dyDescent="0.3">
      <c r="A47" s="28"/>
      <c r="B47" s="34">
        <f>SUM(B41:B46)</f>
        <v>5434</v>
      </c>
      <c r="C47" s="34">
        <f>SUM(C41:C46)</f>
        <v>8428</v>
      </c>
      <c r="D47" s="34">
        <f>SUM(D41:D46)</f>
        <v>7272</v>
      </c>
      <c r="E47" s="34">
        <f>SUM(E41:E46)</f>
        <v>636</v>
      </c>
      <c r="F47" s="35"/>
      <c r="G47" s="22"/>
    </row>
    <row r="52" spans="1:17" ht="15.75" thickBot="1" x14ac:dyDescent="0.3"/>
    <row r="53" spans="1:17" ht="15.75" thickBot="1" x14ac:dyDescent="0.3">
      <c r="I53" s="172" t="s">
        <v>15</v>
      </c>
      <c r="J53" s="173"/>
      <c r="K53" s="174"/>
      <c r="L53" s="172" t="s">
        <v>107</v>
      </c>
      <c r="M53" s="173"/>
      <c r="N53" s="173"/>
      <c r="O53" s="173"/>
      <c r="P53" s="173"/>
      <c r="Q53" s="174"/>
    </row>
    <row r="54" spans="1:17" ht="29.25" x14ac:dyDescent="0.25">
      <c r="A54" s="1" t="s">
        <v>2</v>
      </c>
      <c r="B54" s="8"/>
      <c r="H54" s="6" t="s">
        <v>25</v>
      </c>
      <c r="I54" s="6" t="s">
        <v>16</v>
      </c>
      <c r="J54" s="6" t="s">
        <v>17</v>
      </c>
      <c r="K54" s="6" t="s">
        <v>18</v>
      </c>
      <c r="L54" s="6" t="s">
        <v>19</v>
      </c>
      <c r="M54" s="6" t="s">
        <v>20</v>
      </c>
      <c r="N54" s="6" t="s">
        <v>21</v>
      </c>
      <c r="O54" s="6" t="s">
        <v>22</v>
      </c>
      <c r="P54" s="6" t="s">
        <v>23</v>
      </c>
      <c r="Q54" s="6" t="s">
        <v>24</v>
      </c>
    </row>
    <row r="55" spans="1:17" x14ac:dyDescent="0.25">
      <c r="A55" s="9" t="s">
        <v>12</v>
      </c>
      <c r="H55" s="8">
        <f>ROUND(((D41-E41)*84.3*4),-3)</f>
        <v>1643000</v>
      </c>
      <c r="I55" s="8">
        <f t="shared" ref="I55:Q55" si="10">ROUND((H55+(I41*84.3*4)),-3)</f>
        <v>1832000</v>
      </c>
      <c r="J55" s="8">
        <f t="shared" si="10"/>
        <v>1952000</v>
      </c>
      <c r="K55" s="8">
        <f t="shared" si="10"/>
        <v>1985000</v>
      </c>
      <c r="L55" s="8">
        <f t="shared" si="10"/>
        <v>1986000</v>
      </c>
      <c r="M55" s="8">
        <f t="shared" si="10"/>
        <v>2033000</v>
      </c>
      <c r="N55" s="8">
        <f t="shared" si="10"/>
        <v>2064000</v>
      </c>
      <c r="O55" s="8">
        <f t="shared" si="10"/>
        <v>2095000</v>
      </c>
      <c r="P55" s="8">
        <f t="shared" si="10"/>
        <v>2130000</v>
      </c>
      <c r="Q55" s="8">
        <f t="shared" si="10"/>
        <v>2154000</v>
      </c>
    </row>
    <row r="56" spans="1:17" ht="32.25" customHeight="1" x14ac:dyDescent="0.25">
      <c r="A56" s="171" t="s">
        <v>115</v>
      </c>
      <c r="B56" s="171"/>
      <c r="C56" s="171"/>
      <c r="D56" s="171"/>
      <c r="E56" s="171"/>
      <c r="F56" s="171"/>
      <c r="H56" s="8">
        <f>ROUND((((K15*(D41-E41))-(((D41-E41)*7481)*4))/1000*6.46),-3)</f>
        <v>597000</v>
      </c>
      <c r="I56" s="8">
        <f t="shared" ref="I56:Q56" si="11">ROUND(H56+((($K$15*I41)-((I41*7481)*4))/1000*6.46),-3)</f>
        <v>666000</v>
      </c>
      <c r="J56" s="8">
        <f t="shared" si="11"/>
        <v>710000</v>
      </c>
      <c r="K56" s="8">
        <f t="shared" si="11"/>
        <v>722000</v>
      </c>
      <c r="L56" s="8">
        <f t="shared" si="11"/>
        <v>722000</v>
      </c>
      <c r="M56" s="8">
        <f t="shared" si="11"/>
        <v>739000</v>
      </c>
      <c r="N56" s="8">
        <f t="shared" si="11"/>
        <v>750000</v>
      </c>
      <c r="O56" s="8">
        <f t="shared" si="11"/>
        <v>761000</v>
      </c>
      <c r="P56" s="8">
        <f t="shared" si="11"/>
        <v>774000</v>
      </c>
      <c r="Q56" s="8">
        <f t="shared" si="11"/>
        <v>783000</v>
      </c>
    </row>
    <row r="57" spans="1:17" x14ac:dyDescent="0.25">
      <c r="A57" s="9" t="s">
        <v>13</v>
      </c>
      <c r="H57" s="8">
        <f>ROUND((E41*85*4),-3)</f>
        <v>176000</v>
      </c>
      <c r="I57" s="8">
        <f t="shared" ref="I57:Q57" si="12">H57</f>
        <v>176000</v>
      </c>
      <c r="J57" s="8">
        <f t="shared" si="12"/>
        <v>176000</v>
      </c>
      <c r="K57" s="8">
        <f t="shared" si="12"/>
        <v>176000</v>
      </c>
      <c r="L57" s="8">
        <f t="shared" si="12"/>
        <v>176000</v>
      </c>
      <c r="M57" s="8">
        <f t="shared" si="12"/>
        <v>176000</v>
      </c>
      <c r="N57" s="8">
        <f t="shared" si="12"/>
        <v>176000</v>
      </c>
      <c r="O57" s="8">
        <f t="shared" si="12"/>
        <v>176000</v>
      </c>
      <c r="P57" s="8">
        <f t="shared" si="12"/>
        <v>176000</v>
      </c>
      <c r="Q57" s="8">
        <f t="shared" si="12"/>
        <v>176000</v>
      </c>
    </row>
    <row r="58" spans="1:17" x14ac:dyDescent="0.25"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5">
      <c r="A59" s="1" t="s">
        <v>14</v>
      </c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5">
      <c r="A60" s="9" t="s">
        <v>12</v>
      </c>
      <c r="H60" s="42">
        <f>ROUND(((D42-E42)*84.3*4),-3)</f>
        <v>201000</v>
      </c>
      <c r="I60" s="42">
        <f t="shared" ref="I60:Q60" si="13">ROUND((H60+(I42*84.3*4)),-3)</f>
        <v>310000</v>
      </c>
      <c r="J60" s="42">
        <f t="shared" si="13"/>
        <v>323000</v>
      </c>
      <c r="K60" s="42">
        <f t="shared" si="13"/>
        <v>330000</v>
      </c>
      <c r="L60" s="42">
        <f t="shared" si="13"/>
        <v>343000</v>
      </c>
      <c r="M60" s="42">
        <f t="shared" si="13"/>
        <v>388000</v>
      </c>
      <c r="N60" s="42">
        <f t="shared" si="13"/>
        <v>433000</v>
      </c>
      <c r="O60" s="42">
        <f t="shared" si="13"/>
        <v>478000</v>
      </c>
      <c r="P60" s="42">
        <f t="shared" si="13"/>
        <v>523000</v>
      </c>
      <c r="Q60" s="42">
        <f t="shared" si="13"/>
        <v>568000</v>
      </c>
    </row>
    <row r="61" spans="1:17" ht="30.75" customHeight="1" x14ac:dyDescent="0.25">
      <c r="A61" s="171" t="s">
        <v>115</v>
      </c>
      <c r="B61" s="171"/>
      <c r="C61" s="171"/>
      <c r="D61" s="171"/>
      <c r="E61" s="171"/>
      <c r="F61" s="171"/>
      <c r="H61" s="42">
        <f>ROUND((((K16*(D42-E42))-(((D42-E42)*7481)*4))/1000*6.46),-3)</f>
        <v>513000</v>
      </c>
      <c r="I61" s="42">
        <f t="shared" ref="I61:Q61" si="14">ROUND(H61+((($K$16*I42)-((I42*7481)*4))/1000*6.46),-3)</f>
        <v>790000</v>
      </c>
      <c r="J61" s="42">
        <f t="shared" si="14"/>
        <v>824000</v>
      </c>
      <c r="K61" s="42">
        <f t="shared" si="14"/>
        <v>841000</v>
      </c>
      <c r="L61" s="42">
        <f t="shared" si="14"/>
        <v>875000</v>
      </c>
      <c r="M61" s="42">
        <f t="shared" si="14"/>
        <v>990000</v>
      </c>
      <c r="N61" s="42">
        <f t="shared" si="14"/>
        <v>1105000</v>
      </c>
      <c r="O61" s="42">
        <f t="shared" si="14"/>
        <v>1220000</v>
      </c>
      <c r="P61" s="42">
        <f t="shared" si="14"/>
        <v>1335000</v>
      </c>
      <c r="Q61" s="42">
        <f t="shared" si="14"/>
        <v>1450000</v>
      </c>
    </row>
    <row r="62" spans="1:17" x14ac:dyDescent="0.25">
      <c r="A62" s="9" t="s">
        <v>13</v>
      </c>
      <c r="H62" s="42">
        <f>ROUND((E42*85*4),-3)</f>
        <v>26000</v>
      </c>
      <c r="I62" s="8">
        <f>H62</f>
        <v>26000</v>
      </c>
      <c r="J62" s="8">
        <f>I62</f>
        <v>26000</v>
      </c>
      <c r="K62" s="8">
        <f>J62</f>
        <v>26000</v>
      </c>
      <c r="L62" s="8">
        <f t="shared" ref="L62:Q62" si="15">K62</f>
        <v>26000</v>
      </c>
      <c r="M62" s="8">
        <f t="shared" si="15"/>
        <v>26000</v>
      </c>
      <c r="N62" s="8">
        <f t="shared" si="15"/>
        <v>26000</v>
      </c>
      <c r="O62" s="8">
        <f t="shared" si="15"/>
        <v>26000</v>
      </c>
      <c r="P62" s="8">
        <f t="shared" si="15"/>
        <v>26000</v>
      </c>
      <c r="Q62" s="8">
        <f t="shared" si="15"/>
        <v>26000</v>
      </c>
    </row>
    <row r="63" spans="1:17" x14ac:dyDescent="0.25">
      <c r="H63" s="8"/>
      <c r="I63" s="42"/>
      <c r="J63" s="42"/>
      <c r="K63" s="42"/>
      <c r="L63" s="42"/>
      <c r="M63" s="42"/>
      <c r="N63" s="42"/>
      <c r="O63" s="42"/>
      <c r="P63" s="42"/>
      <c r="Q63" s="42"/>
    </row>
    <row r="64" spans="1:17" x14ac:dyDescent="0.25">
      <c r="A64" s="1" t="s">
        <v>4</v>
      </c>
      <c r="H64" s="8"/>
      <c r="I64" s="42"/>
      <c r="J64" s="42"/>
      <c r="K64" s="42"/>
      <c r="L64" s="42"/>
      <c r="M64" s="42"/>
      <c r="N64" s="42"/>
      <c r="O64" s="42"/>
      <c r="P64" s="42"/>
      <c r="Q64" s="42"/>
    </row>
    <row r="65" spans="1:17" x14ac:dyDescent="0.25">
      <c r="A65" s="9" t="s">
        <v>12</v>
      </c>
      <c r="H65" s="42">
        <f>ROUND(((D43-E43)*84.3*4),-3)</f>
        <v>386000</v>
      </c>
      <c r="I65" s="42">
        <f t="shared" ref="I65:Q65" si="16">ROUND((H65+(I43*84.3*4)),-3)</f>
        <v>386000</v>
      </c>
      <c r="J65" s="42">
        <f t="shared" si="16"/>
        <v>386000</v>
      </c>
      <c r="K65" s="42">
        <f t="shared" si="16"/>
        <v>386000</v>
      </c>
      <c r="L65" s="42">
        <f t="shared" si="16"/>
        <v>386000</v>
      </c>
      <c r="M65" s="42">
        <f t="shared" si="16"/>
        <v>386000</v>
      </c>
      <c r="N65" s="42">
        <f t="shared" si="16"/>
        <v>386000</v>
      </c>
      <c r="O65" s="42">
        <f t="shared" si="16"/>
        <v>386000</v>
      </c>
      <c r="P65" s="42">
        <f t="shared" si="16"/>
        <v>386000</v>
      </c>
      <c r="Q65" s="42">
        <f t="shared" si="16"/>
        <v>386000</v>
      </c>
    </row>
    <row r="66" spans="1:17" ht="32.25" customHeight="1" x14ac:dyDescent="0.25">
      <c r="A66" s="171" t="s">
        <v>115</v>
      </c>
      <c r="B66" s="171"/>
      <c r="C66" s="171"/>
      <c r="D66" s="171"/>
      <c r="E66" s="171"/>
      <c r="F66" s="171"/>
      <c r="H66" s="42">
        <f>ROUND((((K17*(D43-E43))-(((D43-E43)*7481)*4))/1000*6.46),-3)</f>
        <v>37000</v>
      </c>
      <c r="I66" s="42">
        <f t="shared" ref="I66:Q66" si="17">ROUND(H66+((($K$17*I43)-((I43*7481)*4))/1000*6.46),-3)</f>
        <v>37000</v>
      </c>
      <c r="J66" s="42">
        <f t="shared" si="17"/>
        <v>37000</v>
      </c>
      <c r="K66" s="42">
        <f t="shared" si="17"/>
        <v>37000</v>
      </c>
      <c r="L66" s="42">
        <f t="shared" si="17"/>
        <v>37000</v>
      </c>
      <c r="M66" s="42">
        <f t="shared" si="17"/>
        <v>37000</v>
      </c>
      <c r="N66" s="42">
        <f t="shared" si="17"/>
        <v>37000</v>
      </c>
      <c r="O66" s="42">
        <f t="shared" si="17"/>
        <v>37000</v>
      </c>
      <c r="P66" s="42">
        <f t="shared" si="17"/>
        <v>37000</v>
      </c>
      <c r="Q66" s="42">
        <f t="shared" si="17"/>
        <v>37000</v>
      </c>
    </row>
    <row r="67" spans="1:17" x14ac:dyDescent="0.25">
      <c r="A67" s="9" t="s">
        <v>13</v>
      </c>
      <c r="H67" s="42">
        <f>ROUND((E43*85*4),-3)</f>
        <v>12000</v>
      </c>
      <c r="I67" s="8">
        <f>H67</f>
        <v>12000</v>
      </c>
      <c r="J67" s="8">
        <f>I67</f>
        <v>12000</v>
      </c>
      <c r="K67" s="8">
        <f>J67</f>
        <v>12000</v>
      </c>
      <c r="L67" s="8">
        <f t="shared" ref="L67:Q67" si="18">K67</f>
        <v>12000</v>
      </c>
      <c r="M67" s="8">
        <f t="shared" si="18"/>
        <v>12000</v>
      </c>
      <c r="N67" s="8">
        <f t="shared" si="18"/>
        <v>12000</v>
      </c>
      <c r="O67" s="8">
        <f t="shared" si="18"/>
        <v>12000</v>
      </c>
      <c r="P67" s="8">
        <f t="shared" si="18"/>
        <v>12000</v>
      </c>
      <c r="Q67" s="8">
        <f t="shared" si="18"/>
        <v>12000</v>
      </c>
    </row>
    <row r="68" spans="1:17" x14ac:dyDescent="0.25"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5">
      <c r="A69" s="1" t="s">
        <v>5</v>
      </c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5">
      <c r="A70" s="9" t="s">
        <v>12</v>
      </c>
      <c r="H70" s="8">
        <f>ROUND(((D44-E44)*84.3*4),-3)</f>
        <v>5000</v>
      </c>
      <c r="I70" s="8">
        <f>ROUND((H70+(I44*84.3*4)),-3)</f>
        <v>15000</v>
      </c>
      <c r="J70" s="8">
        <f t="shared" ref="J70:Q70" si="19">ROUND((I70+(J44*84.3*4)),-3)</f>
        <v>27000</v>
      </c>
      <c r="K70" s="8">
        <f t="shared" si="19"/>
        <v>27000</v>
      </c>
      <c r="L70" s="8">
        <f t="shared" si="19"/>
        <v>27000</v>
      </c>
      <c r="M70" s="8">
        <f t="shared" si="19"/>
        <v>27000</v>
      </c>
      <c r="N70" s="8">
        <f t="shared" si="19"/>
        <v>27000</v>
      </c>
      <c r="O70" s="8">
        <f t="shared" si="19"/>
        <v>27000</v>
      </c>
      <c r="P70" s="8">
        <f t="shared" si="19"/>
        <v>27000</v>
      </c>
      <c r="Q70" s="8">
        <f t="shared" si="19"/>
        <v>27000</v>
      </c>
    </row>
    <row r="71" spans="1:17" ht="30.75" customHeight="1" x14ac:dyDescent="0.25">
      <c r="A71" s="171" t="s">
        <v>115</v>
      </c>
      <c r="B71" s="171"/>
      <c r="C71" s="171"/>
      <c r="D71" s="171"/>
      <c r="E71" s="171"/>
      <c r="F71" s="171"/>
      <c r="H71" s="8">
        <f>ROUND((((K18*(D44-E44))-(((D44-E44)*7481)*4))/1000*6.46),-3)</f>
        <v>51000</v>
      </c>
      <c r="I71" s="8">
        <f t="shared" ref="I71:Q71" si="20">ROUND(H71+((($K$18*I44)-((I44*7481)*4))/1000*6.46),-3)</f>
        <v>146000</v>
      </c>
      <c r="J71" s="8">
        <f t="shared" si="20"/>
        <v>257000</v>
      </c>
      <c r="K71" s="8">
        <f t="shared" si="20"/>
        <v>257000</v>
      </c>
      <c r="L71" s="8">
        <f t="shared" si="20"/>
        <v>257000</v>
      </c>
      <c r="M71" s="8">
        <f t="shared" si="20"/>
        <v>257000</v>
      </c>
      <c r="N71" s="8">
        <f t="shared" si="20"/>
        <v>257000</v>
      </c>
      <c r="O71" s="8">
        <f t="shared" si="20"/>
        <v>257000</v>
      </c>
      <c r="P71" s="8">
        <f t="shared" si="20"/>
        <v>257000</v>
      </c>
      <c r="Q71" s="8">
        <f t="shared" si="20"/>
        <v>257000</v>
      </c>
    </row>
    <row r="72" spans="1:17" x14ac:dyDescent="0.25">
      <c r="A72" s="9" t="s">
        <v>13</v>
      </c>
      <c r="H72" s="8">
        <f>ROUND((E44*85*4),-3)</f>
        <v>0</v>
      </c>
      <c r="I72" s="8">
        <f>H72</f>
        <v>0</v>
      </c>
      <c r="J72" s="8">
        <f>I72</f>
        <v>0</v>
      </c>
      <c r="K72" s="8">
        <f>J72</f>
        <v>0</v>
      </c>
      <c r="L72" s="8">
        <f t="shared" ref="L72:Q72" si="21">K72</f>
        <v>0</v>
      </c>
      <c r="M72" s="8">
        <f t="shared" si="21"/>
        <v>0</v>
      </c>
      <c r="N72" s="8">
        <f t="shared" si="21"/>
        <v>0</v>
      </c>
      <c r="O72" s="8">
        <f t="shared" si="21"/>
        <v>0</v>
      </c>
      <c r="P72" s="8">
        <f t="shared" si="21"/>
        <v>0</v>
      </c>
      <c r="Q72" s="8">
        <f t="shared" si="21"/>
        <v>0</v>
      </c>
    </row>
    <row r="73" spans="1:17" x14ac:dyDescent="0.25"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5">
      <c r="A74" s="1" t="s">
        <v>6</v>
      </c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5">
      <c r="A75" s="9" t="s">
        <v>12</v>
      </c>
      <c r="H75" s="8">
        <f>ROUND(((D45-E45)*84.3*4),-3)</f>
        <v>2000</v>
      </c>
      <c r="I75" s="8">
        <f>ROUND((H75+(I45*84.3*4)),-3)</f>
        <v>2000</v>
      </c>
      <c r="J75" s="8">
        <f t="shared" ref="J75:Q75" si="22">ROUND((I75+(J45*84.3*4)),-3)</f>
        <v>2000</v>
      </c>
      <c r="K75" s="8">
        <f t="shared" si="22"/>
        <v>2000</v>
      </c>
      <c r="L75" s="8">
        <f t="shared" si="22"/>
        <v>2000</v>
      </c>
      <c r="M75" s="8">
        <f t="shared" si="22"/>
        <v>2000</v>
      </c>
      <c r="N75" s="8">
        <f t="shared" si="22"/>
        <v>2000</v>
      </c>
      <c r="O75" s="8">
        <f t="shared" si="22"/>
        <v>2000</v>
      </c>
      <c r="P75" s="8">
        <f t="shared" si="22"/>
        <v>2000</v>
      </c>
      <c r="Q75" s="8">
        <f t="shared" si="22"/>
        <v>2000</v>
      </c>
    </row>
    <row r="76" spans="1:17" ht="30.75" customHeight="1" x14ac:dyDescent="0.25">
      <c r="A76" s="171" t="s">
        <v>115</v>
      </c>
      <c r="B76" s="171"/>
      <c r="C76" s="171"/>
      <c r="D76" s="171"/>
      <c r="E76" s="171"/>
      <c r="F76" s="171"/>
      <c r="H76" s="8">
        <f>ROUND((((K19*(D45-E45))-(((D45-E45)*7481)*4))/1000*6.46),-3)</f>
        <v>1000</v>
      </c>
      <c r="I76" s="8">
        <f t="shared" ref="I76:Q76" si="23">ROUND(H76+((($K$19*I45)-((I45*7481)*4))/1000*6.46),-3)</f>
        <v>1000</v>
      </c>
      <c r="J76" s="8">
        <f t="shared" si="23"/>
        <v>1000</v>
      </c>
      <c r="K76" s="8">
        <f t="shared" si="23"/>
        <v>1000</v>
      </c>
      <c r="L76" s="8">
        <f t="shared" si="23"/>
        <v>1000</v>
      </c>
      <c r="M76" s="8">
        <f t="shared" si="23"/>
        <v>1000</v>
      </c>
      <c r="N76" s="8">
        <f t="shared" si="23"/>
        <v>1000</v>
      </c>
      <c r="O76" s="8">
        <f t="shared" si="23"/>
        <v>1000</v>
      </c>
      <c r="P76" s="8">
        <f t="shared" si="23"/>
        <v>1000</v>
      </c>
      <c r="Q76" s="8">
        <f t="shared" si="23"/>
        <v>1000</v>
      </c>
    </row>
    <row r="77" spans="1:17" x14ac:dyDescent="0.25">
      <c r="A77" s="9" t="s">
        <v>13</v>
      </c>
      <c r="H77" s="8">
        <f>ROUND((E45*85*4),-3)</f>
        <v>2000</v>
      </c>
      <c r="I77" s="8">
        <f>H77</f>
        <v>2000</v>
      </c>
      <c r="J77" s="8">
        <f>I77</f>
        <v>2000</v>
      </c>
      <c r="K77" s="8">
        <f>J77</f>
        <v>2000</v>
      </c>
      <c r="L77" s="8">
        <f t="shared" ref="L77:Q77" si="24">K77</f>
        <v>2000</v>
      </c>
      <c r="M77" s="8">
        <f t="shared" si="24"/>
        <v>2000</v>
      </c>
      <c r="N77" s="8">
        <f t="shared" si="24"/>
        <v>2000</v>
      </c>
      <c r="O77" s="8">
        <f t="shared" si="24"/>
        <v>2000</v>
      </c>
      <c r="P77" s="8">
        <f t="shared" si="24"/>
        <v>2000</v>
      </c>
      <c r="Q77" s="8">
        <f t="shared" si="24"/>
        <v>2000</v>
      </c>
    </row>
    <row r="78" spans="1:17" x14ac:dyDescent="0.25"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5">
      <c r="A79" s="1" t="s">
        <v>7</v>
      </c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5">
      <c r="A80" s="9" t="s">
        <v>12</v>
      </c>
      <c r="H80" s="8">
        <f>ROUND(((D46-E46)*84.3*4),-3)</f>
        <v>1000</v>
      </c>
      <c r="I80" s="8">
        <f>ROUND((H80+(I46*84.3*4)),-3)</f>
        <v>1000</v>
      </c>
      <c r="J80" s="8">
        <f t="shared" ref="J80:Q80" si="25">ROUND((I80+(J46*84.3*4)),-3)</f>
        <v>1000</v>
      </c>
      <c r="K80" s="8">
        <f t="shared" si="25"/>
        <v>1000</v>
      </c>
      <c r="L80" s="8">
        <f t="shared" si="25"/>
        <v>1000</v>
      </c>
      <c r="M80" s="8">
        <f t="shared" si="25"/>
        <v>1000</v>
      </c>
      <c r="N80" s="8">
        <f t="shared" si="25"/>
        <v>1000</v>
      </c>
      <c r="O80" s="8">
        <f t="shared" si="25"/>
        <v>1000</v>
      </c>
      <c r="P80" s="8">
        <f t="shared" si="25"/>
        <v>1000</v>
      </c>
      <c r="Q80" s="8">
        <f t="shared" si="25"/>
        <v>1000</v>
      </c>
    </row>
    <row r="81" spans="1:17" ht="32.25" customHeight="1" x14ac:dyDescent="0.25">
      <c r="A81" s="171" t="s">
        <v>115</v>
      </c>
      <c r="B81" s="171"/>
      <c r="C81" s="171"/>
      <c r="D81" s="171"/>
      <c r="E81" s="171"/>
      <c r="F81" s="171"/>
      <c r="H81" s="8">
        <f>ROUND((((K20*(D46-E46))-(((D46-E46)*7481)*4))/1000*6.46),-3)</f>
        <v>35000</v>
      </c>
      <c r="I81" s="8">
        <f t="shared" ref="I81:Q81" si="26">ROUND(H81+((($K$20*I46)-((I46*7481)*4))/1000*6.46),-3)</f>
        <v>35000</v>
      </c>
      <c r="J81" s="8">
        <f t="shared" si="26"/>
        <v>35000</v>
      </c>
      <c r="K81" s="8">
        <f t="shared" si="26"/>
        <v>35000</v>
      </c>
      <c r="L81" s="8">
        <f t="shared" si="26"/>
        <v>35000</v>
      </c>
      <c r="M81" s="8">
        <f t="shared" si="26"/>
        <v>35000</v>
      </c>
      <c r="N81" s="8">
        <f t="shared" si="26"/>
        <v>35000</v>
      </c>
      <c r="O81" s="8">
        <f t="shared" si="26"/>
        <v>35000</v>
      </c>
      <c r="P81" s="8">
        <f t="shared" si="26"/>
        <v>35000</v>
      </c>
      <c r="Q81" s="8">
        <f t="shared" si="26"/>
        <v>35000</v>
      </c>
    </row>
    <row r="82" spans="1:17" x14ac:dyDescent="0.25">
      <c r="A82" s="9" t="s">
        <v>13</v>
      </c>
      <c r="H82" s="8">
        <f>ROUND((E46*85*4),-3)</f>
        <v>0</v>
      </c>
      <c r="I82" s="8">
        <f>H82</f>
        <v>0</v>
      </c>
      <c r="J82" s="8">
        <f>I82</f>
        <v>0</v>
      </c>
      <c r="K82" s="8">
        <f>J82</f>
        <v>0</v>
      </c>
      <c r="L82" s="8">
        <f t="shared" ref="L82:Q82" si="27">K82</f>
        <v>0</v>
      </c>
      <c r="M82" s="8">
        <f t="shared" si="27"/>
        <v>0</v>
      </c>
      <c r="N82" s="8">
        <f t="shared" si="27"/>
        <v>0</v>
      </c>
      <c r="O82" s="8">
        <f t="shared" si="27"/>
        <v>0</v>
      </c>
      <c r="P82" s="8">
        <f t="shared" si="27"/>
        <v>0</v>
      </c>
      <c r="Q82" s="8">
        <f t="shared" si="27"/>
        <v>0</v>
      </c>
    </row>
    <row r="83" spans="1:17" x14ac:dyDescent="0.25"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5">
      <c r="A84" s="10" t="s">
        <v>111</v>
      </c>
      <c r="H84" s="8">
        <f>SUM(H55:H82)</f>
        <v>3688000</v>
      </c>
      <c r="I84" s="8">
        <f t="shared" ref="I84:Q84" si="28">SUM(I55:I82)</f>
        <v>4437000</v>
      </c>
      <c r="J84" s="8">
        <f t="shared" si="28"/>
        <v>4771000</v>
      </c>
      <c r="K84" s="8">
        <f t="shared" si="28"/>
        <v>4840000</v>
      </c>
      <c r="L84" s="8">
        <f t="shared" si="28"/>
        <v>4888000</v>
      </c>
      <c r="M84" s="8">
        <f t="shared" si="28"/>
        <v>5112000</v>
      </c>
      <c r="N84" s="8">
        <f t="shared" si="28"/>
        <v>5314000</v>
      </c>
      <c r="O84" s="8">
        <f t="shared" si="28"/>
        <v>5516000</v>
      </c>
      <c r="P84" s="8">
        <f t="shared" si="28"/>
        <v>5724000</v>
      </c>
      <c r="Q84" s="8">
        <f t="shared" si="28"/>
        <v>5917000</v>
      </c>
    </row>
    <row r="85" spans="1:17" x14ac:dyDescent="0.25">
      <c r="I85" s="8"/>
      <c r="J85" s="8"/>
      <c r="K85" s="8"/>
      <c r="L85" s="8"/>
      <c r="M85" s="8"/>
      <c r="N85" s="8"/>
      <c r="O85" s="8"/>
      <c r="P85" s="8"/>
      <c r="Q85" s="8"/>
    </row>
  </sheetData>
  <mergeCells count="20">
    <mergeCell ref="B1:F1"/>
    <mergeCell ref="B37:B40"/>
    <mergeCell ref="C37:C40"/>
    <mergeCell ref="D37:D40"/>
    <mergeCell ref="B36:E36"/>
    <mergeCell ref="B3:F3"/>
    <mergeCell ref="I53:K53"/>
    <mergeCell ref="L53:Q53"/>
    <mergeCell ref="E37:E40"/>
    <mergeCell ref="A56:F56"/>
    <mergeCell ref="G13:J13"/>
    <mergeCell ref="M39:Q39"/>
    <mergeCell ref="H39:L39"/>
    <mergeCell ref="B13:F13"/>
    <mergeCell ref="B23:F23"/>
    <mergeCell ref="A61:F61"/>
    <mergeCell ref="A66:F66"/>
    <mergeCell ref="A71:F71"/>
    <mergeCell ref="A76:F76"/>
    <mergeCell ref="A81:F81"/>
  </mergeCells>
  <pageMargins left="0.7" right="0.7" top="0.75" bottom="0.75" header="0.3" footer="0.3"/>
  <pageSetup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Exhibit C - $75M</vt:lpstr>
      <vt:lpstr>Exhibit D - $60M</vt:lpstr>
      <vt:lpstr>$75M workpaper</vt:lpstr>
      <vt:lpstr>$60M workpaper</vt:lpstr>
      <vt:lpstr>Supporting workpaper C &amp; D</vt:lpstr>
      <vt:lpstr>'$60M workpaper'!Print_Area</vt:lpstr>
      <vt:lpstr>'$75M workpaper'!Print_Area</vt:lpstr>
      <vt:lpstr>'Exhibit C - $75M'!Print_Area</vt:lpstr>
      <vt:lpstr>'Exhibit D - $60M'!Print_Area</vt:lpstr>
      <vt:lpstr>'Supporting workpaper C &amp; 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IMAGE6440</dc:creator>
  <cp:lastModifiedBy>IMAGE6440</cp:lastModifiedBy>
  <cp:lastPrinted>2017-05-18T21:23:25Z</cp:lastPrinted>
  <dcterms:created xsi:type="dcterms:W3CDTF">2017-05-15T18:23:19Z</dcterms:created>
  <dcterms:modified xsi:type="dcterms:W3CDTF">2017-05-18T23:25:24Z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