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straus\AppData\Local\Temp\notesC9812B\"/>
    </mc:Choice>
  </mc:AlternateContent>
  <bookViews>
    <workbookView xWindow="10245" yWindow="-30" windowWidth="10950" windowHeight="10155" tabRatio="873" activeTab="12"/>
  </bookViews>
  <sheets>
    <sheet name="Ex 103, Pg 8-9" sheetId="1" r:id="rId1"/>
    <sheet name="Ex 103, Pg 14-15" sheetId="2" r:id="rId2"/>
    <sheet name="Sch1" sheetId="3" r:id="rId3"/>
    <sheet name="Sch2" sheetId="4" r:id="rId4"/>
    <sheet name="Sch3" sheetId="5" r:id="rId5"/>
    <sheet name="Sch4" sheetId="7" r:id="rId6"/>
    <sheet name="Sch4-2" sheetId="8" r:id="rId7"/>
    <sheet name="Sch4-3" sheetId="15" r:id="rId8"/>
    <sheet name="Sch5" sheetId="16" r:id="rId9"/>
    <sheet name="Sch6" sheetId="17" r:id="rId10"/>
    <sheet name="Sch 7" sheetId="13" r:id="rId11"/>
    <sheet name="Macros" sheetId="14" state="veryHidden" r:id="rId12"/>
    <sheet name=" SCH 8 - Rate Design" sheetId="19" r:id="rId13"/>
  </sheets>
  <externalReferences>
    <externalReference r:id="rId14"/>
    <externalReference r:id="rId15"/>
    <externalReference r:id="rId16"/>
  </externalReferences>
  <definedNames>
    <definedName name="\A">'[1]TRANSPORTS-revised'!#REF!</definedName>
    <definedName name="\P">'[2]SCHEDULE 33 A REV.'!$B$83:$B$87</definedName>
    <definedName name="__SCH33">'[2]SCHEDULE 33 A REV.'!$A$1:$H$67</definedName>
    <definedName name="_adj4">'Ex 103, Pg 14-15'!$A$1:$L$49</definedName>
    <definedName name="_Order1" hidden="1">255</definedName>
    <definedName name="_Order2" hidden="1">255</definedName>
    <definedName name="_sch17">'Ex 103, Pg 14-15'!$A$50:$L$97</definedName>
    <definedName name="_SCH33">'[2]SCHEDULE 33 A REV.'!$A$1:$H$67</definedName>
    <definedName name="adj1to3">#REF!</definedName>
    <definedName name="adj4a" localSheetId="0">'Ex 103, Pg 8-9'!$A$1:$G$86</definedName>
    <definedName name="adj4a" localSheetId="10">'Sch 7'!$A$1:$H$321</definedName>
    <definedName name="adj4a">'Sch1'!$A$1:$H$305</definedName>
    <definedName name="adj4b">'Sch2'!$A$1:$I$301</definedName>
    <definedName name="adj4c">'Sch3'!$A$2:$H$282</definedName>
    <definedName name="adj4d">#REF!</definedName>
    <definedName name="adj4e1">#REF!</definedName>
    <definedName name="adj4e2">'Sch4-2'!$A$4:$S$66</definedName>
    <definedName name="adj4e3" localSheetId="7">'Sch4-3'!$A$1:$S$13</definedName>
    <definedName name="adj4e3">#REF!</definedName>
    <definedName name="adj4f1">#REF!</definedName>
    <definedName name="adj4f2">#REF!</definedName>
    <definedName name="adj4f3" localSheetId="7">'Sch4-3'!#REF!</definedName>
    <definedName name="adj4f3">#REF!</definedName>
    <definedName name="adj4g">#REF!</definedName>
    <definedName name="adj4h">#REF!</definedName>
    <definedName name="adjno">'Sch1'!$G$1</definedName>
    <definedName name="BTU">[3]Input!$B$11</definedName>
    <definedName name="coname">'Sch1'!$A$2</definedName>
    <definedName name="DC">'Sch2'!#REF!</definedName>
    <definedName name="For_the_12_Months_Ended_May_31__2012">'Sch1'!$A$4</definedName>
    <definedName name="FY">'Sch2'!#REF!</definedName>
    <definedName name="FYDESC">#REF!</definedName>
    <definedName name="GASNOTE">#REF!</definedName>
    <definedName name="HEAD">#REF!</definedName>
    <definedName name="_xlnm.Print_Area" localSheetId="12">' SCH 8 - Rate Design'!$A$1:$K$455</definedName>
    <definedName name="_xlnm.Print_Area" localSheetId="1">'Ex 103, Pg 14-15'!$A$1:$K$97</definedName>
    <definedName name="_xlnm.Print_Area" localSheetId="0">'Ex 103, Pg 8-9'!$A$1:$G$132</definedName>
    <definedName name="_xlnm.Print_Area" localSheetId="10">'Sch 7'!$A$1:$G$389</definedName>
    <definedName name="_xlnm.Print_Area" localSheetId="2">'Sch1'!$A$1:$G$364</definedName>
    <definedName name="_xlnm.Print_Area" localSheetId="3">'Sch2'!$A$1:$I$302</definedName>
    <definedName name="_xlnm.Print_Area" localSheetId="4">'Sch3'!$A$1:$H$281</definedName>
    <definedName name="_xlnm.Print_Area" localSheetId="5">'Sch4'!$A$1:$F$178</definedName>
    <definedName name="_xlnm.Print_Area" localSheetId="6">'Sch4-2'!$A$1:$S$66</definedName>
    <definedName name="_xlnm.Print_Area" localSheetId="7">'Sch4-3'!$A$1:$S$13</definedName>
    <definedName name="_xlnm.Print_Area" localSheetId="8">'Sch5'!$A$1:$C$36</definedName>
    <definedName name="_xlnm.Print_Area" localSheetId="9">'Sch6'!$A$1:$D$59</definedName>
    <definedName name="REVALLOC">'[2]ATTACH REH-5A REV'!$A$1:$J$39</definedName>
    <definedName name="sch35a">#REF!</definedName>
    <definedName name="sch35b">#REF!</definedName>
    <definedName name="TY">'Ex 103, Pg 14-15'!#REF!</definedName>
    <definedName name="TYDESC">'Sch1'!$A$4</definedName>
    <definedName name="Witness">'Sch1'!$G$4</definedName>
    <definedName name="WORKAREA">'[2]ATTACH REH-5A REV'!$B$52:$K$169</definedName>
    <definedName name="xxxx">#REF!</definedName>
    <definedName name="Z_818D6814_8976_4390_B9DF_A301351E9DE9_.wvu.PrintArea" localSheetId="1" hidden="1">'Ex 103, Pg 14-15'!$A$1:$L$97</definedName>
    <definedName name="Z_818D6814_8976_4390_B9DF_A301351E9DE9_.wvu.PrintArea" localSheetId="0" hidden="1">'Ex 103, Pg 8-9'!$A$1:$G$132</definedName>
    <definedName name="Z_818D6814_8976_4390_B9DF_A301351E9DE9_.wvu.PrintArea" localSheetId="10" hidden="1">'Sch 7'!$A$1:$H$388</definedName>
    <definedName name="Z_818D6814_8976_4390_B9DF_A301351E9DE9_.wvu.PrintArea" localSheetId="2" hidden="1">'Sch1'!$A$1:$H$364</definedName>
    <definedName name="Z_818D6814_8976_4390_B9DF_A301351E9DE9_.wvu.PrintArea" localSheetId="3" hidden="1">'Sch2'!$A$1:$I$302</definedName>
    <definedName name="Z_818D6814_8976_4390_B9DF_A301351E9DE9_.wvu.PrintArea" localSheetId="4" hidden="1">'Sch3'!$A$1:$H$283</definedName>
    <definedName name="Z_818D6814_8976_4390_B9DF_A301351E9DE9_.wvu.PrintArea" localSheetId="5" hidden="1">'Sch4'!$A$1:$G$178</definedName>
    <definedName name="Z_818D6814_8976_4390_B9DF_A301351E9DE9_.wvu.PrintArea" localSheetId="6" hidden="1">'Sch4-2'!$A$4:$S$66</definedName>
    <definedName name="Z_818D6814_8976_4390_B9DF_A301351E9DE9_.wvu.PrintArea" localSheetId="7" hidden="1">'Sch4-3'!$A$1:$S$20</definedName>
  </definedNames>
  <calcPr calcId="152511"/>
  <customWorkbookViews>
    <customWorkbookView name="NiSource - Personal View" guid="{818D6814-8976-4390-B9DF-A301351E9DE9}" mergeInterval="0" personalView="1" maximized="1" windowWidth="1020" windowHeight="569" tabRatio="602" activeSheetId="3"/>
  </customWorkbookViews>
</workbook>
</file>

<file path=xl/calcChain.xml><?xml version="1.0" encoding="utf-8"?>
<calcChain xmlns="http://schemas.openxmlformats.org/spreadsheetml/2006/main">
  <c r="F355" i="19" l="1"/>
  <c r="I410" i="19" l="1"/>
  <c r="J224" i="19" l="1"/>
  <c r="I224" i="19"/>
  <c r="H224" i="19"/>
  <c r="G224" i="19"/>
  <c r="E224" i="19"/>
  <c r="C89" i="13" l="1"/>
  <c r="D396" i="19" l="1"/>
  <c r="D432" i="19"/>
  <c r="C306" i="13"/>
  <c r="C334" i="13"/>
  <c r="D341" i="19"/>
  <c r="D377" i="19"/>
  <c r="D60" i="19" l="1"/>
  <c r="D59" i="19"/>
  <c r="D54" i="19"/>
  <c r="C65" i="13"/>
  <c r="D51" i="19" s="1"/>
  <c r="E207" i="13"/>
  <c r="C207" i="13"/>
  <c r="D55" i="19" s="1"/>
  <c r="C255" i="13"/>
  <c r="D56" i="19" s="1"/>
  <c r="F207" i="13" l="1"/>
  <c r="H55" i="19" s="1"/>
  <c r="G55" i="19" s="1"/>
  <c r="F62" i="19"/>
  <c r="A85" i="13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7" i="13" s="1"/>
  <c r="E89" i="13" l="1"/>
  <c r="E65" i="13"/>
  <c r="F65" i="13" s="1"/>
  <c r="E255" i="13"/>
  <c r="C195" i="4"/>
  <c r="C118" i="13"/>
  <c r="C117" i="13"/>
  <c r="E118" i="13"/>
  <c r="E117" i="13"/>
  <c r="E270" i="13"/>
  <c r="E290" i="13"/>
  <c r="C290" i="13" l="1"/>
  <c r="D58" i="19" s="1"/>
  <c r="D53" i="19"/>
  <c r="C270" i="13"/>
  <c r="D57" i="19" s="1"/>
  <c r="D52" i="19"/>
  <c r="F143" i="13"/>
  <c r="H51" i="19"/>
  <c r="G51" i="19" s="1"/>
  <c r="F117" i="13"/>
  <c r="F255" i="13"/>
  <c r="F118" i="13"/>
  <c r="H53" i="19" s="1"/>
  <c r="E306" i="13"/>
  <c r="F333" i="13"/>
  <c r="E334" i="13"/>
  <c r="F290" i="13" l="1"/>
  <c r="F361" i="13" s="1"/>
  <c r="F270" i="13"/>
  <c r="F356" i="13" s="1"/>
  <c r="H52" i="19"/>
  <c r="H58" i="19"/>
  <c r="F351" i="13"/>
  <c r="H56" i="19"/>
  <c r="F158" i="13"/>
  <c r="F306" i="13"/>
  <c r="H59" i="19" s="1"/>
  <c r="C153" i="4"/>
  <c r="H57" i="19" l="1"/>
  <c r="C215" i="4"/>
  <c r="C214" i="4"/>
  <c r="C213" i="4"/>
  <c r="C190" i="4"/>
  <c r="C170" i="4"/>
  <c r="C169" i="4"/>
  <c r="C137" i="4" l="1"/>
  <c r="G432" i="19" l="1"/>
  <c r="K432" i="19" s="1"/>
  <c r="G396" i="19"/>
  <c r="G377" i="19"/>
  <c r="G341" i="19"/>
  <c r="K341" i="19" s="1"/>
  <c r="K377" i="19" l="1"/>
  <c r="K396" i="19"/>
  <c r="F304" i="19"/>
  <c r="F270" i="19" l="1"/>
  <c r="F224" i="19" l="1"/>
  <c r="C29" i="4" l="1"/>
  <c r="C123" i="4"/>
  <c r="C308" i="4"/>
  <c r="C307" i="4"/>
  <c r="A51" i="1" l="1"/>
  <c r="A49" i="1"/>
  <c r="A14" i="5" l="1"/>
  <c r="D163" i="7" l="1"/>
  <c r="D281" i="4"/>
  <c r="D260" i="5"/>
  <c r="A149" i="7"/>
  <c r="A147" i="7"/>
  <c r="A146" i="7"/>
  <c r="A100" i="7"/>
  <c r="E71" i="7"/>
  <c r="F71" i="7" s="1"/>
  <c r="C228" i="5" l="1"/>
  <c r="L228" i="5" s="1"/>
  <c r="L209" i="5"/>
  <c r="L212" i="5"/>
  <c r="L211" i="5"/>
  <c r="L210" i="5"/>
  <c r="L189" i="5"/>
  <c r="L190" i="5"/>
  <c r="L216" i="4" l="1"/>
  <c r="L278" i="4"/>
  <c r="L279" i="4"/>
  <c r="L277" i="4"/>
  <c r="L243" i="4"/>
  <c r="L240" i="4"/>
  <c r="L241" i="4"/>
  <c r="L242" i="4"/>
  <c r="L239" i="4"/>
  <c r="L214" i="4"/>
  <c r="L215" i="4"/>
  <c r="L213" i="4"/>
  <c r="L190" i="4"/>
  <c r="L189" i="4"/>
  <c r="C33" i="4" l="1"/>
  <c r="F20" i="15" l="1"/>
  <c r="G18" i="15"/>
  <c r="G20" i="15" s="1"/>
  <c r="H18" i="15"/>
  <c r="H20" i="15" s="1"/>
  <c r="I18" i="15"/>
  <c r="I20" i="15" s="1"/>
  <c r="J18" i="15"/>
  <c r="J20" i="15" s="1"/>
  <c r="K18" i="15"/>
  <c r="K20" i="15" s="1"/>
  <c r="L18" i="15"/>
  <c r="L20" i="15" s="1"/>
  <c r="M18" i="15"/>
  <c r="M20" i="15" s="1"/>
  <c r="N18" i="15"/>
  <c r="N20" i="15" s="1"/>
  <c r="O18" i="15"/>
  <c r="O20" i="15" s="1"/>
  <c r="P18" i="15"/>
  <c r="P20" i="15" s="1"/>
  <c r="Q18" i="15"/>
  <c r="Q20" i="15" s="1"/>
  <c r="R18" i="15"/>
  <c r="R20" i="15" s="1"/>
  <c r="F18" i="15"/>
  <c r="A14" i="15"/>
  <c r="S17" i="15"/>
  <c r="E54" i="13"/>
  <c r="E25" i="13"/>
  <c r="S18" i="15" l="1"/>
  <c r="S20" i="15" s="1"/>
  <c r="E147" i="7" s="1"/>
  <c r="E206" i="13"/>
  <c r="E223" i="13" s="1"/>
  <c r="E48" i="13"/>
  <c r="G290" i="4"/>
  <c r="H290" i="4"/>
  <c r="F290" i="4"/>
  <c r="E290" i="4"/>
  <c r="D290" i="4"/>
  <c r="C290" i="4"/>
  <c r="E149" i="7" l="1"/>
  <c r="F147" i="7"/>
  <c r="J11" i="3"/>
  <c r="M7" i="3"/>
  <c r="M6" i="3"/>
  <c r="M8" i="3" l="1"/>
  <c r="H351" i="19" l="1"/>
  <c r="J94" i="2" l="1"/>
  <c r="J86" i="2"/>
  <c r="J85" i="2"/>
  <c r="J75" i="2"/>
  <c r="J280" i="19" l="1"/>
  <c r="F228" i="19" l="1"/>
  <c r="J228" i="19" l="1"/>
  <c r="H228" i="19" l="1"/>
  <c r="G228" i="19"/>
  <c r="E70" i="13" l="1"/>
  <c r="K271" i="5" l="1"/>
  <c r="C78" i="5"/>
  <c r="C280" i="4"/>
  <c r="C283" i="4" s="1"/>
  <c r="C232" i="4"/>
  <c r="C235" i="4" s="1"/>
  <c r="C173" i="4"/>
  <c r="C244" i="4"/>
  <c r="C247" i="4" s="1"/>
  <c r="C207" i="4"/>
  <c r="C193" i="4"/>
  <c r="C161" i="4"/>
  <c r="C155" i="4"/>
  <c r="C139" i="4"/>
  <c r="C145" i="4"/>
  <c r="C163" i="4" l="1"/>
  <c r="C147" i="4"/>
  <c r="C131" i="4"/>
  <c r="A16" i="15"/>
  <c r="A17" i="15" s="1"/>
  <c r="A18" i="15" s="1"/>
  <c r="A20" i="15" s="1"/>
  <c r="E68" i="3"/>
  <c r="K417" i="19" l="1"/>
  <c r="K362" i="19"/>
  <c r="K323" i="19"/>
  <c r="K285" i="19"/>
  <c r="K252" i="19"/>
  <c r="K213" i="19"/>
  <c r="K162" i="19"/>
  <c r="K114" i="19"/>
  <c r="K66" i="19"/>
  <c r="H104" i="4" l="1"/>
  <c r="G104" i="4"/>
  <c r="D104" i="4"/>
  <c r="C104" i="4"/>
  <c r="A113" i="19" l="1"/>
  <c r="A111" i="19"/>
  <c r="I175" i="19" l="1"/>
  <c r="I176" i="19"/>
  <c r="I177" i="19"/>
  <c r="I178" i="19"/>
  <c r="I179" i="19"/>
  <c r="I180" i="19"/>
  <c r="I181" i="19"/>
  <c r="I182" i="19"/>
  <c r="I183" i="19"/>
  <c r="I184" i="19"/>
  <c r="F254" i="13"/>
  <c r="I97" i="19"/>
  <c r="I98" i="19"/>
  <c r="I99" i="19"/>
  <c r="I105" i="19"/>
  <c r="I201" i="19"/>
  <c r="J201" i="19"/>
  <c r="E60" i="13"/>
  <c r="J343" i="19"/>
  <c r="J353" i="19"/>
  <c r="G342" i="19"/>
  <c r="G303" i="19"/>
  <c r="G338" i="19"/>
  <c r="G300" i="19"/>
  <c r="A321" i="19"/>
  <c r="A332" i="19"/>
  <c r="A333" i="19" s="1"/>
  <c r="A334" i="19" s="1"/>
  <c r="A335" i="19" s="1"/>
  <c r="A336" i="19" s="1"/>
  <c r="D230" i="19"/>
  <c r="G226" i="19"/>
  <c r="G229" i="19"/>
  <c r="G231" i="19" s="1"/>
  <c r="G232" i="19"/>
  <c r="G201" i="19"/>
  <c r="G202" i="19"/>
  <c r="G175" i="19"/>
  <c r="G176" i="19"/>
  <c r="G177" i="19"/>
  <c r="G178" i="19"/>
  <c r="G179" i="19"/>
  <c r="G180" i="19"/>
  <c r="G181" i="19"/>
  <c r="G182" i="19"/>
  <c r="G183" i="19"/>
  <c r="G184" i="19"/>
  <c r="G185" i="19"/>
  <c r="I150" i="19"/>
  <c r="J150" i="19"/>
  <c r="I151" i="19"/>
  <c r="J151" i="19"/>
  <c r="J152" i="19"/>
  <c r="I153" i="19"/>
  <c r="J153" i="19"/>
  <c r="J144" i="19"/>
  <c r="J145" i="19"/>
  <c r="G144" i="19"/>
  <c r="I144" i="19" s="1"/>
  <c r="G145" i="19"/>
  <c r="I145" i="19" s="1"/>
  <c r="G146" i="19"/>
  <c r="G147" i="19"/>
  <c r="G149" i="19"/>
  <c r="G150" i="19"/>
  <c r="G151" i="19"/>
  <c r="G152" i="19"/>
  <c r="I152" i="19" s="1"/>
  <c r="G153" i="19"/>
  <c r="G154" i="19"/>
  <c r="G155" i="19"/>
  <c r="G156" i="19"/>
  <c r="G97" i="19"/>
  <c r="G98" i="19"/>
  <c r="G99" i="19"/>
  <c r="G105" i="19"/>
  <c r="G129" i="19"/>
  <c r="G130" i="19"/>
  <c r="G131" i="19"/>
  <c r="G132" i="19"/>
  <c r="G133" i="19"/>
  <c r="G134" i="19"/>
  <c r="G135" i="19"/>
  <c r="G136" i="19"/>
  <c r="G137" i="19"/>
  <c r="G138" i="19"/>
  <c r="G233" i="19" l="1"/>
  <c r="A337" i="19"/>
  <c r="A338" i="19" s="1"/>
  <c r="A339" i="19" s="1"/>
  <c r="A340" i="19" s="1"/>
  <c r="A341" i="19" l="1"/>
  <c r="A342" i="19" s="1"/>
  <c r="A343" i="19" s="1"/>
  <c r="A344" i="19" s="1"/>
  <c r="A346" i="19" s="1"/>
  <c r="A348" i="19" s="1"/>
  <c r="A349" i="19" s="1"/>
  <c r="A351" i="19" s="1"/>
  <c r="A353" i="19" s="1"/>
  <c r="A355" i="19" s="1"/>
  <c r="A357" i="19" s="1"/>
  <c r="B253" i="13" l="1"/>
  <c r="B252" i="13"/>
  <c r="B251" i="13"/>
  <c r="B245" i="13"/>
  <c r="B243" i="13"/>
  <c r="B211" i="13"/>
  <c r="B210" i="13"/>
  <c r="B209" i="13"/>
  <c r="B208" i="13"/>
  <c r="B203" i="13"/>
  <c r="B201" i="13"/>
  <c r="B69" i="13"/>
  <c r="B68" i="13"/>
  <c r="B67" i="13"/>
  <c r="B66" i="13"/>
  <c r="B61" i="13"/>
  <c r="E112" i="3" l="1"/>
  <c r="B241" i="3" l="1"/>
  <c r="B240" i="3"/>
  <c r="B239" i="3"/>
  <c r="B233" i="3"/>
  <c r="H63" i="5"/>
  <c r="H62" i="5"/>
  <c r="D156" i="5"/>
  <c r="G156" i="5"/>
  <c r="D164" i="5"/>
  <c r="E164" i="5"/>
  <c r="F164" i="5"/>
  <c r="G164" i="5"/>
  <c r="B162" i="5"/>
  <c r="B159" i="5"/>
  <c r="G143" i="5"/>
  <c r="F143" i="5"/>
  <c r="E143" i="5"/>
  <c r="D143" i="5"/>
  <c r="H155" i="5"/>
  <c r="D132" i="5"/>
  <c r="E132" i="5"/>
  <c r="F132" i="5"/>
  <c r="G132" i="5"/>
  <c r="H72" i="5"/>
  <c r="H71" i="5"/>
  <c r="D242" i="3" l="1"/>
  <c r="D254" i="13"/>
  <c r="D106" i="3"/>
  <c r="F106" i="3" s="1"/>
  <c r="G44" i="5"/>
  <c r="F44" i="5"/>
  <c r="E44" i="5"/>
  <c r="D32" i="5"/>
  <c r="G32" i="5"/>
  <c r="A265" i="4"/>
  <c r="I266" i="4"/>
  <c r="I263" i="4"/>
  <c r="H161" i="4"/>
  <c r="G161" i="4"/>
  <c r="F161" i="4"/>
  <c r="E161" i="4"/>
  <c r="D161" i="4"/>
  <c r="I160" i="4"/>
  <c r="H155" i="4"/>
  <c r="G155" i="4"/>
  <c r="F155" i="4"/>
  <c r="E155" i="4"/>
  <c r="I154" i="4"/>
  <c r="C254" i="13" s="1"/>
  <c r="D145" i="4"/>
  <c r="E145" i="4"/>
  <c r="F145" i="4"/>
  <c r="G145" i="4"/>
  <c r="H145" i="4"/>
  <c r="E139" i="4"/>
  <c r="F139" i="4"/>
  <c r="G139" i="4"/>
  <c r="H139" i="4"/>
  <c r="C242" i="3" l="1"/>
  <c r="G163" i="4"/>
  <c r="F163" i="4"/>
  <c r="H163" i="4"/>
  <c r="E163" i="4"/>
  <c r="D131" i="4"/>
  <c r="E131" i="4"/>
  <c r="F131" i="4"/>
  <c r="G131" i="4"/>
  <c r="H131" i="4"/>
  <c r="H47" i="4" l="1"/>
  <c r="G47" i="4"/>
  <c r="D47" i="4"/>
  <c r="D35" i="4"/>
  <c r="G35" i="4"/>
  <c r="H35" i="4"/>
  <c r="A283" i="19" l="1"/>
  <c r="A161" i="19"/>
  <c r="A159" i="19"/>
  <c r="J239" i="19" l="1"/>
  <c r="E226" i="19" l="1"/>
  <c r="F195" i="19" l="1"/>
  <c r="I204" i="19"/>
  <c r="G204" i="19"/>
  <c r="I203" i="19"/>
  <c r="G203" i="19"/>
  <c r="I202" i="19"/>
  <c r="J186" i="19"/>
  <c r="I186" i="19"/>
  <c r="G186" i="19"/>
  <c r="J185" i="19"/>
  <c r="I185" i="19"/>
  <c r="J184" i="19"/>
  <c r="J183" i="19"/>
  <c r="J177" i="19"/>
  <c r="J176" i="19"/>
  <c r="J175" i="19"/>
  <c r="A212" i="19"/>
  <c r="A210" i="19"/>
  <c r="J154" i="19"/>
  <c r="J149" i="19"/>
  <c r="J146" i="19"/>
  <c r="J156" i="19"/>
  <c r="J155" i="19"/>
  <c r="J147" i="19"/>
  <c r="J143" i="19"/>
  <c r="G143" i="19"/>
  <c r="I156" i="19"/>
  <c r="I155" i="19"/>
  <c r="I154" i="19"/>
  <c r="I149" i="19"/>
  <c r="I147" i="19"/>
  <c r="I143" i="19"/>
  <c r="J108" i="19"/>
  <c r="J107" i="19"/>
  <c r="J106" i="19"/>
  <c r="J105" i="19"/>
  <c r="J99" i="19"/>
  <c r="J98" i="19"/>
  <c r="J97" i="19"/>
  <c r="I146" i="19" l="1"/>
  <c r="B122" i="13" l="1"/>
  <c r="G433" i="19" l="1"/>
  <c r="G429" i="19"/>
  <c r="A427" i="19"/>
  <c r="F20" i="2" l="1"/>
  <c r="I20" i="2" l="1"/>
  <c r="I14" i="2"/>
  <c r="I13" i="2"/>
  <c r="A13" i="17"/>
  <c r="A14" i="17" s="1"/>
  <c r="A15" i="17" s="1"/>
  <c r="A16" i="17" s="1"/>
  <c r="A18" i="17" s="1"/>
  <c r="A20" i="17" s="1"/>
  <c r="A21" i="17" s="1"/>
  <c r="A22" i="17" s="1"/>
  <c r="A24" i="17" s="1"/>
  <c r="A26" i="17" s="1"/>
  <c r="A27" i="17" s="1"/>
  <c r="A28" i="17" s="1"/>
  <c r="A29" i="17" s="1"/>
  <c r="A31" i="17" s="1"/>
  <c r="A32" i="17" s="1"/>
  <c r="A33" i="17" s="1"/>
  <c r="A35" i="17" s="1"/>
  <c r="A36" i="17" s="1"/>
  <c r="A37" i="17" s="1"/>
  <c r="A38" i="17" s="1"/>
  <c r="A40" i="17" s="1"/>
  <c r="A42" i="17" s="1"/>
  <c r="A43" i="17" s="1"/>
  <c r="A45" i="17" s="1"/>
  <c r="A47" i="17" s="1"/>
  <c r="A49" i="17" s="1"/>
  <c r="A51" i="17" s="1"/>
  <c r="A52" i="17" s="1"/>
  <c r="A54" i="17" s="1"/>
  <c r="A56" i="17" s="1"/>
  <c r="A57" i="17" s="1"/>
  <c r="C54" i="17"/>
  <c r="C52" i="17"/>
  <c r="C51" i="17"/>
  <c r="C56" i="17" s="1"/>
  <c r="C33" i="17"/>
  <c r="C32" i="17"/>
  <c r="C31" i="17"/>
  <c r="C29" i="17"/>
  <c r="C28" i="17"/>
  <c r="C27" i="17"/>
  <c r="C26" i="17"/>
  <c r="C35" i="17" s="1"/>
  <c r="B47" i="17"/>
  <c r="B43" i="17"/>
  <c r="B42" i="17"/>
  <c r="C38" i="17" l="1"/>
  <c r="C57" i="17"/>
  <c r="C36" i="17"/>
  <c r="C37" i="17"/>
  <c r="F232" i="19" l="1"/>
  <c r="H232" i="19"/>
  <c r="I232" i="19"/>
  <c r="J232" i="19"/>
  <c r="E232" i="19"/>
  <c r="E228" i="19"/>
  <c r="J226" i="19"/>
  <c r="H226" i="19"/>
  <c r="F226" i="19"/>
  <c r="D226" i="19"/>
  <c r="D222" i="19"/>
  <c r="E229" i="19" l="1"/>
  <c r="E231" i="19" s="1"/>
  <c r="E233" i="19" s="1"/>
  <c r="D229" i="19"/>
  <c r="D231" i="19" s="1"/>
  <c r="G234" i="19" l="1"/>
  <c r="C230" i="5"/>
  <c r="C224" i="5"/>
  <c r="C214" i="5"/>
  <c r="C205" i="5"/>
  <c r="C192" i="5"/>
  <c r="C185" i="5"/>
  <c r="C164" i="5"/>
  <c r="C143" i="5"/>
  <c r="C109" i="5"/>
  <c r="C268" i="5" s="1"/>
  <c r="C20" i="5"/>
  <c r="C15" i="5"/>
  <c r="C47" i="4"/>
  <c r="C35" i="4"/>
  <c r="C97" i="5" l="1"/>
  <c r="C219" i="4"/>
  <c r="C221" i="4" s="1"/>
  <c r="C156" i="5"/>
  <c r="C132" i="5"/>
  <c r="C32" i="5"/>
  <c r="C44" i="5"/>
  <c r="C194" i="5"/>
  <c r="C216" i="5"/>
  <c r="C119" i="5"/>
  <c r="J384" i="19" l="1"/>
  <c r="G310" i="13" l="1"/>
  <c r="G231" i="13"/>
  <c r="G164" i="13"/>
  <c r="G74" i="13"/>
  <c r="A232" i="13"/>
  <c r="B249" i="13"/>
  <c r="B222" i="13"/>
  <c r="G233" i="13"/>
  <c r="A233" i="13"/>
  <c r="A231" i="13"/>
  <c r="G230" i="13"/>
  <c r="B204" i="13"/>
  <c r="B192" i="13"/>
  <c r="B112" i="13"/>
  <c r="B111" i="13"/>
  <c r="B110" i="13"/>
  <c r="B109" i="13"/>
  <c r="B108" i="13"/>
  <c r="B107" i="13"/>
  <c r="B62" i="13"/>
  <c r="B47" i="13"/>
  <c r="B253" i="3"/>
  <c r="B252" i="3"/>
  <c r="E237" i="3"/>
  <c r="J355" i="19" s="1"/>
  <c r="E210" i="3"/>
  <c r="A154" i="3"/>
  <c r="G155" i="3"/>
  <c r="A155" i="3"/>
  <c r="A153" i="3"/>
  <c r="G152" i="3"/>
  <c r="B235" i="3"/>
  <c r="B237" i="3" s="1"/>
  <c r="B208" i="3"/>
  <c r="B210" i="3" s="1"/>
  <c r="E194" i="3"/>
  <c r="D284" i="5"/>
  <c r="B104" i="3" l="1"/>
  <c r="E98" i="7"/>
  <c r="F97" i="7"/>
  <c r="B98" i="7"/>
  <c r="E109" i="7"/>
  <c r="D109" i="7"/>
  <c r="C109" i="7"/>
  <c r="F108" i="7"/>
  <c r="F107" i="7"/>
  <c r="E103" i="7"/>
  <c r="D103" i="7"/>
  <c r="C103" i="7"/>
  <c r="F102" i="7"/>
  <c r="F101" i="7"/>
  <c r="E111" i="7" l="1"/>
  <c r="F109" i="7"/>
  <c r="D111" i="7"/>
  <c r="C111" i="7"/>
  <c r="F103" i="7"/>
  <c r="F111" i="7" l="1"/>
  <c r="G192" i="5"/>
  <c r="F192" i="5"/>
  <c r="E192" i="5"/>
  <c r="H189" i="5"/>
  <c r="G185" i="5"/>
  <c r="F185" i="5"/>
  <c r="E185" i="5"/>
  <c r="H182" i="5"/>
  <c r="H140" i="5"/>
  <c r="H137" i="5"/>
  <c r="H129" i="5"/>
  <c r="H126" i="5"/>
  <c r="G119" i="5"/>
  <c r="F119" i="5"/>
  <c r="E119" i="5"/>
  <c r="D119" i="5"/>
  <c r="H113" i="5"/>
  <c r="E19" i="19" s="1"/>
  <c r="E39" i="19" s="1"/>
  <c r="H105" i="5"/>
  <c r="H30" i="5"/>
  <c r="G78" i="5" l="1"/>
  <c r="E78" i="5"/>
  <c r="D264" i="13"/>
  <c r="D252" i="3"/>
  <c r="D222" i="13"/>
  <c r="D210" i="3"/>
  <c r="D220" i="13"/>
  <c r="D208" i="3"/>
  <c r="D216" i="3" s="1"/>
  <c r="D181" i="3"/>
  <c r="D182" i="3" s="1"/>
  <c r="D186" i="3" s="1"/>
  <c r="D192" i="13"/>
  <c r="D193" i="13" s="1"/>
  <c r="D197" i="13" s="1"/>
  <c r="F78" i="5"/>
  <c r="C80" i="5"/>
  <c r="G80" i="5"/>
  <c r="E80" i="5"/>
  <c r="F80" i="5"/>
  <c r="D105" i="3"/>
  <c r="D111" i="3" s="1"/>
  <c r="A247" i="5"/>
  <c r="A249" i="5" s="1"/>
  <c r="D223" i="13" l="1"/>
  <c r="D228" i="13"/>
  <c r="D116" i="3"/>
  <c r="E383" i="19"/>
  <c r="D211" i="3"/>
  <c r="F105" i="3"/>
  <c r="G82" i="5"/>
  <c r="E82" i="5"/>
  <c r="F82" i="5"/>
  <c r="E316" i="19"/>
  <c r="E310" i="19" s="1"/>
  <c r="C82" i="5"/>
  <c r="D108" i="13"/>
  <c r="E15" i="19"/>
  <c r="E35" i="19" s="1"/>
  <c r="D107" i="13"/>
  <c r="F210" i="3"/>
  <c r="D115" i="13" l="1"/>
  <c r="D123" i="13" s="1"/>
  <c r="A65" i="19" l="1"/>
  <c r="A63" i="19"/>
  <c r="I106" i="19"/>
  <c r="I107" i="19"/>
  <c r="I108" i="19"/>
  <c r="G108" i="19"/>
  <c r="G106" i="19"/>
  <c r="I238" i="19" l="1"/>
  <c r="F305" i="13" l="1"/>
  <c r="F289" i="13"/>
  <c r="F269" i="13"/>
  <c r="F227" i="13"/>
  <c r="E180" i="13"/>
  <c r="E193" i="13" s="1"/>
  <c r="E250" i="13" l="1"/>
  <c r="I95" i="2" l="1"/>
  <c r="I87" i="2"/>
  <c r="J44" i="2"/>
  <c r="J35" i="2"/>
  <c r="J36" i="2"/>
  <c r="I45" i="2"/>
  <c r="I37" i="2"/>
  <c r="K18" i="2"/>
  <c r="I26" i="2"/>
  <c r="I16" i="2"/>
  <c r="I97" i="2" l="1"/>
  <c r="I47" i="2"/>
  <c r="I28" i="2"/>
  <c r="F94" i="13"/>
  <c r="F93" i="13"/>
  <c r="B119" i="13"/>
  <c r="E34" i="13"/>
  <c r="E115" i="13" s="1"/>
  <c r="E63" i="13"/>
  <c r="E169" i="3"/>
  <c r="E168" i="3"/>
  <c r="E111" i="3"/>
  <c r="E48" i="3"/>
  <c r="E33" i="3"/>
  <c r="E63" i="3" s="1"/>
  <c r="E47" i="3"/>
  <c r="E182" i="3" l="1"/>
  <c r="E211" i="3" s="1"/>
  <c r="E238" i="3" s="1"/>
  <c r="E62" i="3"/>
  <c r="E195" i="3" s="1"/>
  <c r="H195" i="19"/>
  <c r="E116" i="13"/>
  <c r="E49" i="13"/>
  <c r="E64" i="13" s="1"/>
  <c r="G195" i="19" l="1"/>
  <c r="J195" i="19" s="1"/>
  <c r="C310" i="4"/>
  <c r="I195" i="19" l="1"/>
  <c r="J204" i="19"/>
  <c r="J203" i="19"/>
  <c r="I259" i="4"/>
  <c r="H258" i="4"/>
  <c r="H261" i="4" s="1"/>
  <c r="G258" i="4"/>
  <c r="G261" i="4" s="1"/>
  <c r="F258" i="4"/>
  <c r="F261" i="4" s="1"/>
  <c r="E258" i="4"/>
  <c r="E261" i="4" s="1"/>
  <c r="I257" i="4"/>
  <c r="I256" i="4"/>
  <c r="D255" i="4"/>
  <c r="D258" i="4" s="1"/>
  <c r="D261" i="4" s="1"/>
  <c r="C258" i="4"/>
  <c r="C261" i="4" s="1"/>
  <c r="C292" i="4" l="1"/>
  <c r="C285" i="4"/>
  <c r="I255" i="4"/>
  <c r="I258" i="4" s="1"/>
  <c r="I261" i="4" s="1"/>
  <c r="G253" i="5"/>
  <c r="F253" i="5"/>
  <c r="E253" i="5"/>
  <c r="D253" i="5"/>
  <c r="H252" i="5"/>
  <c r="H251" i="5"/>
  <c r="H250" i="5"/>
  <c r="C253" i="5"/>
  <c r="C270" i="5" s="1"/>
  <c r="L270" i="5" s="1"/>
  <c r="H249" i="5" l="1"/>
  <c r="H253" i="5" s="1"/>
  <c r="F163" i="7"/>
  <c r="J14" i="13" l="1"/>
  <c r="E211" i="13" s="1"/>
  <c r="J7" i="13"/>
  <c r="J8" i="13"/>
  <c r="J9" i="13"/>
  <c r="J10" i="13"/>
  <c r="J6" i="13"/>
  <c r="A177" i="4" l="1"/>
  <c r="A90" i="4"/>
  <c r="A13" i="1" l="1"/>
  <c r="G14" i="2"/>
  <c r="G13" i="2"/>
  <c r="E14" i="2"/>
  <c r="J450" i="19" l="1"/>
  <c r="J451" i="19"/>
  <c r="J452" i="19"/>
  <c r="A415" i="19"/>
  <c r="G378" i="19"/>
  <c r="J442" i="19"/>
  <c r="J443" i="19"/>
  <c r="J444" i="19"/>
  <c r="A176" i="13" l="1"/>
  <c r="E45" i="13"/>
  <c r="J447" i="19"/>
  <c r="J436" i="19"/>
  <c r="F436" i="19" s="1"/>
  <c r="E86" i="13" s="1"/>
  <c r="J437" i="19"/>
  <c r="F437" i="19" s="1"/>
  <c r="F442" i="19" s="1"/>
  <c r="E323" i="13" s="1"/>
  <c r="J438" i="19"/>
  <c r="F438" i="19" s="1"/>
  <c r="F443" i="19" s="1"/>
  <c r="E324" i="13" s="1"/>
  <c r="J439" i="19"/>
  <c r="F439" i="19" s="1"/>
  <c r="F444" i="19" s="1"/>
  <c r="E325" i="13" s="1"/>
  <c r="J435" i="19"/>
  <c r="F435" i="19" s="1"/>
  <c r="E296" i="13" l="1"/>
  <c r="E299" i="13"/>
  <c r="E298" i="13"/>
  <c r="E297" i="13"/>
  <c r="E300" i="13"/>
  <c r="J270" i="19"/>
  <c r="A15" i="13"/>
  <c r="F141" i="3"/>
  <c r="B206" i="3"/>
  <c r="E186" i="3"/>
  <c r="E199" i="3" s="1"/>
  <c r="E15" i="13" l="1"/>
  <c r="G397" i="19"/>
  <c r="F150" i="13"/>
  <c r="B217" i="4"/>
  <c r="F60" i="7"/>
  <c r="C56" i="5"/>
  <c r="C101" i="5" s="1"/>
  <c r="H84" i="5"/>
  <c r="A85" i="5"/>
  <c r="A87" i="5"/>
  <c r="H87" i="5"/>
  <c r="E173" i="3"/>
  <c r="A15" i="3"/>
  <c r="D59" i="4" l="1"/>
  <c r="E59" i="4"/>
  <c r="F59" i="4"/>
  <c r="G59" i="4"/>
  <c r="H59" i="4"/>
  <c r="C59" i="4"/>
  <c r="J407" i="19" l="1"/>
  <c r="J408" i="19"/>
  <c r="J409" i="19"/>
  <c r="J406" i="19"/>
  <c r="J400" i="19"/>
  <c r="F400" i="19" s="1"/>
  <c r="J401" i="19"/>
  <c r="F401" i="19" s="1"/>
  <c r="J402" i="19"/>
  <c r="F402" i="19" s="1"/>
  <c r="J399" i="19"/>
  <c r="F399" i="19" s="1"/>
  <c r="E278" i="13" l="1"/>
  <c r="E104" i="13" s="1"/>
  <c r="E276" i="13"/>
  <c r="E102" i="13" s="1"/>
  <c r="E279" i="13"/>
  <c r="E105" i="13" s="1"/>
  <c r="E277" i="13"/>
  <c r="E103" i="13" s="1"/>
  <c r="R51" i="8"/>
  <c r="Q51" i="8"/>
  <c r="P51" i="8"/>
  <c r="O51" i="8"/>
  <c r="N51" i="8"/>
  <c r="M51" i="8"/>
  <c r="L51" i="8"/>
  <c r="K51" i="8"/>
  <c r="J51" i="8"/>
  <c r="I51" i="8"/>
  <c r="H51" i="8"/>
  <c r="G51" i="8"/>
  <c r="H19" i="8" l="1"/>
  <c r="I19" i="8"/>
  <c r="J19" i="8"/>
  <c r="K19" i="8"/>
  <c r="L19" i="8"/>
  <c r="M19" i="8"/>
  <c r="N19" i="8"/>
  <c r="O19" i="8"/>
  <c r="P19" i="8"/>
  <c r="Q19" i="8"/>
  <c r="R19" i="8"/>
  <c r="G19" i="8"/>
  <c r="H18" i="8" l="1"/>
  <c r="I18" i="8"/>
  <c r="J18" i="8"/>
  <c r="K18" i="8"/>
  <c r="L18" i="8"/>
  <c r="M18" i="8"/>
  <c r="N18" i="8"/>
  <c r="O18" i="8"/>
  <c r="P18" i="8"/>
  <c r="Q18" i="8"/>
  <c r="R18" i="8"/>
  <c r="G18" i="8"/>
  <c r="G50" i="8"/>
  <c r="J383" i="19"/>
  <c r="J380" i="19"/>
  <c r="F380" i="19" s="1"/>
  <c r="J379" i="19"/>
  <c r="F379" i="19" s="1"/>
  <c r="E262" i="13" l="1"/>
  <c r="E100" i="13" s="1"/>
  <c r="E263" i="13"/>
  <c r="E101" i="13" s="1"/>
  <c r="A360" i="19"/>
  <c r="J316" i="19" l="1"/>
  <c r="J314" i="19"/>
  <c r="J304" i="19"/>
  <c r="J273" i="19" l="1"/>
  <c r="D109" i="5" l="1"/>
  <c r="D268" i="5" s="1"/>
  <c r="E109" i="5"/>
  <c r="E268" i="5" s="1"/>
  <c r="F109" i="5"/>
  <c r="F268" i="5" s="1"/>
  <c r="G109" i="5"/>
  <c r="G268" i="5" s="1"/>
  <c r="D20" i="5"/>
  <c r="E20" i="5"/>
  <c r="F20" i="5"/>
  <c r="G20" i="5"/>
  <c r="D15" i="5"/>
  <c r="D97" i="5" s="1"/>
  <c r="G15" i="5"/>
  <c r="A261" i="19"/>
  <c r="A262" i="19" s="1"/>
  <c r="A263" i="19" s="1"/>
  <c r="A250" i="19"/>
  <c r="G97" i="5" l="1"/>
  <c r="A264" i="19"/>
  <c r="A265" i="19" s="1"/>
  <c r="A266" i="19" s="1"/>
  <c r="A267" i="19" s="1"/>
  <c r="A268" i="19" s="1"/>
  <c r="A269" i="19" s="1"/>
  <c r="A270" i="19" s="1"/>
  <c r="D285" i="5"/>
  <c r="E285" i="5" s="1"/>
  <c r="A12" i="19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3" i="19"/>
  <c r="A322" i="19" s="1"/>
  <c r="A1" i="19"/>
  <c r="A320" i="19" s="1"/>
  <c r="A414" i="19" l="1"/>
  <c r="A282" i="19"/>
  <c r="A416" i="19"/>
  <c r="A284" i="19"/>
  <c r="A26" i="19"/>
  <c r="A27" i="19" s="1"/>
  <c r="A359" i="19"/>
  <c r="A361" i="19"/>
  <c r="A249" i="19"/>
  <c r="A251" i="19"/>
  <c r="D13" i="7"/>
  <c r="A29" i="19" l="1"/>
  <c r="A31" i="19" s="1"/>
  <c r="A32" i="19" s="1"/>
  <c r="C237" i="19"/>
  <c r="A271" i="19"/>
  <c r="A273" i="19" s="1"/>
  <c r="A274" i="19" s="1"/>
  <c r="A276" i="19" s="1"/>
  <c r="A278" i="19" s="1"/>
  <c r="A279" i="19" s="1"/>
  <c r="A33" i="19" l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8" i="19" s="1"/>
  <c r="A50" i="19" s="1"/>
  <c r="A280" i="19"/>
  <c r="A51" i="19" l="1"/>
  <c r="A52" i="19" s="1"/>
  <c r="A53" i="19" s="1"/>
  <c r="A54" i="19" s="1"/>
  <c r="A294" i="19"/>
  <c r="A295" i="19" s="1"/>
  <c r="A296" i="19" s="1"/>
  <c r="A297" i="19" s="1"/>
  <c r="A298" i="19" s="1"/>
  <c r="A76" i="19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3" i="19" s="1"/>
  <c r="A62" i="19" l="1"/>
  <c r="A55" i="19"/>
  <c r="A56" i="19" s="1"/>
  <c r="A57" i="19" s="1"/>
  <c r="A58" i="19" s="1"/>
  <c r="A59" i="19" s="1"/>
  <c r="A60" i="19" s="1"/>
  <c r="A299" i="19"/>
  <c r="A300" i="19" s="1"/>
  <c r="A301" i="19" s="1"/>
  <c r="A302" i="19" s="1"/>
  <c r="A303" i="19" s="1"/>
  <c r="A304" i="19" s="1"/>
  <c r="A305" i="19" s="1"/>
  <c r="A307" i="19" s="1"/>
  <c r="A309" i="19" s="1"/>
  <c r="A310" i="19" s="1"/>
  <c r="A312" i="19" s="1"/>
  <c r="A314" i="19" s="1"/>
  <c r="A316" i="19" s="1"/>
  <c r="A318" i="19" s="1"/>
  <c r="A94" i="19"/>
  <c r="A95" i="19" s="1"/>
  <c r="C236" i="19"/>
  <c r="A96" i="19" l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371" i="19"/>
  <c r="A372" i="19" s="1"/>
  <c r="A373" i="19" s="1"/>
  <c r="A374" i="19" s="1"/>
  <c r="A375" i="19" s="1"/>
  <c r="A376" i="19" s="1"/>
  <c r="A377" i="19" l="1"/>
  <c r="A378" i="19" s="1"/>
  <c r="A379" i="19" s="1"/>
  <c r="C238" i="19"/>
  <c r="A380" i="19" l="1"/>
  <c r="A381" i="19" s="1"/>
  <c r="A383" i="19" s="1"/>
  <c r="A384" i="19" s="1"/>
  <c r="A386" i="19" s="1"/>
  <c r="A388" i="19" s="1"/>
  <c r="A390" i="19" s="1"/>
  <c r="A391" i="19" s="1"/>
  <c r="A392" i="19" s="1"/>
  <c r="A393" i="19" s="1"/>
  <c r="A394" i="19" s="1"/>
  <c r="A395" i="19" s="1"/>
  <c r="A396" i="19" s="1"/>
  <c r="A397" i="19" s="1"/>
  <c r="A311" i="13"/>
  <c r="A165" i="13"/>
  <c r="A75" i="13"/>
  <c r="A124" i="19" l="1"/>
  <c r="A125" i="19" s="1"/>
  <c r="A398" i="19"/>
  <c r="A399" i="19" s="1"/>
  <c r="A400" i="19" s="1"/>
  <c r="A401" i="19" s="1"/>
  <c r="A402" i="19" s="1"/>
  <c r="A403" i="19" s="1"/>
  <c r="A405" i="19" s="1"/>
  <c r="A406" i="19" s="1"/>
  <c r="A407" i="19" s="1"/>
  <c r="A408" i="19" s="1"/>
  <c r="A409" i="19" s="1"/>
  <c r="A411" i="19" s="1"/>
  <c r="A428" i="19" s="1"/>
  <c r="A429" i="19" s="1"/>
  <c r="A430" i="19" s="1"/>
  <c r="A431" i="19" s="1"/>
  <c r="C289" i="5"/>
  <c r="A432" i="19" l="1"/>
  <c r="A433" i="19" s="1"/>
  <c r="A434" i="19" s="1"/>
  <c r="A435" i="19" s="1"/>
  <c r="A436" i="19" s="1"/>
  <c r="A437" i="19" s="1"/>
  <c r="A438" i="19" s="1"/>
  <c r="A439" i="19" s="1"/>
  <c r="A441" i="19" s="1"/>
  <c r="A442" i="19" s="1"/>
  <c r="A443" i="19" s="1"/>
  <c r="A444" i="19" s="1"/>
  <c r="A445" i="19" s="1"/>
  <c r="A447" i="19" s="1"/>
  <c r="A449" i="19" s="1"/>
  <c r="A450" i="19" s="1"/>
  <c r="A451" i="19" s="1"/>
  <c r="A452" i="19" s="1"/>
  <c r="A453" i="19" s="1"/>
  <c r="A455" i="19" s="1"/>
  <c r="A126" i="19"/>
  <c r="A127" i="19" s="1"/>
  <c r="A128" i="19" l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G280" i="4"/>
  <c r="G283" i="4" s="1"/>
  <c r="G285" i="4" s="1"/>
  <c r="G244" i="4"/>
  <c r="G247" i="4" s="1"/>
  <c r="G232" i="4"/>
  <c r="G235" i="4" s="1"/>
  <c r="G219" i="4"/>
  <c r="G207" i="4"/>
  <c r="G193" i="4"/>
  <c r="G173" i="4"/>
  <c r="G83" i="4"/>
  <c r="G108" i="4" s="1"/>
  <c r="G72" i="4"/>
  <c r="G106" i="4" s="1"/>
  <c r="A141" i="19" l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72" i="19" s="1"/>
  <c r="A173" i="19" s="1"/>
  <c r="G292" i="4"/>
  <c r="C239" i="19"/>
  <c r="G294" i="4"/>
  <c r="G195" i="4"/>
  <c r="G110" i="4"/>
  <c r="G221" i="4"/>
  <c r="G249" i="4"/>
  <c r="G85" i="4"/>
  <c r="A174" i="19" l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295" i="3"/>
  <c r="A220" i="3"/>
  <c r="A74" i="3"/>
  <c r="E13" i="2"/>
  <c r="F152" i="7"/>
  <c r="F76" i="7"/>
  <c r="S37" i="8"/>
  <c r="A189" i="19" l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22" i="19" s="1"/>
  <c r="C4" i="16"/>
  <c r="A4" i="16"/>
  <c r="C5" i="17"/>
  <c r="A5" i="17"/>
  <c r="H14" i="2"/>
  <c r="F13" i="2"/>
  <c r="A2" i="17"/>
  <c r="C1" i="17"/>
  <c r="C29" i="16"/>
  <c r="E20" i="2" s="1"/>
  <c r="C17" i="16"/>
  <c r="A13" i="16"/>
  <c r="A15" i="16" s="1"/>
  <c r="A2" i="16"/>
  <c r="C1" i="16"/>
  <c r="A223" i="19" l="1"/>
  <c r="A224" i="19" s="1"/>
  <c r="A225" i="19" s="1"/>
  <c r="A226" i="19" s="1"/>
  <c r="A228" i="19" s="1"/>
  <c r="A229" i="19" s="1"/>
  <c r="A17" i="16"/>
  <c r="A21" i="16" s="1"/>
  <c r="A23" i="16" s="1"/>
  <c r="A25" i="16" s="1"/>
  <c r="A27" i="16" s="1"/>
  <c r="C33" i="16"/>
  <c r="H13" i="2"/>
  <c r="C229" i="19" l="1"/>
  <c r="A230" i="19"/>
  <c r="A231" i="19" s="1"/>
  <c r="A232" i="19" s="1"/>
  <c r="A233" i="19" s="1"/>
  <c r="A234" i="19" s="1"/>
  <c r="A236" i="19" s="1"/>
  <c r="A237" i="19" s="1"/>
  <c r="A238" i="19" s="1"/>
  <c r="A239" i="19" s="1"/>
  <c r="A240" i="19" s="1"/>
  <c r="A29" i="16"/>
  <c r="A33" i="16" s="1"/>
  <c r="B244" i="13"/>
  <c r="B247" i="13" s="1"/>
  <c r="B217" i="13"/>
  <c r="B220" i="13" s="1"/>
  <c r="B178" i="13"/>
  <c r="D94" i="13"/>
  <c r="C231" i="19" l="1"/>
  <c r="A241" i="19"/>
  <c r="A243" i="19" s="1"/>
  <c r="A244" i="19" s="1"/>
  <c r="A246" i="19" s="1"/>
  <c r="A247" i="19" s="1"/>
  <c r="E202" i="13"/>
  <c r="E190" i="13"/>
  <c r="H203" i="5"/>
  <c r="I216" i="4"/>
  <c r="I204" i="4"/>
  <c r="I88" i="4"/>
  <c r="I91" i="4"/>
  <c r="I129" i="4"/>
  <c r="D20" i="19" s="1"/>
  <c r="D40" i="19" s="1"/>
  <c r="E38" i="3"/>
  <c r="C279" i="13" l="1"/>
  <c r="F279" i="13" s="1"/>
  <c r="D308" i="4"/>
  <c r="E308" i="4" s="1"/>
  <c r="C265" i="3"/>
  <c r="F265" i="3" s="1"/>
  <c r="C202" i="13"/>
  <c r="C192" i="3"/>
  <c r="C200" i="3" s="1"/>
  <c r="D125" i="7"/>
  <c r="C125" i="7"/>
  <c r="B125" i="7"/>
  <c r="F123" i="7"/>
  <c r="D76" i="5" s="1"/>
  <c r="H76" i="5" s="1"/>
  <c r="F122" i="7"/>
  <c r="F120" i="7"/>
  <c r="D190" i="5"/>
  <c r="D192" i="5" s="1"/>
  <c r="D214" i="4"/>
  <c r="F43" i="7"/>
  <c r="F42" i="7"/>
  <c r="F41" i="7"/>
  <c r="F39" i="7"/>
  <c r="F48" i="7"/>
  <c r="D75" i="5" l="1"/>
  <c r="H75" i="5" s="1"/>
  <c r="D66" i="5"/>
  <c r="H66" i="5" s="1"/>
  <c r="D73" i="5"/>
  <c r="D64" i="5"/>
  <c r="F202" i="13"/>
  <c r="C212" i="13"/>
  <c r="F40" i="7"/>
  <c r="D202" i="4"/>
  <c r="H64" i="5" l="1"/>
  <c r="H73" i="5"/>
  <c r="D109" i="3"/>
  <c r="F109" i="3" s="1"/>
  <c r="D111" i="13"/>
  <c r="F121" i="7"/>
  <c r="E91" i="7"/>
  <c r="B90" i="7"/>
  <c r="D107" i="3" l="1"/>
  <c r="D109" i="13"/>
  <c r="D74" i="5"/>
  <c r="D65" i="5"/>
  <c r="H19" i="5"/>
  <c r="H65" i="5" l="1"/>
  <c r="H74" i="5"/>
  <c r="H80" i="5" s="1"/>
  <c r="D80" i="5"/>
  <c r="F107" i="3"/>
  <c r="H20" i="5"/>
  <c r="D32" i="3"/>
  <c r="D32" i="13"/>
  <c r="F56" i="5"/>
  <c r="F101" i="5" s="1"/>
  <c r="D56" i="5"/>
  <c r="E56" i="5"/>
  <c r="E101" i="5" s="1"/>
  <c r="G56" i="5"/>
  <c r="G101" i="5" s="1"/>
  <c r="H108" i="5"/>
  <c r="B19" i="5"/>
  <c r="D108" i="3" l="1"/>
  <c r="D110" i="13"/>
  <c r="D40" i="13"/>
  <c r="D38" i="13"/>
  <c r="D38" i="3"/>
  <c r="D39" i="3"/>
  <c r="D37" i="3"/>
  <c r="D34" i="13"/>
  <c r="F34" i="13" s="1"/>
  <c r="D33" i="3"/>
  <c r="F33" i="3" s="1"/>
  <c r="H109" i="5"/>
  <c r="D178" i="13"/>
  <c r="C261" i="5"/>
  <c r="F108" i="3" l="1"/>
  <c r="E18" i="19"/>
  <c r="H268" i="5"/>
  <c r="D167" i="3"/>
  <c r="D169" i="3" s="1"/>
  <c r="C263" i="5"/>
  <c r="C272" i="5"/>
  <c r="E284" i="5"/>
  <c r="D306" i="4"/>
  <c r="E306" i="4" l="1"/>
  <c r="D168" i="3"/>
  <c r="F169" i="3"/>
  <c r="D305" i="4"/>
  <c r="E305" i="4" s="1"/>
  <c r="F326" i="3" l="1"/>
  <c r="F100" i="19" s="1"/>
  <c r="E181" i="3"/>
  <c r="E192" i="3"/>
  <c r="F192" i="3" s="1"/>
  <c r="M4" i="13" l="1"/>
  <c r="M3" i="13"/>
  <c r="G4" i="13" l="1"/>
  <c r="E167" i="3"/>
  <c r="E32" i="3"/>
  <c r="F32" i="3" s="1"/>
  <c r="I117" i="4"/>
  <c r="I290" i="4" l="1"/>
  <c r="D18" i="19"/>
  <c r="F167" i="3"/>
  <c r="F55" i="8" l="1"/>
  <c r="G205" i="5"/>
  <c r="M5" i="13"/>
  <c r="D171" i="4"/>
  <c r="I171" i="4" s="1"/>
  <c r="E217" i="13"/>
  <c r="E244" i="13"/>
  <c r="I143" i="4"/>
  <c r="D169" i="4"/>
  <c r="I277" i="4"/>
  <c r="H229" i="5"/>
  <c r="D291" i="3" s="1"/>
  <c r="I281" i="4"/>
  <c r="I245" i="4"/>
  <c r="H223" i="5"/>
  <c r="I233" i="4"/>
  <c r="I205" i="4"/>
  <c r="H191" i="5"/>
  <c r="I191" i="4"/>
  <c r="J11" i="13"/>
  <c r="E69" i="13" s="1"/>
  <c r="G53" i="8"/>
  <c r="G54" i="8"/>
  <c r="H54" i="8"/>
  <c r="H50" i="8"/>
  <c r="H55" i="8" s="1"/>
  <c r="I55" i="8"/>
  <c r="I50" i="8"/>
  <c r="I56" i="8" s="1"/>
  <c r="J56" i="8"/>
  <c r="J50" i="8"/>
  <c r="J57" i="8" s="1"/>
  <c r="K57" i="8"/>
  <c r="K50" i="8"/>
  <c r="K58" i="8" s="1"/>
  <c r="L58" i="8"/>
  <c r="L50" i="8"/>
  <c r="L59" i="8" s="1"/>
  <c r="M59" i="8"/>
  <c r="M50" i="8"/>
  <c r="M60" i="8" s="1"/>
  <c r="N60" i="8"/>
  <c r="N50" i="8"/>
  <c r="N61" i="8" s="1"/>
  <c r="O61" i="8"/>
  <c r="O50" i="8"/>
  <c r="O62" i="8" s="1"/>
  <c r="P62" i="8"/>
  <c r="P50" i="8"/>
  <c r="P63" i="8" s="1"/>
  <c r="Q63" i="8"/>
  <c r="Q50" i="8"/>
  <c r="Q64" i="8" s="1"/>
  <c r="R64" i="8"/>
  <c r="R65" i="8" s="1"/>
  <c r="F165" i="7"/>
  <c r="F168" i="7" s="1"/>
  <c r="F171" i="7" s="1"/>
  <c r="F54" i="8"/>
  <c r="F56" i="8"/>
  <c r="F57" i="8"/>
  <c r="F58" i="8"/>
  <c r="F59" i="8"/>
  <c r="F60" i="8"/>
  <c r="F61" i="8"/>
  <c r="F62" i="8"/>
  <c r="F63" i="8"/>
  <c r="F64" i="8"/>
  <c r="I66" i="4"/>
  <c r="I67" i="4"/>
  <c r="G21" i="8"/>
  <c r="G22" i="8"/>
  <c r="G25" i="8"/>
  <c r="G29" i="8"/>
  <c r="H22" i="8"/>
  <c r="H23" i="8"/>
  <c r="H24" i="8"/>
  <c r="H26" i="8"/>
  <c r="H28" i="8"/>
  <c r="H30" i="8"/>
  <c r="H32" i="8"/>
  <c r="I23" i="8"/>
  <c r="I24" i="8"/>
  <c r="I27" i="8"/>
  <c r="I31" i="8"/>
  <c r="J24" i="8"/>
  <c r="J25" i="8"/>
  <c r="J28" i="8"/>
  <c r="J32" i="8"/>
  <c r="K25" i="8"/>
  <c r="K26" i="8"/>
  <c r="K29" i="8"/>
  <c r="L26" i="8"/>
  <c r="L27" i="8"/>
  <c r="L28" i="8"/>
  <c r="L30" i="8"/>
  <c r="L32" i="8"/>
  <c r="M27" i="8"/>
  <c r="M28" i="8"/>
  <c r="M31" i="8"/>
  <c r="N28" i="8"/>
  <c r="N29" i="8"/>
  <c r="N32" i="8"/>
  <c r="O29" i="8"/>
  <c r="O30" i="8"/>
  <c r="P30" i="8"/>
  <c r="P31" i="8"/>
  <c r="P32" i="8"/>
  <c r="Q31" i="8"/>
  <c r="Q32" i="8"/>
  <c r="R32" i="8"/>
  <c r="R33" i="8" s="1"/>
  <c r="D165" i="7"/>
  <c r="D168" i="7" s="1"/>
  <c r="E39" i="13"/>
  <c r="F22" i="8"/>
  <c r="F23" i="8"/>
  <c r="F24" i="8"/>
  <c r="F25" i="8"/>
  <c r="F26" i="8"/>
  <c r="F27" i="8"/>
  <c r="F28" i="8"/>
  <c r="F29" i="8"/>
  <c r="F30" i="8"/>
  <c r="F31" i="8"/>
  <c r="F32" i="8"/>
  <c r="E30" i="13"/>
  <c r="I123" i="4"/>
  <c r="E197" i="13"/>
  <c r="E184" i="13"/>
  <c r="E176" i="13"/>
  <c r="H204" i="5"/>
  <c r="F205" i="5"/>
  <c r="E205" i="5"/>
  <c r="H131" i="5"/>
  <c r="H142" i="5"/>
  <c r="H143" i="5" s="1"/>
  <c r="H160" i="5"/>
  <c r="G51" i="5"/>
  <c r="G99" i="5" s="1"/>
  <c r="F51" i="5"/>
  <c r="E51" i="5"/>
  <c r="F57" i="7"/>
  <c r="F56" i="7"/>
  <c r="F55" i="7"/>
  <c r="E54" i="7"/>
  <c r="F52" i="7"/>
  <c r="E136" i="7"/>
  <c r="A89" i="7"/>
  <c r="A90" i="7" s="1"/>
  <c r="B130" i="7"/>
  <c r="A13" i="7"/>
  <c r="A15" i="7" s="1"/>
  <c r="A17" i="7" s="1"/>
  <c r="A18" i="7" s="1"/>
  <c r="A19" i="7" s="1"/>
  <c r="A21" i="7" s="1"/>
  <c r="S4" i="15"/>
  <c r="S1" i="15"/>
  <c r="A2" i="15"/>
  <c r="A4" i="15"/>
  <c r="G261" i="5"/>
  <c r="G263" i="5" s="1"/>
  <c r="G224" i="5"/>
  <c r="H55" i="5"/>
  <c r="I76" i="4"/>
  <c r="D18" i="7"/>
  <c r="F29" i="4" s="1"/>
  <c r="F35" i="4" s="1"/>
  <c r="E41" i="4"/>
  <c r="F41" i="4"/>
  <c r="I57" i="4"/>
  <c r="I138" i="4"/>
  <c r="I201" i="4"/>
  <c r="I202" i="4"/>
  <c r="I228" i="4"/>
  <c r="H72" i="4"/>
  <c r="H106" i="4" s="1"/>
  <c r="I53" i="4"/>
  <c r="E205" i="3"/>
  <c r="E232" i="3"/>
  <c r="E150" i="5"/>
  <c r="F150" i="5"/>
  <c r="E153" i="5"/>
  <c r="F153" i="5"/>
  <c r="A163" i="7"/>
  <c r="A164" i="7" s="1"/>
  <c r="A165" i="7" s="1"/>
  <c r="A167" i="7" s="1"/>
  <c r="A168" i="7" s="1"/>
  <c r="A169" i="7" s="1"/>
  <c r="A170" i="7" s="1"/>
  <c r="A171" i="7" s="1"/>
  <c r="A173" i="7" s="1"/>
  <c r="A174" i="7" s="1"/>
  <c r="A175" i="7" s="1"/>
  <c r="A176" i="7" s="1"/>
  <c r="A177" i="7" s="1"/>
  <c r="D213" i="4"/>
  <c r="I213" i="4" s="1"/>
  <c r="I214" i="4"/>
  <c r="I215" i="4"/>
  <c r="E209" i="5"/>
  <c r="F209" i="5"/>
  <c r="E210" i="5"/>
  <c r="F210" i="5"/>
  <c r="E211" i="5"/>
  <c r="F211" i="5"/>
  <c r="E212" i="5"/>
  <c r="F212" i="5"/>
  <c r="C165" i="3"/>
  <c r="C174" i="3" s="1"/>
  <c r="C328" i="3" s="1"/>
  <c r="E165" i="3"/>
  <c r="F168" i="3"/>
  <c r="G1" i="13"/>
  <c r="A2" i="13"/>
  <c r="A4" i="13"/>
  <c r="A16" i="13"/>
  <c r="F17" i="4"/>
  <c r="F104" i="4" s="1"/>
  <c r="B30" i="13"/>
  <c r="I23" i="4"/>
  <c r="C30" i="3" s="1"/>
  <c r="B31" i="13"/>
  <c r="B35" i="13"/>
  <c r="B36" i="13"/>
  <c r="B37" i="13"/>
  <c r="B38" i="13"/>
  <c r="B39" i="13"/>
  <c r="B70" i="13" s="1"/>
  <c r="B46" i="13"/>
  <c r="B50" i="13"/>
  <c r="B51" i="13"/>
  <c r="B52" i="13"/>
  <c r="B53" i="13"/>
  <c r="B54" i="13"/>
  <c r="B85" i="13"/>
  <c r="B87" i="13"/>
  <c r="B90" i="13"/>
  <c r="B91" i="13"/>
  <c r="B92" i="13"/>
  <c r="G73" i="13"/>
  <c r="A74" i="13"/>
  <c r="A76" i="13"/>
  <c r="G76" i="13"/>
  <c r="B99" i="13"/>
  <c r="I68" i="4"/>
  <c r="I69" i="4"/>
  <c r="I70" i="4"/>
  <c r="B106" i="13"/>
  <c r="B113" i="13"/>
  <c r="I78" i="4"/>
  <c r="I79" i="4"/>
  <c r="I80" i="4"/>
  <c r="I81" i="4"/>
  <c r="B156" i="13"/>
  <c r="G163" i="13"/>
  <c r="A164" i="13"/>
  <c r="A166" i="13"/>
  <c r="G166" i="13"/>
  <c r="A177" i="13"/>
  <c r="B176" i="13"/>
  <c r="C176" i="13"/>
  <c r="B177" i="13"/>
  <c r="B184" i="13"/>
  <c r="B189" i="13"/>
  <c r="B191" i="13"/>
  <c r="B194" i="13"/>
  <c r="B195" i="13"/>
  <c r="B196" i="13"/>
  <c r="B197" i="13"/>
  <c r="B216" i="13"/>
  <c r="B218" i="13"/>
  <c r="B224" i="13"/>
  <c r="B225" i="13"/>
  <c r="B226" i="13"/>
  <c r="I144" i="4"/>
  <c r="G309" i="13"/>
  <c r="A310" i="13"/>
  <c r="A312" i="13"/>
  <c r="G312" i="13"/>
  <c r="B261" i="13"/>
  <c r="B264" i="13"/>
  <c r="B267" i="13"/>
  <c r="B268" i="13"/>
  <c r="I189" i="4"/>
  <c r="I190" i="4"/>
  <c r="B275" i="13"/>
  <c r="I203" i="4"/>
  <c r="B281" i="13"/>
  <c r="B287" i="13"/>
  <c r="B288" i="13"/>
  <c r="F68" i="7"/>
  <c r="E213" i="5"/>
  <c r="F213" i="5"/>
  <c r="B295" i="13"/>
  <c r="I227" i="4"/>
  <c r="I229" i="4"/>
  <c r="I230" i="4"/>
  <c r="I231" i="4"/>
  <c r="B301" i="13"/>
  <c r="B303" i="13"/>
  <c r="B304" i="13"/>
  <c r="I239" i="4"/>
  <c r="I240" i="4"/>
  <c r="I241" i="4"/>
  <c r="I242" i="4"/>
  <c r="I243" i="4"/>
  <c r="B322" i="13"/>
  <c r="I278" i="4"/>
  <c r="D443" i="19" s="1"/>
  <c r="G443" i="19" s="1"/>
  <c r="I279" i="4"/>
  <c r="D444" i="19" s="1"/>
  <c r="G444" i="19" s="1"/>
  <c r="B326" i="13"/>
  <c r="B331" i="13"/>
  <c r="B332" i="13"/>
  <c r="K19" i="2"/>
  <c r="F354" i="3" s="1"/>
  <c r="K21" i="2"/>
  <c r="F355" i="3" s="1"/>
  <c r="K24" i="2"/>
  <c r="S4" i="8"/>
  <c r="A5" i="8"/>
  <c r="A7" i="8"/>
  <c r="S7" i="8"/>
  <c r="A16" i="8"/>
  <c r="A18" i="8" s="1"/>
  <c r="A19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D33" i="8"/>
  <c r="S36" i="8"/>
  <c r="A37" i="8"/>
  <c r="A39" i="8"/>
  <c r="S39" i="8"/>
  <c r="A48" i="8"/>
  <c r="A50" i="8" s="1"/>
  <c r="A51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R50" i="8"/>
  <c r="D65" i="8"/>
  <c r="F1" i="7"/>
  <c r="A2" i="7"/>
  <c r="A4" i="7"/>
  <c r="F4" i="7"/>
  <c r="F22" i="7"/>
  <c r="F24" i="7"/>
  <c r="F25" i="7"/>
  <c r="F26" i="7"/>
  <c r="F27" i="7"/>
  <c r="F34" i="7"/>
  <c r="F61" i="7"/>
  <c r="F64" i="7"/>
  <c r="F65" i="7"/>
  <c r="F66" i="7"/>
  <c r="F67" i="7"/>
  <c r="F75" i="7"/>
  <c r="A76" i="7"/>
  <c r="A78" i="7"/>
  <c r="F78" i="7"/>
  <c r="B111" i="7"/>
  <c r="B117" i="7"/>
  <c r="C117" i="7"/>
  <c r="D117" i="7"/>
  <c r="F133" i="7"/>
  <c r="F134" i="7"/>
  <c r="F135" i="7"/>
  <c r="B136" i="7"/>
  <c r="C136" i="7"/>
  <c r="D136" i="7"/>
  <c r="F139" i="7"/>
  <c r="F140" i="7"/>
  <c r="F141" i="7"/>
  <c r="F142" i="7"/>
  <c r="F143" i="7"/>
  <c r="B144" i="7"/>
  <c r="C144" i="7"/>
  <c r="D144" i="7"/>
  <c r="E144" i="7"/>
  <c r="F151" i="7"/>
  <c r="A152" i="7"/>
  <c r="A154" i="7"/>
  <c r="F154" i="7"/>
  <c r="H1" i="5"/>
  <c r="A2" i="5"/>
  <c r="A4" i="5"/>
  <c r="H4" i="5"/>
  <c r="A15" i="5"/>
  <c r="B136" i="5"/>
  <c r="B139" i="5"/>
  <c r="H167" i="5"/>
  <c r="A168" i="5"/>
  <c r="A170" i="5"/>
  <c r="H170" i="5"/>
  <c r="B191" i="5"/>
  <c r="D205" i="5"/>
  <c r="G214" i="5"/>
  <c r="H233" i="5"/>
  <c r="A234" i="5"/>
  <c r="A250" i="5" s="1"/>
  <c r="A251" i="5" s="1"/>
  <c r="A252" i="5" s="1"/>
  <c r="A253" i="5" s="1"/>
  <c r="A255" i="5" s="1"/>
  <c r="A257" i="5" s="1"/>
  <c r="A236" i="5"/>
  <c r="H236" i="5"/>
  <c r="D224" i="5"/>
  <c r="E224" i="5"/>
  <c r="F224" i="5"/>
  <c r="D230" i="5"/>
  <c r="E230" i="5"/>
  <c r="F230" i="5"/>
  <c r="G230" i="5"/>
  <c r="H258" i="5"/>
  <c r="E451" i="19" s="1"/>
  <c r="H259" i="5"/>
  <c r="E452" i="19" s="1"/>
  <c r="D261" i="5"/>
  <c r="D263" i="5" s="1"/>
  <c r="E261" i="5"/>
  <c r="E263" i="5" s="1"/>
  <c r="F261" i="5"/>
  <c r="F263" i="5" s="1"/>
  <c r="I1" i="4"/>
  <c r="A2" i="4"/>
  <c r="A264" i="4" s="1"/>
  <c r="A4" i="4"/>
  <c r="A266" i="4" s="1"/>
  <c r="I4" i="4"/>
  <c r="A15" i="4"/>
  <c r="A17" i="4" s="1"/>
  <c r="A19" i="4" s="1"/>
  <c r="A21" i="4" s="1"/>
  <c r="A23" i="4" s="1"/>
  <c r="A25" i="4" s="1"/>
  <c r="C72" i="4"/>
  <c r="C106" i="4" s="1"/>
  <c r="E72" i="4"/>
  <c r="F72" i="4"/>
  <c r="C83" i="4"/>
  <c r="C108" i="4" s="1"/>
  <c r="E83" i="4"/>
  <c r="E108" i="4" s="1"/>
  <c r="F83" i="4"/>
  <c r="F108" i="4" s="1"/>
  <c r="H83" i="4"/>
  <c r="H108" i="4" s="1"/>
  <c r="B171" i="4"/>
  <c r="E173" i="4"/>
  <c r="F173" i="4"/>
  <c r="H173" i="4"/>
  <c r="B191" i="4"/>
  <c r="D193" i="4"/>
  <c r="E193" i="4"/>
  <c r="F193" i="4"/>
  <c r="H193" i="4"/>
  <c r="B205" i="4"/>
  <c r="D207" i="4"/>
  <c r="E207" i="4"/>
  <c r="F207" i="4"/>
  <c r="H207" i="4"/>
  <c r="E219" i="4"/>
  <c r="F219" i="4"/>
  <c r="H219" i="4"/>
  <c r="I175" i="4"/>
  <c r="I178" i="4"/>
  <c r="D232" i="4"/>
  <c r="D235" i="4" s="1"/>
  <c r="E232" i="4"/>
  <c r="E235" i="4" s="1"/>
  <c r="F232" i="4"/>
  <c r="F235" i="4" s="1"/>
  <c r="H232" i="4"/>
  <c r="H235" i="4" s="1"/>
  <c r="B233" i="4"/>
  <c r="D244" i="4"/>
  <c r="D247" i="4" s="1"/>
  <c r="E244" i="4"/>
  <c r="E247" i="4" s="1"/>
  <c r="F244" i="4"/>
  <c r="F247" i="4" s="1"/>
  <c r="H244" i="4"/>
  <c r="H247" i="4" s="1"/>
  <c r="D280" i="4"/>
  <c r="D283" i="4" s="1"/>
  <c r="D285" i="4" s="1"/>
  <c r="E280" i="4"/>
  <c r="E283" i="4" s="1"/>
  <c r="E285" i="4" s="1"/>
  <c r="F280" i="4"/>
  <c r="F283" i="4" s="1"/>
  <c r="F285" i="4" s="1"/>
  <c r="H280" i="4"/>
  <c r="H283" i="4" s="1"/>
  <c r="H285" i="4" s="1"/>
  <c r="E67" i="3"/>
  <c r="A16" i="3"/>
  <c r="E30" i="3"/>
  <c r="G72" i="3"/>
  <c r="A73" i="3"/>
  <c r="A75" i="3"/>
  <c r="G75" i="3"/>
  <c r="B133" i="3"/>
  <c r="B134" i="3"/>
  <c r="B146" i="3"/>
  <c r="G218" i="3"/>
  <c r="A219" i="3"/>
  <c r="A221" i="3"/>
  <c r="G221" i="3"/>
  <c r="B172" i="3"/>
  <c r="E179" i="3"/>
  <c r="G293" i="3"/>
  <c r="A294" i="3"/>
  <c r="A296" i="3"/>
  <c r="G296" i="3"/>
  <c r="B212" i="3"/>
  <c r="B213" i="3"/>
  <c r="B214" i="3"/>
  <c r="B251" i="3"/>
  <c r="B254" i="3"/>
  <c r="B255" i="3"/>
  <c r="B261" i="3"/>
  <c r="B267" i="3"/>
  <c r="B273" i="3"/>
  <c r="B274" i="3"/>
  <c r="B280" i="3"/>
  <c r="B287" i="3"/>
  <c r="B289" i="3"/>
  <c r="B290" i="3"/>
  <c r="B306" i="3"/>
  <c r="B311" i="3"/>
  <c r="B316" i="3"/>
  <c r="B317" i="3"/>
  <c r="A1" i="2"/>
  <c r="K1" i="2"/>
  <c r="A3" i="2"/>
  <c r="K3" i="2"/>
  <c r="A13" i="2"/>
  <c r="A14" i="2" s="1"/>
  <c r="K15" i="2"/>
  <c r="D65" i="2" s="1"/>
  <c r="J65" i="2" s="1"/>
  <c r="D16" i="2"/>
  <c r="H26" i="2"/>
  <c r="K22" i="2"/>
  <c r="F356" i="3" s="1"/>
  <c r="K25" i="2"/>
  <c r="F359" i="3" s="1"/>
  <c r="E37" i="2"/>
  <c r="F37" i="2"/>
  <c r="G37" i="2"/>
  <c r="H37" i="2"/>
  <c r="E45" i="2"/>
  <c r="F45" i="2"/>
  <c r="G45" i="2"/>
  <c r="H45" i="2"/>
  <c r="A50" i="2"/>
  <c r="K50" i="2"/>
  <c r="A52" i="2"/>
  <c r="K52" i="2"/>
  <c r="A63" i="2"/>
  <c r="A64" i="2" s="1"/>
  <c r="C71" i="2"/>
  <c r="H76" i="2"/>
  <c r="D85" i="2"/>
  <c r="D86" i="2"/>
  <c r="E87" i="2"/>
  <c r="F87" i="2"/>
  <c r="G87" i="2"/>
  <c r="H87" i="2"/>
  <c r="D94" i="2"/>
  <c r="E95" i="2"/>
  <c r="F95" i="2"/>
  <c r="G95" i="2"/>
  <c r="H95" i="2"/>
  <c r="A1" i="1"/>
  <c r="G1" i="1"/>
  <c r="A3" i="1"/>
  <c r="G3" i="1"/>
  <c r="A15" i="1"/>
  <c r="A17" i="1" s="1"/>
  <c r="A19" i="1" s="1"/>
  <c r="A21" i="1" s="1"/>
  <c r="A23" i="1" s="1"/>
  <c r="A62" i="1"/>
  <c r="G62" i="1"/>
  <c r="A64" i="1"/>
  <c r="G64" i="1"/>
  <c r="C51" i="5"/>
  <c r="C99" i="5" s="1"/>
  <c r="D286" i="5" s="1"/>
  <c r="H260" i="5"/>
  <c r="F325" i="3" l="1"/>
  <c r="F148" i="19"/>
  <c r="F156" i="5"/>
  <c r="F270" i="5" s="1"/>
  <c r="G270" i="5"/>
  <c r="H132" i="5"/>
  <c r="D227" i="13"/>
  <c r="D229" i="13" s="1"/>
  <c r="F30" i="3"/>
  <c r="F34" i="3" s="1"/>
  <c r="F35" i="3" s="1"/>
  <c r="F36" i="3" s="1"/>
  <c r="C294" i="4"/>
  <c r="E21" i="19"/>
  <c r="E41" i="19" s="1"/>
  <c r="G272" i="5"/>
  <c r="D38" i="19"/>
  <c r="F292" i="4"/>
  <c r="E292" i="4"/>
  <c r="I131" i="4"/>
  <c r="D19" i="19"/>
  <c r="D39" i="19" s="1"/>
  <c r="H292" i="4"/>
  <c r="E156" i="5"/>
  <c r="E270" i="5" s="1"/>
  <c r="F294" i="4"/>
  <c r="E294" i="4"/>
  <c r="H294" i="4"/>
  <c r="I145" i="4"/>
  <c r="E47" i="4"/>
  <c r="F47" i="4"/>
  <c r="F106" i="4"/>
  <c r="C86" i="13"/>
  <c r="F89" i="13" s="1"/>
  <c r="D437" i="19"/>
  <c r="D435" i="19"/>
  <c r="D439" i="19"/>
  <c r="D402" i="19"/>
  <c r="G402" i="19" s="1"/>
  <c r="E123" i="13"/>
  <c r="F123" i="13" s="1"/>
  <c r="E124" i="13"/>
  <c r="D438" i="19"/>
  <c r="E24" i="3"/>
  <c r="E117" i="3"/>
  <c r="C269" i="13"/>
  <c r="D401" i="19"/>
  <c r="D16" i="19"/>
  <c r="D36" i="19" s="1"/>
  <c r="D400" i="19"/>
  <c r="D399" i="19"/>
  <c r="D333" i="13"/>
  <c r="D318" i="3"/>
  <c r="C300" i="13"/>
  <c r="F300" i="13" s="1"/>
  <c r="C284" i="3"/>
  <c r="F284" i="3" s="1"/>
  <c r="C299" i="13"/>
  <c r="F299" i="13" s="1"/>
  <c r="C333" i="13"/>
  <c r="C318" i="3"/>
  <c r="C305" i="13"/>
  <c r="C179" i="3"/>
  <c r="C187" i="3" s="1"/>
  <c r="F176" i="13"/>
  <c r="D75" i="2"/>
  <c r="D287" i="5"/>
  <c r="E287" i="5" s="1"/>
  <c r="C227" i="13"/>
  <c r="C298" i="13"/>
  <c r="F298" i="13" s="1"/>
  <c r="C296" i="13"/>
  <c r="C297" i="13"/>
  <c r="F297" i="13" s="1"/>
  <c r="C278" i="13"/>
  <c r="F278" i="13" s="1"/>
  <c r="C264" i="3"/>
  <c r="F264" i="3" s="1"/>
  <c r="C105" i="13"/>
  <c r="F105" i="13" s="1"/>
  <c r="C104" i="13"/>
  <c r="F104" i="13" s="1"/>
  <c r="C103" i="13"/>
  <c r="F103" i="13" s="1"/>
  <c r="C102" i="13"/>
  <c r="F102" i="13" s="1"/>
  <c r="D305" i="13"/>
  <c r="D215" i="3"/>
  <c r="A178" i="4"/>
  <c r="A91" i="4"/>
  <c r="A89" i="4"/>
  <c r="A176" i="4"/>
  <c r="C307" i="3"/>
  <c r="F307" i="3" s="1"/>
  <c r="D442" i="19"/>
  <c r="G442" i="19" s="1"/>
  <c r="C277" i="13"/>
  <c r="F277" i="13" s="1"/>
  <c r="C276" i="13"/>
  <c r="A25" i="1"/>
  <c r="A27" i="1" s="1"/>
  <c r="A65" i="2"/>
  <c r="A66" i="2" s="1"/>
  <c r="A68" i="2" s="1"/>
  <c r="A69" i="2" s="1"/>
  <c r="A70" i="2" s="1"/>
  <c r="E47" i="2"/>
  <c r="H47" i="2"/>
  <c r="F47" i="2"/>
  <c r="A15" i="2"/>
  <c r="A16" i="2" s="1"/>
  <c r="A18" i="2" s="1"/>
  <c r="A19" i="2" s="1"/>
  <c r="A20" i="2" s="1"/>
  <c r="D69" i="2"/>
  <c r="J69" i="2" s="1"/>
  <c r="D72" i="2"/>
  <c r="J72" i="2" s="1"/>
  <c r="C282" i="3"/>
  <c r="F282" i="3" s="1"/>
  <c r="I59" i="4"/>
  <c r="D436" i="19" s="1"/>
  <c r="C256" i="3"/>
  <c r="C291" i="3"/>
  <c r="C101" i="3"/>
  <c r="F101" i="3" s="1"/>
  <c r="H85" i="4"/>
  <c r="C283" i="3"/>
  <c r="F283" i="3" s="1"/>
  <c r="C263" i="3"/>
  <c r="F263" i="3" s="1"/>
  <c r="C281" i="3"/>
  <c r="C103" i="3"/>
  <c r="C85" i="3"/>
  <c r="F85" i="3" s="1"/>
  <c r="C262" i="3"/>
  <c r="C308" i="3"/>
  <c r="F308" i="3" s="1"/>
  <c r="C309" i="3"/>
  <c r="F309" i="3" s="1"/>
  <c r="C285" i="3"/>
  <c r="C102" i="3"/>
  <c r="C215" i="3"/>
  <c r="C100" i="3"/>
  <c r="F100" i="3" s="1"/>
  <c r="A22" i="7"/>
  <c r="A23" i="7" s="1"/>
  <c r="A24" i="7" s="1"/>
  <c r="A25" i="7" s="1"/>
  <c r="A26" i="7" s="1"/>
  <c r="A27" i="7" s="1"/>
  <c r="A29" i="7" s="1"/>
  <c r="A30" i="7" s="1"/>
  <c r="A31" i="7" s="1"/>
  <c r="A33" i="7" s="1"/>
  <c r="A34" i="7" s="1"/>
  <c r="A35" i="7" s="1"/>
  <c r="A36" i="7" s="1"/>
  <c r="A38" i="7" s="1"/>
  <c r="A39" i="7" s="1"/>
  <c r="A40" i="7" s="1"/>
  <c r="A41" i="7" s="1"/>
  <c r="A42" i="7" s="1"/>
  <c r="A43" i="7" s="1"/>
  <c r="A45" i="7" s="1"/>
  <c r="A47" i="7" s="1"/>
  <c r="A48" i="7" s="1"/>
  <c r="A49" i="7" s="1"/>
  <c r="A51" i="7" s="1"/>
  <c r="A52" i="7" s="1"/>
  <c r="A53" i="7" s="1"/>
  <c r="A54" i="7" s="1"/>
  <c r="A55" i="7" s="1"/>
  <c r="A56" i="7" s="1"/>
  <c r="A57" i="7" s="1"/>
  <c r="A59" i="7" s="1"/>
  <c r="D73" i="7"/>
  <c r="A91" i="7"/>
  <c r="A93" i="7" s="1"/>
  <c r="A95" i="7" s="1"/>
  <c r="A96" i="7" s="1"/>
  <c r="A97" i="7" s="1"/>
  <c r="A98" i="7" s="1"/>
  <c r="G232" i="5"/>
  <c r="F36" i="7"/>
  <c r="H212" i="5"/>
  <c r="H211" i="5"/>
  <c r="E214" i="5"/>
  <c r="E216" i="5" s="1"/>
  <c r="F214" i="5"/>
  <c r="F216" i="5" s="1"/>
  <c r="H210" i="5"/>
  <c r="H209" i="5"/>
  <c r="D329" i="13"/>
  <c r="D313" i="3"/>
  <c r="E216" i="3"/>
  <c r="E243" i="3" s="1"/>
  <c r="E126" i="1"/>
  <c r="F385" i="13"/>
  <c r="G126" i="1" s="1"/>
  <c r="E116" i="1"/>
  <c r="F380" i="13"/>
  <c r="G116" i="1" s="1"/>
  <c r="E118" i="1"/>
  <c r="F381" i="13"/>
  <c r="G118" i="1" s="1"/>
  <c r="E120" i="1"/>
  <c r="F382" i="13"/>
  <c r="G120" i="1" s="1"/>
  <c r="D74" i="2"/>
  <c r="J74" i="2" s="1"/>
  <c r="F358" i="3"/>
  <c r="D153" i="4"/>
  <c r="E73" i="7"/>
  <c r="O63" i="8"/>
  <c r="G61" i="8"/>
  <c r="G59" i="8"/>
  <c r="H64" i="8"/>
  <c r="I61" i="8"/>
  <c r="I63" i="8"/>
  <c r="K63" i="8"/>
  <c r="N64" i="8"/>
  <c r="N62" i="8"/>
  <c r="M63" i="8"/>
  <c r="M61" i="8"/>
  <c r="L62" i="8"/>
  <c r="K61" i="8"/>
  <c r="K59" i="8"/>
  <c r="J64" i="8"/>
  <c r="J58" i="8"/>
  <c r="J62" i="8"/>
  <c r="J60" i="8"/>
  <c r="I57" i="8"/>
  <c r="I59" i="8"/>
  <c r="H62" i="8"/>
  <c r="H58" i="8"/>
  <c r="G57" i="8"/>
  <c r="G63" i="8"/>
  <c r="G55" i="8"/>
  <c r="S55" i="8" s="1"/>
  <c r="C325" i="13"/>
  <c r="F325" i="13" s="1"/>
  <c r="C324" i="13"/>
  <c r="F324" i="13" s="1"/>
  <c r="G59" i="19" s="1"/>
  <c r="C190" i="13"/>
  <c r="C323" i="13"/>
  <c r="C30" i="13"/>
  <c r="F30" i="13" s="1"/>
  <c r="F97" i="2"/>
  <c r="G97" i="2"/>
  <c r="E97" i="2"/>
  <c r="G47" i="2"/>
  <c r="H97" i="2"/>
  <c r="C53" i="1"/>
  <c r="C90" i="1" s="1"/>
  <c r="E38" i="13"/>
  <c r="E24" i="13"/>
  <c r="A178" i="13"/>
  <c r="A17" i="13"/>
  <c r="E53" i="13"/>
  <c r="A17" i="5"/>
  <c r="A19" i="5" s="1"/>
  <c r="I232" i="4"/>
  <c r="I235" i="4" s="1"/>
  <c r="H249" i="4"/>
  <c r="E221" i="4"/>
  <c r="F221" i="4"/>
  <c r="I244" i="4"/>
  <c r="I247" i="4" s="1"/>
  <c r="E195" i="4"/>
  <c r="I280" i="4"/>
  <c r="I283" i="4" s="1"/>
  <c r="I193" i="4"/>
  <c r="F195" i="4"/>
  <c r="E85" i="4"/>
  <c r="F85" i="4"/>
  <c r="D249" i="4"/>
  <c r="E249" i="4"/>
  <c r="F249" i="4"/>
  <c r="F136" i="7"/>
  <c r="F144" i="7"/>
  <c r="F54" i="7"/>
  <c r="I217" i="4"/>
  <c r="D219" i="4"/>
  <c r="F23" i="7"/>
  <c r="D17" i="19"/>
  <c r="D37" i="19" s="1"/>
  <c r="D137" i="4"/>
  <c r="I45" i="4"/>
  <c r="F49" i="7"/>
  <c r="I41" i="4"/>
  <c r="F19" i="7"/>
  <c r="F114" i="7"/>
  <c r="D77" i="4"/>
  <c r="D83" i="4" s="1"/>
  <c r="D108" i="4" s="1"/>
  <c r="F53" i="7"/>
  <c r="D51" i="5"/>
  <c r="I33" i="4"/>
  <c r="I159" i="4"/>
  <c r="I161" i="4" s="1"/>
  <c r="F31" i="7"/>
  <c r="F174" i="7"/>
  <c r="F177" i="7" s="1"/>
  <c r="D96" i="7" s="1"/>
  <c r="F26" i="5" s="1"/>
  <c r="F32" i="5" s="1"/>
  <c r="D171" i="7"/>
  <c r="D90" i="7" s="1"/>
  <c r="D177" i="7"/>
  <c r="D72" i="4"/>
  <c r="D106" i="4" s="1"/>
  <c r="I65" i="4"/>
  <c r="I169" i="4"/>
  <c r="O31" i="8"/>
  <c r="N30" i="8"/>
  <c r="M29" i="8"/>
  <c r="K31" i="8"/>
  <c r="K27" i="8"/>
  <c r="J30" i="8"/>
  <c r="J26" i="8"/>
  <c r="I29" i="8"/>
  <c r="I25" i="8"/>
  <c r="G31" i="8"/>
  <c r="G27" i="8"/>
  <c r="G23" i="8"/>
  <c r="S23" i="8" s="1"/>
  <c r="P64" i="8"/>
  <c r="P65" i="8" s="1"/>
  <c r="L64" i="8"/>
  <c r="L60" i="8"/>
  <c r="H60" i="8"/>
  <c r="H56" i="8"/>
  <c r="Q65" i="8"/>
  <c r="F65" i="8"/>
  <c r="C18" i="7" s="1"/>
  <c r="O64" i="8"/>
  <c r="N63" i="8"/>
  <c r="M64" i="8"/>
  <c r="M62" i="8"/>
  <c r="L63" i="8"/>
  <c r="L61" i="8"/>
  <c r="K64" i="8"/>
  <c r="K62" i="8"/>
  <c r="K60" i="8"/>
  <c r="J63" i="8"/>
  <c r="J61" i="8"/>
  <c r="J59" i="8"/>
  <c r="I64" i="8"/>
  <c r="I62" i="8"/>
  <c r="I60" i="8"/>
  <c r="I58" i="8"/>
  <c r="S54" i="8"/>
  <c r="H63" i="8"/>
  <c r="H61" i="8"/>
  <c r="H59" i="8"/>
  <c r="H57" i="8"/>
  <c r="S53" i="8"/>
  <c r="G64" i="8"/>
  <c r="G62" i="8"/>
  <c r="G60" i="8"/>
  <c r="G58" i="8"/>
  <c r="G56" i="8"/>
  <c r="Q33" i="8"/>
  <c r="P33" i="8"/>
  <c r="F33" i="8"/>
  <c r="C13" i="7" s="1"/>
  <c r="O32" i="8"/>
  <c r="N31" i="8"/>
  <c r="M32" i="8"/>
  <c r="M30" i="8"/>
  <c r="L31" i="8"/>
  <c r="L29" i="8"/>
  <c r="K32" i="8"/>
  <c r="K30" i="8"/>
  <c r="K28" i="8"/>
  <c r="J31" i="8"/>
  <c r="J29" i="8"/>
  <c r="J27" i="8"/>
  <c r="I32" i="8"/>
  <c r="I30" i="8"/>
  <c r="I28" i="8"/>
  <c r="I26" i="8"/>
  <c r="H31" i="8"/>
  <c r="H29" i="8"/>
  <c r="H27" i="8"/>
  <c r="H25" i="8"/>
  <c r="S25" i="8" s="1"/>
  <c r="S22" i="8"/>
  <c r="S21" i="8"/>
  <c r="G32" i="8"/>
  <c r="G30" i="8"/>
  <c r="G28" i="8"/>
  <c r="G26" i="8"/>
  <c r="G24" i="8"/>
  <c r="S24" i="8" s="1"/>
  <c r="F194" i="5"/>
  <c r="H228" i="5"/>
  <c r="D314" i="3"/>
  <c r="C232" i="5"/>
  <c r="D232" i="5"/>
  <c r="G194" i="5"/>
  <c r="D328" i="13"/>
  <c r="E232" i="5"/>
  <c r="H257" i="5"/>
  <c r="E450" i="19" s="1"/>
  <c r="H190" i="5"/>
  <c r="H192" i="5" s="1"/>
  <c r="H56" i="5"/>
  <c r="F232" i="5"/>
  <c r="E194" i="5"/>
  <c r="G216" i="5"/>
  <c r="H201" i="5"/>
  <c r="H50" i="5"/>
  <c r="H221" i="4"/>
  <c r="I207" i="4"/>
  <c r="H195" i="4"/>
  <c r="C185" i="13"/>
  <c r="C346" i="13" s="1"/>
  <c r="C249" i="4"/>
  <c r="C85" i="4"/>
  <c r="F165" i="3"/>
  <c r="E228" i="13"/>
  <c r="E256" i="13" s="1"/>
  <c r="E116" i="3"/>
  <c r="F116" i="3" s="1"/>
  <c r="E52" i="3"/>
  <c r="E37" i="3"/>
  <c r="D71" i="2"/>
  <c r="J71" i="2" s="1"/>
  <c r="K23" i="2"/>
  <c r="A17" i="3"/>
  <c r="C39" i="3"/>
  <c r="C19" i="1" s="1"/>
  <c r="H202" i="5"/>
  <c r="F151" i="13" l="1"/>
  <c r="H54" i="19"/>
  <c r="G54" i="19" s="1"/>
  <c r="F86" i="13"/>
  <c r="C307" i="13"/>
  <c r="C335" i="13"/>
  <c r="F334" i="13"/>
  <c r="H60" i="19" s="1"/>
  <c r="C73" i="7"/>
  <c r="E29" i="4"/>
  <c r="E35" i="4" s="1"/>
  <c r="F170" i="3"/>
  <c r="F171" i="3" s="1"/>
  <c r="F323" i="3"/>
  <c r="C57" i="1"/>
  <c r="F190" i="13"/>
  <c r="C198" i="13"/>
  <c r="E272" i="5"/>
  <c r="E274" i="5" s="1"/>
  <c r="F272" i="5"/>
  <c r="F274" i="5" s="1"/>
  <c r="F99" i="5"/>
  <c r="D221" i="4"/>
  <c r="D294" i="4"/>
  <c r="I153" i="4"/>
  <c r="I155" i="4" s="1"/>
  <c r="I163" i="4" s="1"/>
  <c r="D22" i="19" s="1"/>
  <c r="D42" i="19" s="1"/>
  <c r="D155" i="4"/>
  <c r="D163" i="4" s="1"/>
  <c r="I137" i="4"/>
  <c r="I139" i="4" s="1"/>
  <c r="D139" i="4"/>
  <c r="I47" i="4"/>
  <c r="D14" i="19" s="1"/>
  <c r="D34" i="19" s="1"/>
  <c r="F323" i="13"/>
  <c r="F296" i="13"/>
  <c r="E407" i="19"/>
  <c r="E408" i="19"/>
  <c r="D379" i="19"/>
  <c r="G379" i="19" s="1"/>
  <c r="S57" i="8"/>
  <c r="H400" i="19"/>
  <c r="D98" i="7"/>
  <c r="A60" i="7"/>
  <c r="A61" i="7" s="1"/>
  <c r="A63" i="7" s="1"/>
  <c r="A64" i="7" s="1"/>
  <c r="A65" i="7" s="1"/>
  <c r="A66" i="7" s="1"/>
  <c r="A67" i="7" s="1"/>
  <c r="A68" i="7" s="1"/>
  <c r="A70" i="7" s="1"/>
  <c r="A73" i="7" s="1"/>
  <c r="I285" i="4"/>
  <c r="D26" i="19" s="1"/>
  <c r="D46" i="19" s="1"/>
  <c r="F179" i="3"/>
  <c r="F276" i="13"/>
  <c r="F280" i="13" s="1"/>
  <c r="C280" i="13"/>
  <c r="F310" i="3"/>
  <c r="F313" i="3"/>
  <c r="H451" i="19" s="1"/>
  <c r="C310" i="3"/>
  <c r="C319" i="3" s="1"/>
  <c r="F314" i="3"/>
  <c r="H452" i="19" s="1"/>
  <c r="H443" i="19"/>
  <c r="K443" i="19" s="1"/>
  <c r="H442" i="19"/>
  <c r="K442" i="19" s="1"/>
  <c r="H444" i="19"/>
  <c r="K444" i="19" s="1"/>
  <c r="G439" i="19"/>
  <c r="F285" i="3"/>
  <c r="H439" i="19" s="1"/>
  <c r="C286" i="3"/>
  <c r="C292" i="3" s="1"/>
  <c r="F281" i="3"/>
  <c r="H435" i="19" s="1"/>
  <c r="C266" i="3"/>
  <c r="F262" i="3"/>
  <c r="F102" i="3"/>
  <c r="F103" i="3"/>
  <c r="E286" i="5"/>
  <c r="D307" i="4"/>
  <c r="C98" i="3"/>
  <c r="F98" i="3" s="1"/>
  <c r="C100" i="13"/>
  <c r="D88" i="13"/>
  <c r="D87" i="3"/>
  <c r="F87" i="3" s="1"/>
  <c r="F88" i="3" s="1"/>
  <c r="C60" i="13"/>
  <c r="C275" i="3"/>
  <c r="C276" i="3" s="1"/>
  <c r="C289" i="13"/>
  <c r="C291" i="13" s="1"/>
  <c r="C363" i="13" s="1"/>
  <c r="D284" i="13"/>
  <c r="D270" i="3"/>
  <c r="F270" i="3" s="1"/>
  <c r="H408" i="19" s="1"/>
  <c r="D285" i="13"/>
  <c r="D271" i="3"/>
  <c r="C249" i="3"/>
  <c r="C262" i="13"/>
  <c r="D283" i="13"/>
  <c r="D269" i="3"/>
  <c r="F269" i="3" s="1"/>
  <c r="H407" i="19" s="1"/>
  <c r="A29" i="1"/>
  <c r="A31" i="1" s="1"/>
  <c r="A71" i="2"/>
  <c r="A72" i="2" s="1"/>
  <c r="A73" i="2" s="1"/>
  <c r="A21" i="2"/>
  <c r="A22" i="2" s="1"/>
  <c r="A23" i="2" s="1"/>
  <c r="A24" i="2" s="1"/>
  <c r="A25" i="2" s="1"/>
  <c r="A26" i="2" s="1"/>
  <c r="A28" i="2" s="1"/>
  <c r="A30" i="2" s="1"/>
  <c r="A32" i="2" s="1"/>
  <c r="A33" i="2" s="1"/>
  <c r="A34" i="2" s="1"/>
  <c r="A35" i="2" s="1"/>
  <c r="A36" i="2" s="1"/>
  <c r="A37" i="2" s="1"/>
  <c r="A39" i="2" s="1"/>
  <c r="A41" i="2" s="1"/>
  <c r="A42" i="2" s="1"/>
  <c r="A43" i="2" s="1"/>
  <c r="A44" i="2" s="1"/>
  <c r="A45" i="2" s="1"/>
  <c r="A47" i="2" s="1"/>
  <c r="C59" i="3"/>
  <c r="F59" i="3" s="1"/>
  <c r="F110" i="4"/>
  <c r="H437" i="19"/>
  <c r="G437" i="19"/>
  <c r="H438" i="19"/>
  <c r="G438" i="19"/>
  <c r="H436" i="19"/>
  <c r="G436" i="19"/>
  <c r="G435" i="19"/>
  <c r="G400" i="19"/>
  <c r="G399" i="19"/>
  <c r="G401" i="19"/>
  <c r="L33" i="8"/>
  <c r="N65" i="8"/>
  <c r="O65" i="8"/>
  <c r="A179" i="13"/>
  <c r="A18" i="13"/>
  <c r="A18" i="3"/>
  <c r="F126" i="1"/>
  <c r="A20" i="5"/>
  <c r="A22" i="5" s="1"/>
  <c r="F120" i="1"/>
  <c r="F116" i="1"/>
  <c r="F118" i="1"/>
  <c r="E124" i="1"/>
  <c r="F384" i="13"/>
  <c r="G124" i="1" s="1"/>
  <c r="C40" i="13"/>
  <c r="F124" i="7"/>
  <c r="D67" i="5" s="1"/>
  <c r="E125" i="7"/>
  <c r="D91" i="7"/>
  <c r="D149" i="7" s="1"/>
  <c r="S32" i="8"/>
  <c r="O33" i="8"/>
  <c r="N33" i="8"/>
  <c r="F116" i="7"/>
  <c r="D184" i="5" s="1"/>
  <c r="H184" i="5" s="1"/>
  <c r="I249" i="4"/>
  <c r="D170" i="4"/>
  <c r="F35" i="7"/>
  <c r="S56" i="8"/>
  <c r="S63" i="8"/>
  <c r="S64" i="8"/>
  <c r="S60" i="8"/>
  <c r="S61" i="8"/>
  <c r="J65" i="8"/>
  <c r="S28" i="8"/>
  <c r="S26" i="8"/>
  <c r="S31" i="8"/>
  <c r="J33" i="8"/>
  <c r="S27" i="8"/>
  <c r="H261" i="5"/>
  <c r="H263" i="5" s="1"/>
  <c r="E26" i="19" s="1"/>
  <c r="E46" i="19" s="1"/>
  <c r="I72" i="4"/>
  <c r="H230" i="5"/>
  <c r="C110" i="4"/>
  <c r="I219" i="4"/>
  <c r="G274" i="5"/>
  <c r="D37" i="2"/>
  <c r="C103" i="5"/>
  <c r="G103" i="5"/>
  <c r="F18" i="7"/>
  <c r="E17" i="4"/>
  <c r="E104" i="4" s="1"/>
  <c r="I77" i="4"/>
  <c r="D15" i="19" s="1"/>
  <c r="D35" i="19" s="1"/>
  <c r="D42" i="5"/>
  <c r="D101" i="5" s="1"/>
  <c r="H150" i="5"/>
  <c r="D247" i="13" s="1"/>
  <c r="D256" i="13" s="1"/>
  <c r="F256" i="13" s="1"/>
  <c r="D85" i="4"/>
  <c r="F14" i="5"/>
  <c r="F15" i="5" s="1"/>
  <c r="F97" i="5" s="1"/>
  <c r="M33" i="8"/>
  <c r="I65" i="8"/>
  <c r="M65" i="8"/>
  <c r="L65" i="8"/>
  <c r="S62" i="8"/>
  <c r="K65" i="8"/>
  <c r="S58" i="8"/>
  <c r="S59" i="8"/>
  <c r="H65" i="8"/>
  <c r="G65" i="8"/>
  <c r="S30" i="8"/>
  <c r="K33" i="8"/>
  <c r="I33" i="8"/>
  <c r="F13" i="7"/>
  <c r="F73" i="7" s="1"/>
  <c r="S29" i="8"/>
  <c r="H33" i="8"/>
  <c r="G33" i="8"/>
  <c r="D45" i="2"/>
  <c r="C274" i="5"/>
  <c r="D288" i="5" s="1"/>
  <c r="D327" i="13"/>
  <c r="D312" i="3"/>
  <c r="F312" i="3" s="1"/>
  <c r="H110" i="4"/>
  <c r="F357" i="3"/>
  <c r="F383" i="13" s="1"/>
  <c r="D73" i="2"/>
  <c r="J73" i="2" s="1"/>
  <c r="H222" i="5"/>
  <c r="H200" i="5"/>
  <c r="H117" i="5"/>
  <c r="E20" i="19" s="1"/>
  <c r="E40" i="19" s="1"/>
  <c r="E106" i="4" l="1"/>
  <c r="H346" i="13"/>
  <c r="F366" i="13"/>
  <c r="F100" i="13"/>
  <c r="D330" i="13"/>
  <c r="D335" i="13" s="1"/>
  <c r="I29" i="4"/>
  <c r="I35" i="4" s="1"/>
  <c r="H67" i="5"/>
  <c r="D78" i="5"/>
  <c r="E307" i="4"/>
  <c r="F172" i="3"/>
  <c r="F324" i="3"/>
  <c r="C232" i="3"/>
  <c r="C244" i="3" s="1"/>
  <c r="C217" i="13"/>
  <c r="C229" i="13" s="1"/>
  <c r="C69" i="3"/>
  <c r="C205" i="3"/>
  <c r="C217" i="3" s="1"/>
  <c r="F60" i="13"/>
  <c r="C71" i="13"/>
  <c r="D44" i="5"/>
  <c r="C244" i="13"/>
  <c r="C257" i="13" s="1"/>
  <c r="I221" i="4"/>
  <c r="D24" i="19" s="1"/>
  <c r="D44" i="19" s="1"/>
  <c r="I294" i="4"/>
  <c r="I106" i="4"/>
  <c r="F249" i="3"/>
  <c r="H379" i="19" s="1"/>
  <c r="F262" i="13"/>
  <c r="A74" i="2"/>
  <c r="A75" i="2" s="1"/>
  <c r="A76" i="2" s="1"/>
  <c r="A78" i="2" s="1"/>
  <c r="A80" i="2" s="1"/>
  <c r="A82" i="2" s="1"/>
  <c r="A83" i="2" s="1"/>
  <c r="A84" i="2" s="1"/>
  <c r="A85" i="2" s="1"/>
  <c r="A86" i="2" s="1"/>
  <c r="A87" i="2" s="1"/>
  <c r="A89" i="2" s="1"/>
  <c r="A91" i="2" s="1"/>
  <c r="A92" i="2" s="1"/>
  <c r="A93" i="2" s="1"/>
  <c r="A94" i="2" s="1"/>
  <c r="A95" i="2" s="1"/>
  <c r="A97" i="2" s="1"/>
  <c r="F229" i="19"/>
  <c r="J229" i="19"/>
  <c r="J231" i="19" s="1"/>
  <c r="J233" i="19" s="1"/>
  <c r="H229" i="19"/>
  <c r="D268" i="3"/>
  <c r="F268" i="3" s="1"/>
  <c r="H406" i="19" s="1"/>
  <c r="E406" i="19"/>
  <c r="H402" i="19"/>
  <c r="K402" i="19" s="1"/>
  <c r="H401" i="19"/>
  <c r="K401" i="19" s="1"/>
  <c r="F266" i="3"/>
  <c r="H399" i="19"/>
  <c r="D235" i="3"/>
  <c r="H200" i="19"/>
  <c r="H119" i="5"/>
  <c r="D204" i="13"/>
  <c r="D205" i="13" s="1"/>
  <c r="D194" i="3"/>
  <c r="D195" i="3" s="1"/>
  <c r="D199" i="3" s="1"/>
  <c r="A101" i="7"/>
  <c r="D282" i="13"/>
  <c r="D286" i="13" s="1"/>
  <c r="A180" i="13"/>
  <c r="D315" i="3"/>
  <c r="F315" i="3"/>
  <c r="F316" i="3" s="1"/>
  <c r="F286" i="3"/>
  <c r="F271" i="3"/>
  <c r="F38" i="19"/>
  <c r="F89" i="3"/>
  <c r="F90" i="3" s="1"/>
  <c r="F93" i="3" s="1"/>
  <c r="A19" i="13"/>
  <c r="A20" i="13" s="1"/>
  <c r="A21" i="13" s="1"/>
  <c r="A22" i="13" s="1"/>
  <c r="A23" i="13" s="1"/>
  <c r="A24" i="13" s="1"/>
  <c r="A25" i="13" s="1"/>
  <c r="A26" i="13" s="1"/>
  <c r="A19" i="3"/>
  <c r="A20" i="3" s="1"/>
  <c r="A21" i="3" s="1"/>
  <c r="A22" i="3" s="1"/>
  <c r="A23" i="3" s="1"/>
  <c r="A24" i="3" s="1"/>
  <c r="A25" i="3" s="1"/>
  <c r="E288" i="5"/>
  <c r="E289" i="5" s="1"/>
  <c r="D289" i="5"/>
  <c r="C368" i="13"/>
  <c r="D25" i="19"/>
  <c r="D45" i="19" s="1"/>
  <c r="E447" i="19"/>
  <c r="D302" i="13"/>
  <c r="D307" i="13" s="1"/>
  <c r="D288" i="3"/>
  <c r="C338" i="3"/>
  <c r="C78" i="1"/>
  <c r="C94" i="1" s="1"/>
  <c r="C99" i="3"/>
  <c r="C101" i="13"/>
  <c r="F101" i="13" s="1"/>
  <c r="F208" i="3"/>
  <c r="H316" i="19" s="1"/>
  <c r="D269" i="13"/>
  <c r="D256" i="3"/>
  <c r="K435" i="19"/>
  <c r="K436" i="19"/>
  <c r="K437" i="19"/>
  <c r="K439" i="19"/>
  <c r="K438" i="19"/>
  <c r="A35" i="1"/>
  <c r="A37" i="1" s="1"/>
  <c r="A39" i="1" s="1"/>
  <c r="K400" i="19"/>
  <c r="F124" i="1"/>
  <c r="F125" i="7"/>
  <c r="I170" i="4"/>
  <c r="D380" i="19" s="1"/>
  <c r="D173" i="4"/>
  <c r="D195" i="4" s="1"/>
  <c r="G278" i="5"/>
  <c r="E38" i="19"/>
  <c r="C95" i="13"/>
  <c r="C152" i="13" s="1"/>
  <c r="G26" i="2"/>
  <c r="F26" i="2"/>
  <c r="H16" i="2"/>
  <c r="H28" i="2" s="1"/>
  <c r="F16" i="2"/>
  <c r="C93" i="3"/>
  <c r="I17" i="4"/>
  <c r="I104" i="4" s="1"/>
  <c r="H309" i="4" s="1"/>
  <c r="F103" i="5"/>
  <c r="F278" i="5" s="1"/>
  <c r="I83" i="4"/>
  <c r="I108" i="4" s="1"/>
  <c r="D110" i="4"/>
  <c r="H153" i="5"/>
  <c r="F130" i="7"/>
  <c r="H163" i="5"/>
  <c r="H42" i="5"/>
  <c r="H101" i="5" s="1"/>
  <c r="E110" i="4"/>
  <c r="S65" i="8"/>
  <c r="C96" i="7" s="1"/>
  <c r="S33" i="8"/>
  <c r="C90" i="7" s="1"/>
  <c r="D47" i="2"/>
  <c r="C278" i="5"/>
  <c r="E122" i="1"/>
  <c r="G122" i="1"/>
  <c r="H224" i="5"/>
  <c r="H232" i="5" s="1"/>
  <c r="H51" i="5"/>
  <c r="D179" i="13"/>
  <c r="H205" i="5"/>
  <c r="C125" i="13" l="1"/>
  <c r="C44" i="3"/>
  <c r="C54" i="3" s="1"/>
  <c r="C23" i="1" s="1"/>
  <c r="C45" i="13"/>
  <c r="F45" i="13" s="1"/>
  <c r="D343" i="19"/>
  <c r="G343" i="19" s="1"/>
  <c r="D82" i="5"/>
  <c r="D99" i="5"/>
  <c r="D110" i="3"/>
  <c r="D112" i="13"/>
  <c r="D116" i="13" s="1"/>
  <c r="H78" i="5"/>
  <c r="H82" i="5" s="1"/>
  <c r="E16" i="19"/>
  <c r="E36" i="19" s="1"/>
  <c r="E409" i="19"/>
  <c r="H156" i="5"/>
  <c r="D249" i="13"/>
  <c r="D250" i="13" s="1"/>
  <c r="D257" i="13" s="1"/>
  <c r="D292" i="3"/>
  <c r="F288" i="3"/>
  <c r="H447" i="19" s="1"/>
  <c r="D206" i="13"/>
  <c r="F206" i="13" s="1"/>
  <c r="H102" i="19" s="1"/>
  <c r="D211" i="13"/>
  <c r="D212" i="13" s="1"/>
  <c r="A181" i="13"/>
  <c r="A182" i="13" s="1"/>
  <c r="A183" i="13" s="1"/>
  <c r="A184" i="13" s="1"/>
  <c r="A185" i="13" s="1"/>
  <c r="A187" i="13" s="1"/>
  <c r="H231" i="19"/>
  <c r="I229" i="19"/>
  <c r="F232" i="3"/>
  <c r="H343" i="19" s="1"/>
  <c r="A24" i="5"/>
  <c r="A26" i="5" s="1"/>
  <c r="A28" i="5" s="1"/>
  <c r="A30" i="5" s="1"/>
  <c r="A32" i="5" s="1"/>
  <c r="D243" i="3"/>
  <c r="F243" i="3" s="1"/>
  <c r="F200" i="19" s="1"/>
  <c r="F217" i="13"/>
  <c r="F205" i="3"/>
  <c r="F41" i="19" s="1"/>
  <c r="D12" i="19"/>
  <c r="D270" i="19" s="1"/>
  <c r="D292" i="4"/>
  <c r="F231" i="19"/>
  <c r="F244" i="13"/>
  <c r="C61" i="1"/>
  <c r="F195" i="3"/>
  <c r="F102" i="19" s="1"/>
  <c r="H164" i="5"/>
  <c r="E17" i="19"/>
  <c r="E37" i="19" s="1"/>
  <c r="C86" i="1"/>
  <c r="C98" i="7"/>
  <c r="E26" i="5"/>
  <c r="E99" i="5" s="1"/>
  <c r="D237" i="3"/>
  <c r="E355" i="19" s="1"/>
  <c r="E349" i="19" s="1"/>
  <c r="F235" i="3"/>
  <c r="F194" i="3"/>
  <c r="F40" i="19" s="1"/>
  <c r="A102" i="7"/>
  <c r="A103" i="7" s="1"/>
  <c r="A104" i="7" s="1"/>
  <c r="A106" i="7" s="1"/>
  <c r="A107" i="7" s="1"/>
  <c r="A108" i="7" s="1"/>
  <c r="A109" i="7" s="1"/>
  <c r="A111" i="7" s="1"/>
  <c r="A113" i="7" s="1"/>
  <c r="A114" i="7" s="1"/>
  <c r="A115" i="7" s="1"/>
  <c r="A116" i="7" s="1"/>
  <c r="A117" i="7" s="1"/>
  <c r="A119" i="7" s="1"/>
  <c r="A120" i="7" s="1"/>
  <c r="A121" i="7" s="1"/>
  <c r="A122" i="7" s="1"/>
  <c r="A123" i="7" s="1"/>
  <c r="A124" i="7" s="1"/>
  <c r="A125" i="7" s="1"/>
  <c r="A127" i="7" s="1"/>
  <c r="A129" i="7" s="1"/>
  <c r="A130" i="7" s="1"/>
  <c r="D319" i="3"/>
  <c r="D86" i="1" s="1"/>
  <c r="K399" i="19"/>
  <c r="D180" i="13"/>
  <c r="F272" i="3"/>
  <c r="F273" i="3" s="1"/>
  <c r="F336" i="3" s="1"/>
  <c r="F181" i="3"/>
  <c r="F99" i="3"/>
  <c r="A28" i="13"/>
  <c r="A30" i="13" s="1"/>
  <c r="A31" i="13" s="1"/>
  <c r="A32" i="13" s="1"/>
  <c r="A33" i="13" s="1"/>
  <c r="A34" i="13" s="1"/>
  <c r="A35" i="13" s="1"/>
  <c r="A26" i="3"/>
  <c r="A28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E25" i="19"/>
  <c r="E45" i="19" s="1"/>
  <c r="H450" i="19"/>
  <c r="C118" i="3"/>
  <c r="C148" i="3" s="1"/>
  <c r="C250" i="3"/>
  <c r="G380" i="19"/>
  <c r="C263" i="13"/>
  <c r="A43" i="1"/>
  <c r="A45" i="1" s="1"/>
  <c r="A41" i="1"/>
  <c r="I85" i="4"/>
  <c r="C27" i="1"/>
  <c r="C41" i="1" s="1"/>
  <c r="C142" i="3"/>
  <c r="D272" i="3"/>
  <c r="H213" i="5"/>
  <c r="D214" i="5"/>
  <c r="D272" i="5" s="1"/>
  <c r="E117" i="7"/>
  <c r="F115" i="7"/>
  <c r="I173" i="4"/>
  <c r="I292" i="4" s="1"/>
  <c r="E14" i="5"/>
  <c r="F90" i="7"/>
  <c r="C15" i="13"/>
  <c r="F28" i="2"/>
  <c r="G16" i="2"/>
  <c r="G28" i="2" s="1"/>
  <c r="D184" i="13"/>
  <c r="F184" i="13" s="1"/>
  <c r="F345" i="13" s="1"/>
  <c r="D185" i="13"/>
  <c r="D346" i="13" s="1"/>
  <c r="C15" i="3"/>
  <c r="F15" i="3" s="1"/>
  <c r="H270" i="19" s="1"/>
  <c r="C91" i="7"/>
  <c r="F96" i="7"/>
  <c r="F98" i="7" s="1"/>
  <c r="K34" i="2"/>
  <c r="J34" i="2" s="1"/>
  <c r="D13" i="19"/>
  <c r="D33" i="19" s="1"/>
  <c r="F122" i="1"/>
  <c r="D88" i="3"/>
  <c r="D90" i="13"/>
  <c r="F44" i="3" l="1"/>
  <c r="H304" i="19" s="1"/>
  <c r="I316" i="19" s="1"/>
  <c r="C159" i="13"/>
  <c r="K343" i="19"/>
  <c r="C55" i="13"/>
  <c r="C146" i="13" s="1"/>
  <c r="D304" i="19"/>
  <c r="G304" i="19" s="1"/>
  <c r="C149" i="7"/>
  <c r="F110" i="3"/>
  <c r="F144" i="3" s="1"/>
  <c r="D112" i="3"/>
  <c r="F112" i="3" s="1"/>
  <c r="F128" i="19" s="1"/>
  <c r="D117" i="3"/>
  <c r="D124" i="13"/>
  <c r="F116" i="13"/>
  <c r="H128" i="19" s="1"/>
  <c r="E22" i="19"/>
  <c r="E42" i="19" s="1"/>
  <c r="C137" i="3"/>
  <c r="F289" i="3"/>
  <c r="C257" i="3"/>
  <c r="C334" i="3" s="1"/>
  <c r="F39" i="19"/>
  <c r="H233" i="19"/>
  <c r="F233" i="19"/>
  <c r="I228" i="19"/>
  <c r="I225" i="19" s="1"/>
  <c r="F35" i="19"/>
  <c r="G102" i="19"/>
  <c r="I102" i="19" s="1"/>
  <c r="H196" i="19"/>
  <c r="G200" i="19"/>
  <c r="D32" i="19"/>
  <c r="F250" i="13"/>
  <c r="H104" i="19" s="1"/>
  <c r="C353" i="13"/>
  <c r="D238" i="3"/>
  <c r="F113" i="3"/>
  <c r="F79" i="19" s="1"/>
  <c r="I79" i="19" s="1"/>
  <c r="H26" i="5"/>
  <c r="H32" i="5" s="1"/>
  <c r="E32" i="5"/>
  <c r="A34" i="5"/>
  <c r="A36" i="5" s="1"/>
  <c r="A38" i="5" s="1"/>
  <c r="A40" i="5" s="1"/>
  <c r="A42" i="5" s="1"/>
  <c r="A44" i="5" s="1"/>
  <c r="A46" i="5" s="1"/>
  <c r="A48" i="5" s="1"/>
  <c r="A50" i="5" s="1"/>
  <c r="A51" i="5" s="1"/>
  <c r="A53" i="5" s="1"/>
  <c r="A55" i="5" s="1"/>
  <c r="A56" i="5" s="1"/>
  <c r="A58" i="5" s="1"/>
  <c r="A60" i="5" s="1"/>
  <c r="A62" i="5" s="1"/>
  <c r="A63" i="5" s="1"/>
  <c r="A64" i="5" s="1"/>
  <c r="A65" i="5" s="1"/>
  <c r="A66" i="5" s="1"/>
  <c r="A67" i="5" s="1"/>
  <c r="A69" i="5" s="1"/>
  <c r="A71" i="5" s="1"/>
  <c r="A72" i="5" s="1"/>
  <c r="A73" i="5" s="1"/>
  <c r="A74" i="5" s="1"/>
  <c r="A75" i="5" s="1"/>
  <c r="A76" i="5" s="1"/>
  <c r="A78" i="5" s="1"/>
  <c r="A80" i="5" s="1"/>
  <c r="A82" i="5" s="1"/>
  <c r="A97" i="5" s="1"/>
  <c r="A99" i="5" s="1"/>
  <c r="A101" i="5" s="1"/>
  <c r="A103" i="5" s="1"/>
  <c r="C342" i="3"/>
  <c r="C82" i="1"/>
  <c r="C96" i="1" s="1"/>
  <c r="F263" i="13"/>
  <c r="I450" i="19"/>
  <c r="I447" i="19"/>
  <c r="I452" i="19"/>
  <c r="I451" i="19"/>
  <c r="F237" i="3"/>
  <c r="F42" i="19" s="1"/>
  <c r="F182" i="3"/>
  <c r="F101" i="19" s="1"/>
  <c r="A132" i="7"/>
  <c r="A133" i="7" s="1"/>
  <c r="A134" i="7" s="1"/>
  <c r="A135" i="7" s="1"/>
  <c r="A136" i="7" s="1"/>
  <c r="A138" i="7" s="1"/>
  <c r="A139" i="7" s="1"/>
  <c r="A140" i="7" s="1"/>
  <c r="A141" i="7" s="1"/>
  <c r="A142" i="7" s="1"/>
  <c r="A143" i="7" s="1"/>
  <c r="A144" i="7" s="1"/>
  <c r="F317" i="3"/>
  <c r="K379" i="19"/>
  <c r="D368" i="13"/>
  <c r="F180" i="13"/>
  <c r="F344" i="13" s="1"/>
  <c r="D342" i="3"/>
  <c r="F274" i="3"/>
  <c r="F250" i="3"/>
  <c r="A36" i="13"/>
  <c r="A37" i="13" s="1"/>
  <c r="A38" i="13" s="1"/>
  <c r="A39" i="13" s="1"/>
  <c r="A40" i="13" s="1"/>
  <c r="C31" i="1"/>
  <c r="C43" i="1" s="1"/>
  <c r="D91" i="3"/>
  <c r="C271" i="13"/>
  <c r="C358" i="13" s="1"/>
  <c r="D289" i="13"/>
  <c r="D291" i="13" s="1"/>
  <c r="D363" i="13" s="1"/>
  <c r="D275" i="3"/>
  <c r="D276" i="3" s="1"/>
  <c r="A53" i="1"/>
  <c r="A74" i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C26" i="13"/>
  <c r="C137" i="13" s="1"/>
  <c r="F15" i="13"/>
  <c r="F38" i="13"/>
  <c r="F139" i="3"/>
  <c r="H14" i="5"/>
  <c r="H15" i="5" s="1"/>
  <c r="H97" i="5" s="1"/>
  <c r="E15" i="5"/>
  <c r="E97" i="5" s="1"/>
  <c r="D216" i="5"/>
  <c r="H214" i="5"/>
  <c r="F117" i="7"/>
  <c r="D183" i="5"/>
  <c r="I195" i="4"/>
  <c r="D23" i="19" s="1"/>
  <c r="D43" i="19" s="1"/>
  <c r="D173" i="3"/>
  <c r="F173" i="3" s="1"/>
  <c r="D174" i="3"/>
  <c r="D328" i="3" s="1"/>
  <c r="F38" i="3"/>
  <c r="F37" i="3"/>
  <c r="D19" i="1"/>
  <c r="C26" i="3"/>
  <c r="C129" i="3" s="1"/>
  <c r="D103" i="5"/>
  <c r="I110" i="4"/>
  <c r="F91" i="7"/>
  <c r="F149" i="7" s="1"/>
  <c r="H38" i="5"/>
  <c r="D93" i="3"/>
  <c r="D142" i="3" s="1"/>
  <c r="D95" i="13"/>
  <c r="D93" i="13"/>
  <c r="F124" i="13" l="1"/>
  <c r="H194" i="19" s="1"/>
  <c r="G393" i="19"/>
  <c r="J128" i="19"/>
  <c r="A55" i="1"/>
  <c r="A57" i="1" s="1"/>
  <c r="A59" i="1" s="1"/>
  <c r="A61" i="1" s="1"/>
  <c r="A106" i="5"/>
  <c r="A108" i="5" s="1"/>
  <c r="A109" i="5" s="1"/>
  <c r="A111" i="5" s="1"/>
  <c r="D118" i="3"/>
  <c r="F117" i="3"/>
  <c r="F194" i="19" s="1"/>
  <c r="G128" i="19"/>
  <c r="I128" i="19"/>
  <c r="F114" i="3"/>
  <c r="F80" i="19" s="1"/>
  <c r="I80" i="19" s="1"/>
  <c r="F36" i="19"/>
  <c r="H409" i="19"/>
  <c r="I408" i="19" s="1"/>
  <c r="F174" i="3"/>
  <c r="F327" i="3"/>
  <c r="F196" i="19" s="1"/>
  <c r="A42" i="13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7" i="13" s="1"/>
  <c r="A59" i="13" s="1"/>
  <c r="A60" i="13" s="1"/>
  <c r="A61" i="13" s="1"/>
  <c r="A62" i="13" s="1"/>
  <c r="A63" i="13" s="1"/>
  <c r="A64" i="13" s="1"/>
  <c r="C370" i="13"/>
  <c r="H355" i="19"/>
  <c r="I200" i="19"/>
  <c r="F196" i="3"/>
  <c r="F197" i="3" s="1"/>
  <c r="F84" i="19" s="1"/>
  <c r="I84" i="19" s="1"/>
  <c r="J200" i="19"/>
  <c r="C344" i="3"/>
  <c r="C74" i="1"/>
  <c r="C92" i="1" s="1"/>
  <c r="F211" i="13"/>
  <c r="H198" i="19" s="1"/>
  <c r="D244" i="3"/>
  <c r="F238" i="3"/>
  <c r="F199" i="3"/>
  <c r="F198" i="19" s="1"/>
  <c r="D200" i="3"/>
  <c r="H216" i="5"/>
  <c r="E24" i="19" s="1"/>
  <c r="E44" i="19" s="1"/>
  <c r="H272" i="5"/>
  <c r="K43" i="2" s="1"/>
  <c r="J43" i="2" s="1"/>
  <c r="D47" i="13"/>
  <c r="D48" i="13" s="1"/>
  <c r="D46" i="3"/>
  <c r="F46" i="3" s="1"/>
  <c r="H99" i="5"/>
  <c r="H44" i="5"/>
  <c r="E14" i="19" s="1"/>
  <c r="E34" i="19" s="1"/>
  <c r="C107" i="1"/>
  <c r="D82" i="1"/>
  <c r="D96" i="1" s="1"/>
  <c r="I453" i="19"/>
  <c r="H380" i="19"/>
  <c r="F37" i="19"/>
  <c r="D62" i="13"/>
  <c r="D63" i="13" s="1"/>
  <c r="D61" i="3"/>
  <c r="F46" i="19"/>
  <c r="D185" i="5"/>
  <c r="F45" i="19"/>
  <c r="F319" i="3"/>
  <c r="F90" i="19"/>
  <c r="F276" i="3"/>
  <c r="F88" i="19"/>
  <c r="K304" i="19"/>
  <c r="H100" i="19"/>
  <c r="F39" i="3"/>
  <c r="E19" i="1" s="1"/>
  <c r="A41" i="3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D338" i="3"/>
  <c r="D78" i="1"/>
  <c r="D94" i="1" s="1"/>
  <c r="A96" i="1"/>
  <c r="A98" i="1" s="1"/>
  <c r="A101" i="1" s="1"/>
  <c r="A103" i="1" s="1"/>
  <c r="A105" i="1" s="1"/>
  <c r="A107" i="1" s="1"/>
  <c r="A109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D152" i="13"/>
  <c r="D39" i="13"/>
  <c r="F39" i="13" s="1"/>
  <c r="D17" i="3"/>
  <c r="F44" i="19"/>
  <c r="H183" i="5"/>
  <c r="D27" i="1"/>
  <c r="D41" i="1" s="1"/>
  <c r="F140" i="3"/>
  <c r="D17" i="13"/>
  <c r="E12" i="19"/>
  <c r="F70" i="2"/>
  <c r="F76" i="2" s="1"/>
  <c r="G76" i="2"/>
  <c r="D53" i="1"/>
  <c r="D90" i="1" s="1"/>
  <c r="K41" i="2"/>
  <c r="J41" i="2" s="1"/>
  <c r="C15" i="1"/>
  <c r="E103" i="5"/>
  <c r="E278" i="5" s="1"/>
  <c r="D113" i="13"/>
  <c r="A65" i="13" l="1"/>
  <c r="A66" i="13" s="1"/>
  <c r="A67" i="13" s="1"/>
  <c r="A68" i="13" s="1"/>
  <c r="A69" i="13" s="1"/>
  <c r="A70" i="13" s="1"/>
  <c r="A71" i="13" s="1"/>
  <c r="D26" i="13"/>
  <c r="G391" i="19"/>
  <c r="A113" i="5"/>
  <c r="A115" i="5" s="1"/>
  <c r="F145" i="3"/>
  <c r="I407" i="19"/>
  <c r="F16" i="19"/>
  <c r="I239" i="19"/>
  <c r="G392" i="19"/>
  <c r="J202" i="19"/>
  <c r="H410" i="19"/>
  <c r="I406" i="19"/>
  <c r="I409" i="19"/>
  <c r="G194" i="19"/>
  <c r="I194" i="19" s="1"/>
  <c r="A189" i="13"/>
  <c r="A190" i="13" s="1"/>
  <c r="A191" i="13" s="1"/>
  <c r="A192" i="13" s="1"/>
  <c r="A193" i="13" s="1"/>
  <c r="F17" i="3"/>
  <c r="E353" i="19"/>
  <c r="E348" i="19" s="1"/>
  <c r="F61" i="3"/>
  <c r="F198" i="3"/>
  <c r="F200" i="3" s="1"/>
  <c r="F20" i="19" s="1"/>
  <c r="F239" i="3"/>
  <c r="F240" i="3" s="1"/>
  <c r="F104" i="19"/>
  <c r="G104" i="19" s="1"/>
  <c r="I104" i="19" s="1"/>
  <c r="G198" i="19"/>
  <c r="I198" i="19" s="1"/>
  <c r="G100" i="19"/>
  <c r="G196" i="19"/>
  <c r="I196" i="19" s="1"/>
  <c r="F63" i="13"/>
  <c r="H96" i="19" s="1"/>
  <c r="D64" i="13"/>
  <c r="D270" i="5"/>
  <c r="D274" i="5" s="1"/>
  <c r="D278" i="5" s="1"/>
  <c r="D62" i="3"/>
  <c r="F62" i="3" s="1"/>
  <c r="E314" i="19"/>
  <c r="D47" i="3"/>
  <c r="F47" i="3" s="1"/>
  <c r="D253" i="3"/>
  <c r="E384" i="19" s="1"/>
  <c r="D265" i="13"/>
  <c r="D49" i="13"/>
  <c r="K33" i="2"/>
  <c r="J33" i="2" s="1"/>
  <c r="D194" i="5"/>
  <c r="H185" i="5"/>
  <c r="H270" i="5" s="1"/>
  <c r="F290" i="3"/>
  <c r="F292" i="3" s="1"/>
  <c r="F142" i="3"/>
  <c r="F81" i="19"/>
  <c r="I81" i="19" s="1"/>
  <c r="K380" i="19"/>
  <c r="E273" i="19"/>
  <c r="E32" i="19"/>
  <c r="F111" i="3"/>
  <c r="F115" i="3" s="1"/>
  <c r="F118" i="3" s="1"/>
  <c r="D19" i="13"/>
  <c r="F19" i="13" s="1"/>
  <c r="D20" i="13"/>
  <c r="F20" i="13" s="1"/>
  <c r="F134" i="13" s="1"/>
  <c r="F17" i="19"/>
  <c r="D20" i="3"/>
  <c r="F20" i="3" s="1"/>
  <c r="D19" i="3"/>
  <c r="F19" i="3" s="1"/>
  <c r="F127" i="3" s="1"/>
  <c r="D18" i="3"/>
  <c r="F18" i="3" s="1"/>
  <c r="E13" i="19"/>
  <c r="E33" i="19" s="1"/>
  <c r="D18" i="13"/>
  <c r="E280" i="19" s="1"/>
  <c r="D93" i="2"/>
  <c r="J93" i="2" s="1"/>
  <c r="C37" i="1"/>
  <c r="C103" i="1" s="1"/>
  <c r="F82" i="19"/>
  <c r="I82" i="19" s="1"/>
  <c r="E53" i="1"/>
  <c r="E90" i="1" s="1"/>
  <c r="D125" i="13"/>
  <c r="D159" i="13" s="1"/>
  <c r="D148" i="3"/>
  <c r="F193" i="19"/>
  <c r="D91" i="2"/>
  <c r="J91" i="2" s="1"/>
  <c r="A117" i="5" l="1"/>
  <c r="A119" i="5" s="1"/>
  <c r="A121" i="5" s="1"/>
  <c r="A123" i="5" s="1"/>
  <c r="A125" i="5" s="1"/>
  <c r="A126" i="5" s="1"/>
  <c r="A128" i="5" s="1"/>
  <c r="A129" i="5" s="1"/>
  <c r="A131" i="5" s="1"/>
  <c r="J194" i="19"/>
  <c r="H273" i="19"/>
  <c r="I270" i="19" s="1"/>
  <c r="F124" i="3"/>
  <c r="G278" i="19"/>
  <c r="F142" i="19"/>
  <c r="F157" i="19" s="1"/>
  <c r="F135" i="13"/>
  <c r="H94" i="19" s="1"/>
  <c r="I100" i="19"/>
  <c r="A194" i="13"/>
  <c r="A195" i="13" s="1"/>
  <c r="A196" i="13" s="1"/>
  <c r="A197" i="13" s="1"/>
  <c r="A198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E346" i="19"/>
  <c r="F21" i="3"/>
  <c r="F122" i="3"/>
  <c r="F183" i="3"/>
  <c r="F184" i="3" s="1"/>
  <c r="F83" i="19" s="1"/>
  <c r="I83" i="19" s="1"/>
  <c r="G200" i="3"/>
  <c r="J198" i="19"/>
  <c r="H314" i="19"/>
  <c r="F33" i="19"/>
  <c r="F127" i="19"/>
  <c r="G374" i="19" s="1"/>
  <c r="F146" i="3"/>
  <c r="F15" i="19"/>
  <c r="H353" i="19"/>
  <c r="F34" i="19"/>
  <c r="F241" i="3"/>
  <c r="F244" i="3" s="1"/>
  <c r="F86" i="19"/>
  <c r="I86" i="19" s="1"/>
  <c r="J196" i="19"/>
  <c r="G373" i="19"/>
  <c r="E307" i="19"/>
  <c r="E309" i="19"/>
  <c r="D266" i="13"/>
  <c r="F64" i="13"/>
  <c r="D71" i="13"/>
  <c r="D70" i="13"/>
  <c r="D69" i="13"/>
  <c r="F49" i="13"/>
  <c r="D53" i="13"/>
  <c r="F53" i="13" s="1"/>
  <c r="H191" i="19" s="1"/>
  <c r="D54" i="13"/>
  <c r="F54" i="13" s="1"/>
  <c r="H173" i="19" s="1"/>
  <c r="D187" i="3"/>
  <c r="F186" i="3"/>
  <c r="F197" i="19" s="1"/>
  <c r="D63" i="3"/>
  <c r="F63" i="3" s="1"/>
  <c r="F64" i="3" s="1"/>
  <c r="F96" i="19"/>
  <c r="G336" i="19" s="1"/>
  <c r="F48" i="13"/>
  <c r="H95" i="19" s="1"/>
  <c r="F147" i="3"/>
  <c r="D55" i="13"/>
  <c r="F89" i="19"/>
  <c r="J243" i="19" s="1"/>
  <c r="G428" i="19"/>
  <c r="F253" i="3"/>
  <c r="H384" i="19" s="1"/>
  <c r="D254" i="3"/>
  <c r="H103" i="5"/>
  <c r="F131" i="3"/>
  <c r="G292" i="3"/>
  <c r="H194" i="5"/>
  <c r="E23" i="19" s="1"/>
  <c r="E43" i="19" s="1"/>
  <c r="E62" i="19" s="1"/>
  <c r="K42" i="2"/>
  <c r="J42" i="2" s="1"/>
  <c r="H274" i="5"/>
  <c r="H124" i="19"/>
  <c r="F328" i="3"/>
  <c r="F18" i="19" s="1"/>
  <c r="F115" i="13"/>
  <c r="F252" i="3"/>
  <c r="H383" i="19" s="1"/>
  <c r="F126" i="3"/>
  <c r="D24" i="3"/>
  <c r="F24" i="3" s="1"/>
  <c r="G265" i="19"/>
  <c r="E27" i="1"/>
  <c r="E41" i="1" s="1"/>
  <c r="G93" i="3"/>
  <c r="C98" i="1"/>
  <c r="D25" i="3"/>
  <c r="F25" i="3" s="1"/>
  <c r="D26" i="3"/>
  <c r="D129" i="3" s="1"/>
  <c r="K32" i="2" s="1"/>
  <c r="J32" i="2" s="1"/>
  <c r="F337" i="3"/>
  <c r="D24" i="13"/>
  <c r="F24" i="13" s="1"/>
  <c r="F136" i="13" s="1"/>
  <c r="G174" i="3"/>
  <c r="D31" i="1"/>
  <c r="D43" i="1" s="1"/>
  <c r="D107" i="1" s="1"/>
  <c r="H126" i="19" l="1"/>
  <c r="I383" i="19"/>
  <c r="A99" i="13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F69" i="13"/>
  <c r="H192" i="19" s="1"/>
  <c r="F70" i="13"/>
  <c r="F141" i="13" s="1"/>
  <c r="I384" i="19"/>
  <c r="H356" i="19"/>
  <c r="I353" i="19"/>
  <c r="I341" i="19"/>
  <c r="I343" i="19"/>
  <c r="I355" i="19"/>
  <c r="I273" i="19"/>
  <c r="I274" i="19" s="1"/>
  <c r="D146" i="13"/>
  <c r="A209" i="13"/>
  <c r="A210" i="13" s="1"/>
  <c r="A211" i="13" s="1"/>
  <c r="A212" i="13" s="1"/>
  <c r="A214" i="13" s="1"/>
  <c r="A216" i="13" s="1"/>
  <c r="A217" i="13" s="1"/>
  <c r="A218" i="13" s="1"/>
  <c r="A219" i="13" s="1"/>
  <c r="A220" i="13" s="1"/>
  <c r="A221" i="13" s="1"/>
  <c r="A222" i="13" s="1"/>
  <c r="A223" i="13" s="1"/>
  <c r="F22" i="3"/>
  <c r="F23" i="3" s="1"/>
  <c r="F26" i="3" s="1"/>
  <c r="D57" i="1"/>
  <c r="H385" i="19"/>
  <c r="I314" i="19"/>
  <c r="H317" i="19"/>
  <c r="I304" i="19"/>
  <c r="I317" i="19" s="1"/>
  <c r="F185" i="3"/>
  <c r="F187" i="3" s="1"/>
  <c r="F142" i="13"/>
  <c r="H125" i="19"/>
  <c r="G96" i="19"/>
  <c r="G244" i="3"/>
  <c r="F22" i="19"/>
  <c r="F144" i="13"/>
  <c r="I236" i="19"/>
  <c r="D67" i="3"/>
  <c r="A132" i="5"/>
  <c r="F157" i="13"/>
  <c r="H193" i="19"/>
  <c r="J236" i="19"/>
  <c r="J81" i="19"/>
  <c r="J89" i="19"/>
  <c r="J90" i="19"/>
  <c r="F156" i="13"/>
  <c r="H127" i="19"/>
  <c r="G127" i="19" s="1"/>
  <c r="F128" i="3"/>
  <c r="E48" i="19"/>
  <c r="E82" i="1"/>
  <c r="F43" i="19"/>
  <c r="H278" i="5"/>
  <c r="F25" i="19"/>
  <c r="G63" i="2"/>
  <c r="F124" i="19"/>
  <c r="G124" i="19" s="1"/>
  <c r="J124" i="19" s="1"/>
  <c r="G264" i="19"/>
  <c r="F32" i="19"/>
  <c r="I63" i="2"/>
  <c r="F94" i="19"/>
  <c r="F338" i="3"/>
  <c r="D271" i="13"/>
  <c r="D358" i="13" s="1"/>
  <c r="D257" i="3"/>
  <c r="D74" i="1" s="1"/>
  <c r="G267" i="19"/>
  <c r="F125" i="3"/>
  <c r="D15" i="1"/>
  <c r="D37" i="1" s="1"/>
  <c r="D103" i="1" s="1"/>
  <c r="E29" i="19"/>
  <c r="G276" i="3"/>
  <c r="F24" i="19"/>
  <c r="E78" i="1"/>
  <c r="E94" i="1" s="1"/>
  <c r="D25" i="13"/>
  <c r="F25" i="13" s="1"/>
  <c r="D82" i="2"/>
  <c r="J82" i="2" s="1"/>
  <c r="H345" i="13" l="1"/>
  <c r="A117" i="13"/>
  <c r="A118" i="13" s="1"/>
  <c r="F145" i="13"/>
  <c r="H174" i="19"/>
  <c r="E57" i="1"/>
  <c r="A224" i="13"/>
  <c r="A225" i="13" s="1"/>
  <c r="A226" i="13" s="1"/>
  <c r="A227" i="13" s="1"/>
  <c r="A228" i="13" s="1"/>
  <c r="A229" i="13" s="1"/>
  <c r="A243" i="13" s="1"/>
  <c r="A244" i="13" s="1"/>
  <c r="I356" i="19"/>
  <c r="F65" i="3"/>
  <c r="F66" i="3" s="1"/>
  <c r="F126" i="19"/>
  <c r="J96" i="19"/>
  <c r="J104" i="19"/>
  <c r="G238" i="19"/>
  <c r="J102" i="19"/>
  <c r="I96" i="19"/>
  <c r="F19" i="19"/>
  <c r="G390" i="19"/>
  <c r="G193" i="19"/>
  <c r="I193" i="19" s="1"/>
  <c r="G187" i="3"/>
  <c r="D68" i="3"/>
  <c r="F68" i="3" s="1"/>
  <c r="F67" i="3"/>
  <c r="F192" i="19" s="1"/>
  <c r="A134" i="5"/>
  <c r="A136" i="5" s="1"/>
  <c r="A137" i="5" s="1"/>
  <c r="E239" i="19"/>
  <c r="H239" i="19"/>
  <c r="H139" i="19"/>
  <c r="G266" i="19"/>
  <c r="F172" i="19"/>
  <c r="H190" i="19"/>
  <c r="E63" i="2"/>
  <c r="F190" i="19"/>
  <c r="G263" i="19" s="1"/>
  <c r="F48" i="19"/>
  <c r="H325" i="3"/>
  <c r="F254" i="3"/>
  <c r="F330" i="3" s="1"/>
  <c r="G262" i="19"/>
  <c r="G94" i="19"/>
  <c r="E238" i="19" s="1"/>
  <c r="F148" i="3"/>
  <c r="F63" i="2"/>
  <c r="F66" i="2" s="1"/>
  <c r="F78" i="2" s="1"/>
  <c r="H63" i="2"/>
  <c r="F123" i="3"/>
  <c r="G118" i="3"/>
  <c r="F133" i="13"/>
  <c r="D83" i="2"/>
  <c r="J83" i="2" s="1"/>
  <c r="E31" i="1"/>
  <c r="E43" i="1" s="1"/>
  <c r="J45" i="2"/>
  <c r="D92" i="2"/>
  <c r="J92" i="2" s="1"/>
  <c r="K45" i="2"/>
  <c r="D84" i="2"/>
  <c r="J84" i="2" s="1"/>
  <c r="J37" i="2"/>
  <c r="K37" i="2"/>
  <c r="A119" i="13" l="1"/>
  <c r="A120" i="13" s="1"/>
  <c r="A121" i="13" s="1"/>
  <c r="A122" i="13" s="1"/>
  <c r="A123" i="13" s="1"/>
  <c r="A124" i="13" s="1"/>
  <c r="A125" i="13" s="1"/>
  <c r="A128" i="13" s="1"/>
  <c r="A130" i="13" s="1"/>
  <c r="A131" i="13" s="1"/>
  <c r="A132" i="13" s="1"/>
  <c r="A133" i="13" s="1"/>
  <c r="A134" i="13" s="1"/>
  <c r="A135" i="13" s="1"/>
  <c r="A136" i="13" s="1"/>
  <c r="A137" i="13" s="1"/>
  <c r="A139" i="13" s="1"/>
  <c r="A140" i="13" s="1"/>
  <c r="A141" i="13" s="1"/>
  <c r="A142" i="13" s="1"/>
  <c r="F69" i="3"/>
  <c r="G126" i="19"/>
  <c r="G335" i="19"/>
  <c r="G334" i="19"/>
  <c r="G192" i="19"/>
  <c r="F78" i="19"/>
  <c r="A245" i="13"/>
  <c r="A246" i="13" s="1"/>
  <c r="F174" i="19"/>
  <c r="D69" i="3"/>
  <c r="A139" i="5"/>
  <c r="A140" i="5" s="1"/>
  <c r="A142" i="5" s="1"/>
  <c r="A143" i="5" s="1"/>
  <c r="A145" i="5" s="1"/>
  <c r="G190" i="19"/>
  <c r="J190" i="19" s="1"/>
  <c r="H347" i="13"/>
  <c r="H172" i="19"/>
  <c r="J100" i="19"/>
  <c r="J94" i="19"/>
  <c r="J127" i="19"/>
  <c r="I243" i="19"/>
  <c r="I385" i="19"/>
  <c r="F255" i="3"/>
  <c r="I127" i="19"/>
  <c r="I94" i="19"/>
  <c r="F76" i="19"/>
  <c r="E236" i="19" s="1"/>
  <c r="K13" i="2"/>
  <c r="J13" i="2" s="1"/>
  <c r="I124" i="19"/>
  <c r="J87" i="2"/>
  <c r="F129" i="3"/>
  <c r="E15" i="1"/>
  <c r="E37" i="1" s="1"/>
  <c r="E103" i="1" s="1"/>
  <c r="G26" i="3"/>
  <c r="D137" i="13"/>
  <c r="J47" i="2"/>
  <c r="K47" i="2"/>
  <c r="J95" i="2"/>
  <c r="D95" i="2"/>
  <c r="D87" i="2"/>
  <c r="A143" i="13" l="1"/>
  <c r="A144" i="13" s="1"/>
  <c r="A145" i="13" s="1"/>
  <c r="A146" i="13" s="1"/>
  <c r="A148" i="13" s="1"/>
  <c r="A149" i="13" s="1"/>
  <c r="A150" i="13" s="1"/>
  <c r="A151" i="13" s="1"/>
  <c r="A152" i="13" s="1"/>
  <c r="A154" i="13" s="1"/>
  <c r="A155" i="13" s="1"/>
  <c r="A156" i="13" s="1"/>
  <c r="A157" i="13" s="1"/>
  <c r="A158" i="13" s="1"/>
  <c r="A159" i="13" s="1"/>
  <c r="A161" i="13" s="1"/>
  <c r="G337" i="19"/>
  <c r="G174" i="19"/>
  <c r="J192" i="19"/>
  <c r="I192" i="19"/>
  <c r="J126" i="19"/>
  <c r="G239" i="19"/>
  <c r="I126" i="19"/>
  <c r="F14" i="19"/>
  <c r="G332" i="19" s="1"/>
  <c r="J84" i="19"/>
  <c r="I78" i="19"/>
  <c r="G236" i="19"/>
  <c r="J86" i="19"/>
  <c r="G333" i="19"/>
  <c r="J78" i="19"/>
  <c r="G243" i="19"/>
  <c r="A247" i="13"/>
  <c r="A248" i="13" s="1"/>
  <c r="A249" i="13" s="1"/>
  <c r="A250" i="13" s="1"/>
  <c r="A147" i="5"/>
  <c r="A149" i="5" s="1"/>
  <c r="A150" i="5" s="1"/>
  <c r="A152" i="5" s="1"/>
  <c r="A153" i="5" s="1"/>
  <c r="A155" i="5" s="1"/>
  <c r="A156" i="5" s="1"/>
  <c r="I190" i="19"/>
  <c r="G172" i="19"/>
  <c r="H187" i="19"/>
  <c r="J76" i="19"/>
  <c r="J82" i="19"/>
  <c r="E243" i="19"/>
  <c r="F257" i="3"/>
  <c r="E74" i="1" s="1"/>
  <c r="F87" i="19"/>
  <c r="F12" i="19"/>
  <c r="G261" i="19" s="1"/>
  <c r="D63" i="2"/>
  <c r="J63" i="2" s="1"/>
  <c r="J97" i="2"/>
  <c r="D161" i="13"/>
  <c r="D97" i="2"/>
  <c r="E26" i="2"/>
  <c r="A158" i="5" l="1"/>
  <c r="A159" i="5" s="1"/>
  <c r="A160" i="5" s="1"/>
  <c r="A162" i="5" s="1"/>
  <c r="A163" i="5" s="1"/>
  <c r="A164" i="5" s="1"/>
  <c r="A180" i="5" s="1"/>
  <c r="A182" i="5" s="1"/>
  <c r="A183" i="5" s="1"/>
  <c r="A184" i="5" s="1"/>
  <c r="A185" i="5" s="1"/>
  <c r="A187" i="5" s="1"/>
  <c r="A189" i="5" s="1"/>
  <c r="A190" i="5" s="1"/>
  <c r="A191" i="5" s="1"/>
  <c r="A192" i="5" s="1"/>
  <c r="A194" i="5" s="1"/>
  <c r="A196" i="5" s="1"/>
  <c r="A198" i="5" s="1"/>
  <c r="A200" i="5" s="1"/>
  <c r="A201" i="5" s="1"/>
  <c r="A202" i="5" s="1"/>
  <c r="A203" i="5" s="1"/>
  <c r="A204" i="5" s="1"/>
  <c r="A205" i="5" s="1"/>
  <c r="A207" i="5" s="1"/>
  <c r="A209" i="5" s="1"/>
  <c r="A210" i="5" s="1"/>
  <c r="A211" i="5" s="1"/>
  <c r="A212" i="5" s="1"/>
  <c r="A213" i="5" s="1"/>
  <c r="A214" i="5" s="1"/>
  <c r="A216" i="5" s="1"/>
  <c r="A218" i="5" s="1"/>
  <c r="A220" i="5" s="1"/>
  <c r="A222" i="5" s="1"/>
  <c r="A223" i="5" s="1"/>
  <c r="A224" i="5" s="1"/>
  <c r="A226" i="5" s="1"/>
  <c r="A228" i="5" s="1"/>
  <c r="A229" i="5" s="1"/>
  <c r="A230" i="5" s="1"/>
  <c r="A232" i="5" s="1"/>
  <c r="A258" i="5" s="1"/>
  <c r="A259" i="5" s="1"/>
  <c r="A260" i="5" s="1"/>
  <c r="A261" i="5" s="1"/>
  <c r="A263" i="5" s="1"/>
  <c r="A266" i="5" s="1"/>
  <c r="A268" i="5" s="1"/>
  <c r="A270" i="5" s="1"/>
  <c r="A272" i="5" s="1"/>
  <c r="A274" i="5" s="1"/>
  <c r="A278" i="5" s="1"/>
  <c r="A251" i="13"/>
  <c r="A252" i="13" s="1"/>
  <c r="A253" i="13" s="1"/>
  <c r="A254" i="13" s="1"/>
  <c r="J180" i="19"/>
  <c r="I174" i="19"/>
  <c r="J174" i="19"/>
  <c r="J182" i="19"/>
  <c r="G69" i="3"/>
  <c r="I87" i="19"/>
  <c r="G372" i="19"/>
  <c r="I172" i="19"/>
  <c r="J178" i="19"/>
  <c r="J172" i="19"/>
  <c r="J79" i="19"/>
  <c r="J87" i="19"/>
  <c r="H243" i="19"/>
  <c r="F23" i="19"/>
  <c r="G257" i="3"/>
  <c r="A255" i="13" l="1"/>
  <c r="A256" i="13" s="1"/>
  <c r="A257" i="13" s="1"/>
  <c r="A259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G371" i="19"/>
  <c r="E16" i="2"/>
  <c r="E28" i="2" s="1"/>
  <c r="A270" i="13" l="1"/>
  <c r="A271" i="13" s="1"/>
  <c r="A273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3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D26" i="2"/>
  <c r="D28" i="2" s="1"/>
  <c r="A322" i="13" l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06" i="13"/>
  <c r="A307" i="13" s="1"/>
  <c r="D68" i="2"/>
  <c r="J68" i="2" s="1"/>
  <c r="F353" i="3"/>
  <c r="A334" i="13" l="1"/>
  <c r="A335" i="13" s="1"/>
  <c r="A339" i="13" s="1"/>
  <c r="A341" i="13" s="1"/>
  <c r="A342" i="13" s="1"/>
  <c r="A343" i="13" s="1"/>
  <c r="A344" i="13" s="1"/>
  <c r="A345" i="13" s="1"/>
  <c r="A346" i="13" s="1"/>
  <c r="A348" i="13" s="1"/>
  <c r="A349" i="13" s="1"/>
  <c r="A350" i="13" s="1"/>
  <c r="E114" i="1"/>
  <c r="F361" i="3"/>
  <c r="A351" i="13" l="1"/>
  <c r="A352" i="13" s="1"/>
  <c r="A353" i="13" s="1"/>
  <c r="A355" i="13" s="1"/>
  <c r="F27" i="19"/>
  <c r="E128" i="1"/>
  <c r="A356" i="13" l="1"/>
  <c r="A357" i="13" s="1"/>
  <c r="A358" i="13" s="1"/>
  <c r="A360" i="13" s="1"/>
  <c r="G270" i="19"/>
  <c r="A361" i="13" l="1"/>
  <c r="A362" i="13" s="1"/>
  <c r="A363" i="13" s="1"/>
  <c r="A365" i="13" s="1"/>
  <c r="K270" i="19"/>
  <c r="F340" i="3"/>
  <c r="H323" i="3" s="1"/>
  <c r="A366" i="13" l="1"/>
  <c r="A367" i="13" s="1"/>
  <c r="A368" i="13" s="1"/>
  <c r="A370" i="13" s="1"/>
  <c r="A374" i="13" s="1"/>
  <c r="A377" i="13" s="1"/>
  <c r="A379" i="13" s="1"/>
  <c r="A380" i="13" s="1"/>
  <c r="A381" i="13" s="1"/>
  <c r="A382" i="13" s="1"/>
  <c r="A383" i="13" s="1"/>
  <c r="A384" i="13" s="1"/>
  <c r="A385" i="13" s="1"/>
  <c r="A387" i="13" s="1"/>
  <c r="A389" i="13" s="1"/>
  <c r="G319" i="3"/>
  <c r="E86" i="1"/>
  <c r="E96" i="1" s="1"/>
  <c r="F26" i="19"/>
  <c r="G427" i="19" s="1"/>
  <c r="F341" i="3"/>
  <c r="F342" i="3" l="1"/>
  <c r="E107" i="1"/>
  <c r="G107" i="19" l="1"/>
  <c r="J238" i="19" l="1"/>
  <c r="H238" i="19" l="1"/>
  <c r="I90" i="19" l="1"/>
  <c r="I88" i="19"/>
  <c r="I76" i="19" l="1"/>
  <c r="I89" i="19" l="1"/>
  <c r="J80" i="19" l="1"/>
  <c r="J88" i="19"/>
  <c r="D309" i="4" l="1"/>
  <c r="C296" i="4"/>
  <c r="E309" i="4" l="1"/>
  <c r="D310" i="4"/>
  <c r="E310" i="4" s="1"/>
  <c r="C300" i="4"/>
  <c r="F147" i="4"/>
  <c r="D147" i="4"/>
  <c r="H147" i="4"/>
  <c r="E147" i="4"/>
  <c r="G147" i="4"/>
  <c r="I296" i="4"/>
  <c r="I300" i="4" s="1"/>
  <c r="H308" i="4" s="1"/>
  <c r="G296" i="4"/>
  <c r="G300" i="4" s="1"/>
  <c r="I147" i="4"/>
  <c r="E296" i="4"/>
  <c r="E300" i="4" s="1"/>
  <c r="F296" i="4"/>
  <c r="F300" i="4" s="1"/>
  <c r="H296" i="4"/>
  <c r="H300" i="4" s="1"/>
  <c r="D296" i="4"/>
  <c r="D300" i="4" s="1"/>
  <c r="D21" i="19" l="1"/>
  <c r="D41" i="19" s="1"/>
  <c r="F95" i="19"/>
  <c r="D48" i="3"/>
  <c r="F48" i="3" s="1"/>
  <c r="F49" i="3" s="1"/>
  <c r="D48" i="19" l="1"/>
  <c r="D62" i="19"/>
  <c r="F50" i="3"/>
  <c r="F51" i="3" s="1"/>
  <c r="D29" i="19"/>
  <c r="F135" i="3"/>
  <c r="I64" i="2" s="1"/>
  <c r="I66" i="2" s="1"/>
  <c r="D52" i="3"/>
  <c r="F52" i="3" s="1"/>
  <c r="F125" i="19" l="1"/>
  <c r="G297" i="19" s="1"/>
  <c r="G64" i="2"/>
  <c r="G66" i="2" s="1"/>
  <c r="G78" i="2" s="1"/>
  <c r="F134" i="3"/>
  <c r="F77" i="19"/>
  <c r="D53" i="3"/>
  <c r="F53" i="3" s="1"/>
  <c r="F54" i="3" s="1"/>
  <c r="G95" i="19"/>
  <c r="F136" i="3" l="1"/>
  <c r="F191" i="19"/>
  <c r="G125" i="19"/>
  <c r="J125" i="19" s="1"/>
  <c r="F139" i="19"/>
  <c r="F132" i="3"/>
  <c r="H327" i="3"/>
  <c r="D54" i="3"/>
  <c r="I95" i="19"/>
  <c r="D137" i="3" l="1"/>
  <c r="D150" i="3" s="1"/>
  <c r="D23" i="1"/>
  <c r="D39" i="1" s="1"/>
  <c r="F133" i="3"/>
  <c r="F173" i="19"/>
  <c r="G299" i="19" s="1"/>
  <c r="G139" i="19"/>
  <c r="I139" i="19" s="1"/>
  <c r="I125" i="19"/>
  <c r="F239" i="19"/>
  <c r="D239" i="19" s="1"/>
  <c r="I77" i="19"/>
  <c r="K14" i="2"/>
  <c r="D64" i="2" s="1"/>
  <c r="E23" i="1"/>
  <c r="E64" i="2"/>
  <c r="E66" i="2" s="1"/>
  <c r="J139" i="19" l="1"/>
  <c r="J14" i="2"/>
  <c r="J16" i="2" s="1"/>
  <c r="K16" i="2"/>
  <c r="D45" i="1"/>
  <c r="G191" i="19"/>
  <c r="F13" i="19"/>
  <c r="E39" i="1"/>
  <c r="G54" i="3"/>
  <c r="J150" i="3"/>
  <c r="H64" i="2"/>
  <c r="H66" i="2" s="1"/>
  <c r="H78" i="2" s="1"/>
  <c r="H328" i="3"/>
  <c r="F137" i="3"/>
  <c r="F150" i="3" s="1"/>
  <c r="D66" i="2"/>
  <c r="J64" i="2" l="1"/>
  <c r="J66" i="2" s="1"/>
  <c r="E45" i="1"/>
  <c r="I191" i="19"/>
  <c r="F187" i="19"/>
  <c r="G173" i="19"/>
  <c r="J179" i="19" l="1"/>
  <c r="G187" i="19"/>
  <c r="I187" i="19" s="1"/>
  <c r="I173" i="19"/>
  <c r="J173" i="19"/>
  <c r="J181" i="19"/>
  <c r="J187" i="19" l="1"/>
  <c r="C39" i="1" l="1"/>
  <c r="C150" i="3"/>
  <c r="C348" i="3" s="1"/>
  <c r="C45" i="1" l="1"/>
  <c r="C105" i="1"/>
  <c r="C109" i="1" s="1"/>
  <c r="A84" i="3"/>
  <c r="A85" i="3" s="1"/>
  <c r="A86" i="3" s="1"/>
  <c r="A87" i="3" s="1"/>
  <c r="A88" i="3" s="1"/>
  <c r="A89" i="3" s="1"/>
  <c r="A90" i="3" s="1"/>
  <c r="A91" i="3" s="1"/>
  <c r="A92" i="3" s="1"/>
  <c r="A93" i="3" s="1"/>
  <c r="A95" i="3" s="1"/>
  <c r="A97" i="3" s="1"/>
  <c r="A98" i="3" s="1"/>
  <c r="A99" i="3" s="1"/>
  <c r="A100" i="3" s="1"/>
  <c r="A101" i="3" s="1"/>
  <c r="A102" i="3" s="1"/>
  <c r="A103" i="3" s="1"/>
  <c r="A104" i="3" s="1"/>
  <c r="A105" i="3" s="1"/>
  <c r="A56" i="3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106" i="3" l="1"/>
  <c r="A107" i="3" s="1"/>
  <c r="A108" i="3" s="1"/>
  <c r="A109" i="3" s="1"/>
  <c r="A110" i="3" s="1"/>
  <c r="A111" i="3" s="1"/>
  <c r="D217" i="3"/>
  <c r="D334" i="3" s="1"/>
  <c r="F211" i="3"/>
  <c r="A112" i="3" l="1"/>
  <c r="A113" i="3" s="1"/>
  <c r="A114" i="3" s="1"/>
  <c r="A115" i="3" s="1"/>
  <c r="A116" i="3" s="1"/>
  <c r="A117" i="3" s="1"/>
  <c r="A118" i="3" s="1"/>
  <c r="A120" i="3" s="1"/>
  <c r="A122" i="3" s="1"/>
  <c r="A123" i="3" s="1"/>
  <c r="A124" i="3" s="1"/>
  <c r="A125" i="3" s="1"/>
  <c r="A126" i="3" s="1"/>
  <c r="A127" i="3" s="1"/>
  <c r="A128" i="3" s="1"/>
  <c r="A129" i="3" s="1"/>
  <c r="A131" i="3" s="1"/>
  <c r="A132" i="3" s="1"/>
  <c r="A133" i="3" s="1"/>
  <c r="A134" i="3" s="1"/>
  <c r="A135" i="3" s="1"/>
  <c r="A136" i="3" s="1"/>
  <c r="A137" i="3" s="1"/>
  <c r="A139" i="3" s="1"/>
  <c r="A140" i="3" s="1"/>
  <c r="A141" i="3" s="1"/>
  <c r="A142" i="3" s="1"/>
  <c r="A144" i="3" s="1"/>
  <c r="A145" i="3" s="1"/>
  <c r="A146" i="3" s="1"/>
  <c r="A147" i="3" s="1"/>
  <c r="A148" i="3" s="1"/>
  <c r="A150" i="3" s="1"/>
  <c r="A165" i="3" s="1"/>
  <c r="A166" i="3" s="1"/>
  <c r="A167" i="3" s="1"/>
  <c r="A168" i="3" s="1"/>
  <c r="A169" i="3" s="1"/>
  <c r="F332" i="3"/>
  <c r="F103" i="19"/>
  <c r="G298" i="19" s="1"/>
  <c r="D61" i="1"/>
  <c r="D92" i="1" s="1"/>
  <c r="D344" i="3"/>
  <c r="D348" i="3" s="1"/>
  <c r="A170" i="3" l="1"/>
  <c r="A171" i="3" s="1"/>
  <c r="A172" i="3" s="1"/>
  <c r="A173" i="3" s="1"/>
  <c r="A174" i="3" s="1"/>
  <c r="D98" i="1"/>
  <c r="D105" i="1"/>
  <c r="D109" i="1" s="1"/>
  <c r="H326" i="3"/>
  <c r="I70" i="2"/>
  <c r="I76" i="2" s="1"/>
  <c r="I78" i="2" s="1"/>
  <c r="F109" i="19"/>
  <c r="A176" i="3" l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9" i="3" s="1"/>
  <c r="A191" i="3" s="1"/>
  <c r="A192" i="3" s="1"/>
  <c r="A193" i="3" l="1"/>
  <c r="A194" i="3" s="1"/>
  <c r="A195" i="3" s="1"/>
  <c r="F212" i="3"/>
  <c r="F213" i="3" s="1"/>
  <c r="F85" i="19" s="1"/>
  <c r="A196" i="3" l="1"/>
  <c r="A197" i="3" s="1"/>
  <c r="A198" i="3" s="1"/>
  <c r="A199" i="3" s="1"/>
  <c r="A200" i="3" s="1"/>
  <c r="I85" i="19"/>
  <c r="F236" i="19"/>
  <c r="G295" i="19"/>
  <c r="F214" i="3"/>
  <c r="F331" i="3"/>
  <c r="H324" i="3" s="1"/>
  <c r="A202" i="3" l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31" i="3" s="1"/>
  <c r="A232" i="3" s="1"/>
  <c r="A233" i="3" s="1"/>
  <c r="A234" i="3" s="1"/>
  <c r="A235" i="3" s="1"/>
  <c r="A236" i="3" s="1"/>
  <c r="A237" i="3" s="1"/>
  <c r="A238" i="3" s="1"/>
  <c r="J77" i="19"/>
  <c r="F91" i="19"/>
  <c r="J83" i="19"/>
  <c r="J85" i="19"/>
  <c r="H236" i="19"/>
  <c r="A239" i="3" l="1"/>
  <c r="A240" i="3" s="1"/>
  <c r="A241" i="3" s="1"/>
  <c r="A242" i="3" s="1"/>
  <c r="A243" i="3" s="1"/>
  <c r="A244" i="3" s="1"/>
  <c r="A246" i="3" s="1"/>
  <c r="A248" i="3" s="1"/>
  <c r="A249" i="3" s="1"/>
  <c r="A250" i="3" s="1"/>
  <c r="A251" i="3" s="1"/>
  <c r="A252" i="3" s="1"/>
  <c r="I91" i="19"/>
  <c r="J91" i="19"/>
  <c r="D236" i="19"/>
  <c r="A253" i="3" l="1"/>
  <c r="A254" i="3" s="1"/>
  <c r="A255" i="3" s="1"/>
  <c r="A256" i="3" s="1"/>
  <c r="A257" i="3" s="1"/>
  <c r="A259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F216" i="3"/>
  <c r="A278" i="3" l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306" i="3" s="1"/>
  <c r="A307" i="3" s="1"/>
  <c r="A308" i="3" s="1"/>
  <c r="A309" i="3" s="1"/>
  <c r="A310" i="3" s="1"/>
  <c r="A311" i="3" s="1"/>
  <c r="A312" i="3" s="1"/>
  <c r="A313" i="3" s="1"/>
  <c r="A314" i="3" s="1"/>
  <c r="F333" i="3"/>
  <c r="F199" i="19"/>
  <c r="G296" i="19" s="1"/>
  <c r="F217" i="3"/>
  <c r="J344" i="3" s="1"/>
  <c r="A315" i="3" l="1"/>
  <c r="A316" i="3" s="1"/>
  <c r="A317" i="3" s="1"/>
  <c r="A318" i="3" s="1"/>
  <c r="A319" i="3" s="1"/>
  <c r="A321" i="3" s="1"/>
  <c r="A323" i="3" s="1"/>
  <c r="A324" i="3" s="1"/>
  <c r="A325" i="3" s="1"/>
  <c r="A326" i="3" s="1"/>
  <c r="A327" i="3" s="1"/>
  <c r="A328" i="3" s="1"/>
  <c r="A330" i="3" s="1"/>
  <c r="A331" i="3" s="1"/>
  <c r="A332" i="3" s="1"/>
  <c r="A333" i="3" s="1"/>
  <c r="A334" i="3" s="1"/>
  <c r="A336" i="3" s="1"/>
  <c r="A337" i="3" s="1"/>
  <c r="A338" i="3" s="1"/>
  <c r="A340" i="3" s="1"/>
  <c r="A341" i="3" s="1"/>
  <c r="A342" i="3" s="1"/>
  <c r="A344" i="3" s="1"/>
  <c r="A348" i="3" s="1"/>
  <c r="A351" i="3" s="1"/>
  <c r="A353" i="3" s="1"/>
  <c r="A354" i="3" s="1"/>
  <c r="A355" i="3" s="1"/>
  <c r="A356" i="3" s="1"/>
  <c r="A357" i="3" s="1"/>
  <c r="A358" i="3" s="1"/>
  <c r="A359" i="3" s="1"/>
  <c r="A361" i="3" s="1"/>
  <c r="A363" i="3" s="1"/>
  <c r="E70" i="2"/>
  <c r="E76" i="2" s="1"/>
  <c r="E78" i="2" s="1"/>
  <c r="E61" i="1"/>
  <c r="E92" i="1" s="1"/>
  <c r="H329" i="3"/>
  <c r="G217" i="3"/>
  <c r="F21" i="19"/>
  <c r="F29" i="19" s="1"/>
  <c r="F205" i="19"/>
  <c r="G294" i="19" l="1"/>
  <c r="E98" i="1"/>
  <c r="E105" i="1"/>
  <c r="E109" i="1" s="1"/>
  <c r="E130" i="1" s="1"/>
  <c r="F243" i="19" l="1"/>
  <c r="H330" i="3"/>
  <c r="F334" i="3"/>
  <c r="F344" i="3" s="1"/>
  <c r="F348" i="3" s="1"/>
  <c r="F363" i="3" s="1"/>
  <c r="K20" i="2"/>
  <c r="J20" i="2" l="1"/>
  <c r="J26" i="2" s="1"/>
  <c r="J28" i="2" s="1"/>
  <c r="D70" i="2"/>
  <c r="J70" i="2" s="1"/>
  <c r="K26" i="2"/>
  <c r="K28" i="2" s="1"/>
  <c r="J76" i="2" l="1"/>
  <c r="J78" i="2" s="1"/>
  <c r="H363" i="3" s="1"/>
  <c r="D76" i="2"/>
  <c r="D78" i="2" s="1"/>
  <c r="C161" i="13" l="1"/>
  <c r="F193" i="13"/>
  <c r="H101" i="19" s="1"/>
  <c r="D198" i="13" l="1"/>
  <c r="G101" i="19" l="1"/>
  <c r="I101" i="19" s="1"/>
  <c r="F197" i="13"/>
  <c r="H197" i="19" s="1"/>
  <c r="G197" i="19" l="1"/>
  <c r="I197" i="19" l="1"/>
  <c r="F223" i="13"/>
  <c r="H103" i="19" s="1"/>
  <c r="D353" i="13" l="1"/>
  <c r="F350" i="13"/>
  <c r="H344" i="13" s="1"/>
  <c r="D370" i="13" l="1"/>
  <c r="D374" i="13" s="1"/>
  <c r="H109" i="19"/>
  <c r="G103" i="19"/>
  <c r="I103" i="19" s="1"/>
  <c r="F238" i="19" l="1"/>
  <c r="G109" i="19"/>
  <c r="I109" i="19" s="1"/>
  <c r="J103" i="19"/>
  <c r="J95" i="19"/>
  <c r="J101" i="19"/>
  <c r="D238" i="19" l="1"/>
  <c r="J109" i="19"/>
  <c r="D243" i="19" l="1"/>
  <c r="F228" i="13"/>
  <c r="H199" i="19" s="1"/>
  <c r="F244" i="19" l="1"/>
  <c r="I244" i="19"/>
  <c r="J244" i="19"/>
  <c r="H244" i="19"/>
  <c r="G244" i="19"/>
  <c r="F352" i="13"/>
  <c r="G199" i="19"/>
  <c r="I199" i="19" l="1"/>
  <c r="J193" i="19"/>
  <c r="E244" i="19"/>
  <c r="D244" i="19" s="1"/>
  <c r="H348" i="13"/>
  <c r="H205" i="19"/>
  <c r="J191" i="19" l="1"/>
  <c r="G205" i="19"/>
  <c r="J197" i="19" l="1"/>
  <c r="J199" i="19"/>
  <c r="I205" i="19"/>
  <c r="J205" i="19"/>
  <c r="C374" i="13" l="1"/>
  <c r="A104" i="4" l="1"/>
  <c r="A106" i="4" s="1"/>
  <c r="A108" i="4" s="1"/>
  <c r="A110" i="4" s="1"/>
  <c r="A113" i="4" s="1"/>
  <c r="A115" i="4" s="1"/>
  <c r="A117" i="4" s="1"/>
  <c r="A189" i="4"/>
  <c r="A190" i="4"/>
  <c r="A191" i="4" s="1"/>
  <c r="A193" i="4" s="1"/>
  <c r="A195" i="4" s="1"/>
  <c r="A197" i="4" s="1"/>
  <c r="A199" i="4" s="1"/>
  <c r="A201" i="4" s="1"/>
  <c r="A202" i="4" s="1"/>
  <c r="A203" i="4" s="1"/>
  <c r="A204" i="4" s="1"/>
  <c r="A205" i="4" s="1"/>
  <c r="A207" i="4" s="1"/>
  <c r="A209" i="4" s="1"/>
  <c r="A211" i="4" s="1"/>
  <c r="A213" i="4" s="1"/>
  <c r="A214" i="4" s="1"/>
  <c r="A215" i="4" s="1"/>
  <c r="A216" i="4" s="1"/>
  <c r="A217" i="4" s="1"/>
  <c r="A219" i="4" s="1"/>
  <c r="A221" i="4" s="1"/>
  <c r="A223" i="4" s="1"/>
  <c r="A225" i="4" s="1"/>
  <c r="A227" i="4" s="1"/>
  <c r="A228" i="4" s="1"/>
  <c r="A229" i="4" s="1"/>
  <c r="A230" i="4" s="1"/>
  <c r="A231" i="4" s="1"/>
  <c r="A232" i="4" s="1"/>
  <c r="A233" i="4" s="1"/>
  <c r="A235" i="4" s="1"/>
  <c r="A237" i="4" s="1"/>
  <c r="A239" i="4" s="1"/>
  <c r="A240" i="4" s="1"/>
  <c r="A241" i="4" s="1"/>
  <c r="A242" i="4" s="1"/>
  <c r="A243" i="4" s="1"/>
  <c r="A244" i="4" s="1"/>
  <c r="A245" i="4" s="1"/>
  <c r="A247" i="4" s="1"/>
  <c r="A249" i="4" s="1"/>
  <c r="A251" i="4" s="1"/>
  <c r="A253" i="4" s="1"/>
  <c r="A255" i="4" s="1"/>
  <c r="A256" i="4" s="1"/>
  <c r="A257" i="4" s="1"/>
  <c r="A258" i="4" s="1"/>
  <c r="A259" i="4" s="1"/>
  <c r="A261" i="4" s="1"/>
  <c r="A277" i="4"/>
  <c r="A278" i="4" s="1"/>
  <c r="A279" i="4" s="1"/>
  <c r="A280" i="4" s="1"/>
  <c r="A281" i="4" s="1"/>
  <c r="A283" i="4" s="1"/>
  <c r="A285" i="4" s="1"/>
  <c r="A288" i="4" s="1"/>
  <c r="A290" i="4" s="1"/>
  <c r="A292" i="4" s="1"/>
  <c r="A294" i="4" s="1"/>
  <c r="A296" i="4" s="1"/>
  <c r="A300" i="4" s="1"/>
  <c r="A27" i="4"/>
  <c r="A29" i="4" s="1"/>
  <c r="A119" i="4" l="1"/>
  <c r="A121" i="4" s="1"/>
  <c r="A123" i="4" s="1"/>
  <c r="A125" i="4" s="1"/>
  <c r="A127" i="4" s="1"/>
  <c r="A129" i="4" s="1"/>
  <c r="A131" i="4" s="1"/>
  <c r="A133" i="4" s="1"/>
  <c r="A135" i="4" s="1"/>
  <c r="A137" i="4" s="1"/>
  <c r="A138" i="4" s="1"/>
  <c r="A139" i="4" s="1"/>
  <c r="A141" i="4" s="1"/>
  <c r="A143" i="4" s="1"/>
  <c r="A144" i="4" s="1"/>
  <c r="A145" i="4" s="1"/>
  <c r="A147" i="4" s="1"/>
  <c r="A149" i="4" s="1"/>
  <c r="A151" i="4" s="1"/>
  <c r="A153" i="4" s="1"/>
  <c r="A154" i="4" s="1"/>
  <c r="A155" i="4" s="1"/>
  <c r="A157" i="4" s="1"/>
  <c r="A159" i="4" s="1"/>
  <c r="A160" i="4" s="1"/>
  <c r="A161" i="4" s="1"/>
  <c r="A163" i="4" s="1"/>
  <c r="A165" i="4" s="1"/>
  <c r="A167" i="4" s="1"/>
  <c r="A169" i="4" s="1"/>
  <c r="A170" i="4" s="1"/>
  <c r="A171" i="4" s="1"/>
  <c r="A173" i="4" s="1"/>
  <c r="A31" i="4"/>
  <c r="A33" i="4" s="1"/>
  <c r="A35" i="4" s="1"/>
  <c r="A37" i="4" l="1"/>
  <c r="A39" i="4" s="1"/>
  <c r="A41" i="4" s="1"/>
  <c r="A43" i="4" s="1"/>
  <c r="A45" i="4" s="1"/>
  <c r="A47" i="4" s="1"/>
  <c r="A49" i="4" s="1"/>
  <c r="A51" i="4" s="1"/>
  <c r="A53" i="4" s="1"/>
  <c r="A55" i="4" s="1"/>
  <c r="A57" i="4" s="1"/>
  <c r="A59" i="4" s="1"/>
  <c r="A61" i="4" s="1"/>
  <c r="A63" i="4" s="1"/>
  <c r="A65" i="4" s="1"/>
  <c r="A66" i="4" s="1"/>
  <c r="A67" i="4" s="1"/>
  <c r="A68" i="4" s="1"/>
  <c r="A69" i="4" s="1"/>
  <c r="A70" i="4" s="1"/>
  <c r="A72" i="4" s="1"/>
  <c r="A74" i="4" s="1"/>
  <c r="A76" i="4" s="1"/>
  <c r="A77" i="4" s="1"/>
  <c r="A78" i="4" s="1"/>
  <c r="A79" i="4" s="1"/>
  <c r="A80" i="4" s="1"/>
  <c r="A81" i="4" s="1"/>
  <c r="A83" i="4" s="1"/>
  <c r="A85" i="4" s="1"/>
  <c r="I226" i="19"/>
  <c r="I231" i="19" l="1"/>
  <c r="I233" i="19" l="1"/>
  <c r="D233" i="19" s="1"/>
  <c r="I234" i="19" l="1"/>
  <c r="J234" i="19"/>
  <c r="F234" i="19"/>
  <c r="H234" i="19"/>
  <c r="E234" i="19" l="1"/>
  <c r="D234" i="19" s="1"/>
  <c r="J27" i="19"/>
  <c r="I27" i="19"/>
  <c r="F379" i="13"/>
  <c r="D237" i="19"/>
  <c r="D240" i="19" s="1"/>
  <c r="G114" i="1" l="1"/>
  <c r="F114" i="1" s="1"/>
  <c r="F128" i="1" s="1"/>
  <c r="G58" i="19"/>
  <c r="F387" i="13"/>
  <c r="H27" i="19" s="1"/>
  <c r="I237" i="19"/>
  <c r="I240" i="19" s="1"/>
  <c r="H237" i="19"/>
  <c r="H240" i="19" s="1"/>
  <c r="F237" i="19"/>
  <c r="F240" i="19" s="1"/>
  <c r="G237" i="19"/>
  <c r="J237" i="19"/>
  <c r="G128" i="1" l="1"/>
  <c r="I241" i="19"/>
  <c r="G394" i="19"/>
  <c r="G395" i="19" s="1"/>
  <c r="G240" i="19"/>
  <c r="I246" i="19"/>
  <c r="J240" i="19"/>
  <c r="E237" i="19"/>
  <c r="E240" i="19" s="1"/>
  <c r="G268" i="19" s="1"/>
  <c r="H246" i="19"/>
  <c r="H241" i="19"/>
  <c r="G375" i="19"/>
  <c r="G376" i="19" s="1"/>
  <c r="F241" i="19"/>
  <c r="F246" i="19"/>
  <c r="G301" i="19"/>
  <c r="G302" i="19" s="1"/>
  <c r="G305" i="19" s="1"/>
  <c r="F307" i="19" s="1"/>
  <c r="G403" i="19" l="1"/>
  <c r="G409" i="19" s="1"/>
  <c r="G381" i="19"/>
  <c r="G383" i="19" s="1"/>
  <c r="F383" i="19" s="1"/>
  <c r="G246" i="19"/>
  <c r="G241" i="19"/>
  <c r="G339" i="19"/>
  <c r="G340" i="19" s="1"/>
  <c r="G269" i="19"/>
  <c r="G271" i="19" s="1"/>
  <c r="F273" i="19" s="1"/>
  <c r="G307" i="19"/>
  <c r="F309" i="19"/>
  <c r="G309" i="19" s="1"/>
  <c r="G314" i="19" s="1"/>
  <c r="F310" i="19"/>
  <c r="G310" i="19" s="1"/>
  <c r="G316" i="19" s="1"/>
  <c r="J241" i="19"/>
  <c r="J246" i="19"/>
  <c r="G430" i="19"/>
  <c r="G431" i="19" s="1"/>
  <c r="G445" i="19" s="1"/>
  <c r="G447" i="19" s="1"/>
  <c r="G406" i="19" l="1"/>
  <c r="F406" i="19" s="1"/>
  <c r="E282" i="13" s="1"/>
  <c r="F282" i="13" s="1"/>
  <c r="G407" i="19"/>
  <c r="F407" i="19" s="1"/>
  <c r="E283" i="13" s="1"/>
  <c r="F409" i="19"/>
  <c r="E285" i="13" s="1"/>
  <c r="F285" i="13" s="1"/>
  <c r="K409" i="19"/>
  <c r="G408" i="19"/>
  <c r="F408" i="19" s="1"/>
  <c r="E284" i="13" s="1"/>
  <c r="G344" i="19"/>
  <c r="F346" i="19" s="1"/>
  <c r="G273" i="19"/>
  <c r="F450" i="19"/>
  <c r="F451" i="19"/>
  <c r="E328" i="13" s="1"/>
  <c r="F328" i="13" s="1"/>
  <c r="E241" i="19"/>
  <c r="D241" i="19" s="1"/>
  <c r="G317" i="19"/>
  <c r="K314" i="19"/>
  <c r="F314" i="19"/>
  <c r="E47" i="13" s="1"/>
  <c r="E192" i="13" s="1"/>
  <c r="G451" i="19"/>
  <c r="K451" i="19" s="1"/>
  <c r="G452" i="19"/>
  <c r="K452" i="19" s="1"/>
  <c r="G450" i="19"/>
  <c r="F452" i="19"/>
  <c r="E329" i="13" s="1"/>
  <c r="F329" i="13" s="1"/>
  <c r="E265" i="13"/>
  <c r="E246" i="19"/>
  <c r="D246" i="19" s="1"/>
  <c r="K316" i="19"/>
  <c r="F316" i="19"/>
  <c r="E220" i="13" s="1"/>
  <c r="E109" i="13" l="1"/>
  <c r="F109" i="13" s="1"/>
  <c r="G410" i="19"/>
  <c r="K410" i="19" s="1"/>
  <c r="K411" i="19" s="1"/>
  <c r="K406" i="19"/>
  <c r="E112" i="13"/>
  <c r="F112" i="13" s="1"/>
  <c r="K407" i="19"/>
  <c r="K408" i="19"/>
  <c r="G346" i="19"/>
  <c r="F349" i="19"/>
  <c r="G349" i="19" s="1"/>
  <c r="G355" i="19" s="1"/>
  <c r="F348" i="19"/>
  <c r="G348" i="19" s="1"/>
  <c r="G353" i="19" s="1"/>
  <c r="F353" i="19" s="1"/>
  <c r="E110" i="13"/>
  <c r="F110" i="13" s="1"/>
  <c r="F283" i="13"/>
  <c r="F284" i="13"/>
  <c r="E111" i="13"/>
  <c r="F111" i="13" s="1"/>
  <c r="G247" i="19"/>
  <c r="I247" i="19"/>
  <c r="F247" i="19"/>
  <c r="H247" i="19"/>
  <c r="F47" i="13"/>
  <c r="F192" i="13"/>
  <c r="K318" i="19"/>
  <c r="K383" i="19"/>
  <c r="G384" i="19"/>
  <c r="F384" i="19" s="1"/>
  <c r="K450" i="19"/>
  <c r="E327" i="13"/>
  <c r="F327" i="13" s="1"/>
  <c r="F330" i="13" s="1"/>
  <c r="F331" i="13" s="1"/>
  <c r="F332" i="13" s="1"/>
  <c r="F220" i="13"/>
  <c r="E222" i="13"/>
  <c r="F222" i="13" s="1"/>
  <c r="K273" i="19"/>
  <c r="K274" i="19" s="1"/>
  <c r="E17" i="13"/>
  <c r="J247" i="19"/>
  <c r="F265" i="13"/>
  <c r="E107" i="13"/>
  <c r="F107" i="13" s="1"/>
  <c r="F447" i="19"/>
  <c r="K447" i="19"/>
  <c r="E247" i="13" l="1"/>
  <c r="E62" i="13"/>
  <c r="F121" i="13"/>
  <c r="F335" i="13"/>
  <c r="K455" i="19"/>
  <c r="K353" i="19"/>
  <c r="G356" i="19"/>
  <c r="K355" i="19"/>
  <c r="H36" i="19"/>
  <c r="G36" i="19" s="1"/>
  <c r="I36" i="19" s="1"/>
  <c r="F286" i="13"/>
  <c r="F287" i="13" s="1"/>
  <c r="G385" i="19"/>
  <c r="E266" i="13"/>
  <c r="H46" i="19"/>
  <c r="G46" i="19" s="1"/>
  <c r="I46" i="19" s="1"/>
  <c r="E247" i="19"/>
  <c r="D247" i="19" s="1"/>
  <c r="F194" i="13"/>
  <c r="H39" i="19"/>
  <c r="G39" i="19" s="1"/>
  <c r="I39" i="19" s="1"/>
  <c r="E88" i="13"/>
  <c r="F88" i="13" s="1"/>
  <c r="E302" i="13"/>
  <c r="F302" i="13" s="1"/>
  <c r="E32" i="13"/>
  <c r="F32" i="13" s="1"/>
  <c r="F33" i="13" s="1"/>
  <c r="G279" i="19" s="1"/>
  <c r="E178" i="13"/>
  <c r="F178" i="13" s="1"/>
  <c r="F17" i="13"/>
  <c r="K384" i="19"/>
  <c r="K385" i="19" s="1"/>
  <c r="K386" i="19" s="1"/>
  <c r="F224" i="13"/>
  <c r="H41" i="19"/>
  <c r="G41" i="19" s="1"/>
  <c r="I41" i="19" s="1"/>
  <c r="H33" i="19"/>
  <c r="F50" i="13"/>
  <c r="F62" i="13" l="1"/>
  <c r="F66" i="13" s="1"/>
  <c r="F67" i="13" s="1"/>
  <c r="F68" i="13" s="1"/>
  <c r="F71" i="13" s="1"/>
  <c r="E204" i="13"/>
  <c r="F204" i="13" s="1"/>
  <c r="H40" i="19" s="1"/>
  <c r="G40" i="19" s="1"/>
  <c r="I40" i="19" s="1"/>
  <c r="E249" i="13"/>
  <c r="F249" i="13" s="1"/>
  <c r="F247" i="13"/>
  <c r="H62" i="19"/>
  <c r="H80" i="19"/>
  <c r="G80" i="19" s="1"/>
  <c r="H16" i="19"/>
  <c r="G16" i="19" s="1"/>
  <c r="I16" i="19" s="1"/>
  <c r="F288" i="13"/>
  <c r="F148" i="13"/>
  <c r="F90" i="13"/>
  <c r="F91" i="13" s="1"/>
  <c r="K357" i="19"/>
  <c r="F341" i="13"/>
  <c r="F130" i="13"/>
  <c r="F360" i="13"/>
  <c r="G33" i="19"/>
  <c r="J39" i="19" s="1"/>
  <c r="F51" i="13"/>
  <c r="F52" i="13" s="1"/>
  <c r="F303" i="13"/>
  <c r="H45" i="19"/>
  <c r="G45" i="19" s="1"/>
  <c r="I45" i="19" s="1"/>
  <c r="F365" i="13"/>
  <c r="F195" i="13"/>
  <c r="F196" i="13" s="1"/>
  <c r="F198" i="13" s="1"/>
  <c r="H90" i="19"/>
  <c r="G90" i="19" s="1"/>
  <c r="F266" i="13"/>
  <c r="E108" i="13"/>
  <c r="F108" i="13" s="1"/>
  <c r="G280" i="19"/>
  <c r="F225" i="13"/>
  <c r="H85" i="19" s="1"/>
  <c r="G85" i="19" s="1"/>
  <c r="H34" i="19" l="1"/>
  <c r="G34" i="19" s="1"/>
  <c r="I34" i="19" s="1"/>
  <c r="F208" i="13"/>
  <c r="F209" i="13" s="1"/>
  <c r="H84" i="19" s="1"/>
  <c r="G84" i="19" s="1"/>
  <c r="F139" i="13"/>
  <c r="H42" i="19"/>
  <c r="G42" i="19" s="1"/>
  <c r="I42" i="19" s="1"/>
  <c r="F348" i="13"/>
  <c r="F251" i="13"/>
  <c r="F252" i="13" s="1"/>
  <c r="H86" i="19" s="1"/>
  <c r="G86" i="19" s="1"/>
  <c r="H44" i="19"/>
  <c r="G44" i="19" s="1"/>
  <c r="F291" i="13"/>
  <c r="H24" i="19" s="1"/>
  <c r="G57" i="19"/>
  <c r="F362" i="13"/>
  <c r="H88" i="19" s="1"/>
  <c r="G88" i="19" s="1"/>
  <c r="F120" i="13"/>
  <c r="H15" i="19" s="1"/>
  <c r="G15" i="19" s="1"/>
  <c r="F304" i="13"/>
  <c r="F307" i="13" s="1"/>
  <c r="F267" i="13"/>
  <c r="F355" i="13"/>
  <c r="G335" i="13"/>
  <c r="F280" i="19"/>
  <c r="E18" i="13" s="1"/>
  <c r="F18" i="13" s="1"/>
  <c r="J41" i="19"/>
  <c r="J33" i="19"/>
  <c r="I33" i="19"/>
  <c r="H78" i="19"/>
  <c r="G78" i="19" s="1"/>
  <c r="F35" i="13"/>
  <c r="F226" i="13"/>
  <c r="F229" i="13" s="1"/>
  <c r="H19" i="19"/>
  <c r="G19" i="19" s="1"/>
  <c r="I19" i="19" s="1"/>
  <c r="G198" i="13"/>
  <c r="F113" i="13"/>
  <c r="H35" i="19"/>
  <c r="H83" i="19"/>
  <c r="G83" i="19" s="1"/>
  <c r="H43" i="19"/>
  <c r="G43" i="19" s="1"/>
  <c r="I43" i="19" s="1"/>
  <c r="H77" i="19"/>
  <c r="G77" i="19" s="1"/>
  <c r="H32" i="19"/>
  <c r="F55" i="13"/>
  <c r="F210" i="13" l="1"/>
  <c r="F212" i="13" s="1"/>
  <c r="H20" i="19" s="1"/>
  <c r="G20" i="19" s="1"/>
  <c r="I20" i="19" s="1"/>
  <c r="F363" i="13"/>
  <c r="F268" i="13"/>
  <c r="F253" i="13"/>
  <c r="F349" i="13"/>
  <c r="F353" i="13" s="1"/>
  <c r="F119" i="13"/>
  <c r="F154" i="13"/>
  <c r="F149" i="13"/>
  <c r="F92" i="13"/>
  <c r="F95" i="13" s="1"/>
  <c r="J42" i="19"/>
  <c r="E179" i="13"/>
  <c r="F179" i="13" s="1"/>
  <c r="F181" i="13" s="1"/>
  <c r="F132" i="13"/>
  <c r="J40" i="19"/>
  <c r="J34" i="19"/>
  <c r="G35" i="19"/>
  <c r="J35" i="19" s="1"/>
  <c r="F140" i="13"/>
  <c r="F146" i="13" s="1"/>
  <c r="G71" i="13"/>
  <c r="J36" i="19"/>
  <c r="I44" i="19"/>
  <c r="J44" i="19"/>
  <c r="G24" i="19"/>
  <c r="J16" i="19" s="1"/>
  <c r="G78" i="1"/>
  <c r="F78" i="1" s="1"/>
  <c r="F94" i="1" s="1"/>
  <c r="G86" i="1"/>
  <c r="F86" i="1" s="1"/>
  <c r="H26" i="19"/>
  <c r="G26" i="19" s="1"/>
  <c r="I26" i="19" s="1"/>
  <c r="G291" i="13"/>
  <c r="G32" i="19"/>
  <c r="I15" i="19"/>
  <c r="H38" i="19"/>
  <c r="G38" i="19" s="1"/>
  <c r="I38" i="19" s="1"/>
  <c r="G55" i="13"/>
  <c r="H13" i="19"/>
  <c r="G13" i="19" s="1"/>
  <c r="F36" i="13"/>
  <c r="F37" i="13" s="1"/>
  <c r="F40" i="13" s="1"/>
  <c r="H79" i="19"/>
  <c r="G79" i="19" s="1"/>
  <c r="F155" i="13"/>
  <c r="H37" i="19"/>
  <c r="G82" i="1"/>
  <c r="H25" i="19"/>
  <c r="G25" i="19" s="1"/>
  <c r="I25" i="19" s="1"/>
  <c r="G307" i="13"/>
  <c r="H89" i="19"/>
  <c r="G89" i="19" s="1"/>
  <c r="F367" i="13"/>
  <c r="F368" i="13" s="1"/>
  <c r="G229" i="13"/>
  <c r="H21" i="19"/>
  <c r="G21" i="19" s="1"/>
  <c r="I21" i="19" s="1"/>
  <c r="G212" i="13" l="1"/>
  <c r="G57" i="1"/>
  <c r="F57" i="1" s="1"/>
  <c r="F271" i="13"/>
  <c r="H23" i="19" s="1"/>
  <c r="G23" i="19" s="1"/>
  <c r="G56" i="19"/>
  <c r="F122" i="13"/>
  <c r="G52" i="19"/>
  <c r="F257" i="13"/>
  <c r="H22" i="19" s="1"/>
  <c r="G22" i="19" s="1"/>
  <c r="I22" i="19" s="1"/>
  <c r="H48" i="19"/>
  <c r="H81" i="19"/>
  <c r="G81" i="19" s="1"/>
  <c r="F152" i="13"/>
  <c r="F159" i="13"/>
  <c r="H341" i="13"/>
  <c r="G95" i="13"/>
  <c r="G19" i="1"/>
  <c r="F19" i="1" s="1"/>
  <c r="G40" i="13"/>
  <c r="F343" i="13"/>
  <c r="H343" i="13" s="1"/>
  <c r="H148" i="19"/>
  <c r="G148" i="19" s="1"/>
  <c r="I148" i="19" s="1"/>
  <c r="F21" i="13"/>
  <c r="F22" i="13" s="1"/>
  <c r="F131" i="13" s="1"/>
  <c r="H142" i="19"/>
  <c r="G142" i="19" s="1"/>
  <c r="I142" i="19" s="1"/>
  <c r="I35" i="19"/>
  <c r="J43" i="19"/>
  <c r="I24" i="19"/>
  <c r="G23" i="1"/>
  <c r="G39" i="1" s="1"/>
  <c r="G37" i="19"/>
  <c r="J46" i="19" s="1"/>
  <c r="H14" i="19"/>
  <c r="G14" i="19" s="1"/>
  <c r="J24" i="19"/>
  <c r="G94" i="1"/>
  <c r="J32" i="19"/>
  <c r="J38" i="19"/>
  <c r="I32" i="19"/>
  <c r="F182" i="13"/>
  <c r="F342" i="13" s="1"/>
  <c r="F82" i="1"/>
  <c r="F96" i="1" s="1"/>
  <c r="G96" i="1"/>
  <c r="F357" i="13"/>
  <c r="F358" i="13" s="1"/>
  <c r="H87" i="19"/>
  <c r="G87" i="19" s="1"/>
  <c r="I13" i="19"/>
  <c r="J19" i="19"/>
  <c r="J13" i="19"/>
  <c r="J21" i="19"/>
  <c r="G271" i="13" l="1"/>
  <c r="G61" i="1"/>
  <c r="F61" i="1" s="1"/>
  <c r="G74" i="1"/>
  <c r="F74" i="1" s="1"/>
  <c r="G257" i="13"/>
  <c r="F125" i="13"/>
  <c r="G125" i="13" s="1"/>
  <c r="G53" i="19"/>
  <c r="J20" i="19"/>
  <c r="H17" i="19"/>
  <c r="G17" i="19" s="1"/>
  <c r="J25" i="19" s="1"/>
  <c r="G27" i="1"/>
  <c r="H157" i="19"/>
  <c r="J45" i="19"/>
  <c r="J37" i="19"/>
  <c r="G48" i="19"/>
  <c r="J48" i="19" s="1"/>
  <c r="I37" i="19"/>
  <c r="F23" i="1"/>
  <c r="F39" i="1" s="1"/>
  <c r="J14" i="19"/>
  <c r="I14" i="19"/>
  <c r="J22" i="19"/>
  <c r="F183" i="13"/>
  <c r="F185" i="13" s="1"/>
  <c r="J370" i="13" s="1"/>
  <c r="H76" i="19"/>
  <c r="H342" i="13"/>
  <c r="H349" i="13" s="1"/>
  <c r="F137" i="13"/>
  <c r="F161" i="13" s="1"/>
  <c r="H82" i="19"/>
  <c r="G82" i="19" s="1"/>
  <c r="F346" i="13"/>
  <c r="F370" i="13" s="1"/>
  <c r="J142" i="19"/>
  <c r="G157" i="19"/>
  <c r="J148" i="19"/>
  <c r="F23" i="13"/>
  <c r="F26" i="13" s="1"/>
  <c r="I23" i="19"/>
  <c r="J23" i="19"/>
  <c r="J15" i="19"/>
  <c r="G92" i="1" l="1"/>
  <c r="G105" i="1" s="1"/>
  <c r="F92" i="1"/>
  <c r="F105" i="1" s="1"/>
  <c r="J161" i="13"/>
  <c r="G31" i="1"/>
  <c r="G43" i="1" s="1"/>
  <c r="G60" i="19"/>
  <c r="G62" i="19" s="1"/>
  <c r="I17" i="19"/>
  <c r="J26" i="19"/>
  <c r="J17" i="19"/>
  <c r="F27" i="1"/>
  <c r="F41" i="1" s="1"/>
  <c r="G41" i="1"/>
  <c r="G185" i="13"/>
  <c r="H18" i="19"/>
  <c r="G18" i="19" s="1"/>
  <c r="I18" i="19" s="1"/>
  <c r="I48" i="19"/>
  <c r="G53" i="1"/>
  <c r="K370" i="13"/>
  <c r="F374" i="13"/>
  <c r="G26" i="13"/>
  <c r="H12" i="19"/>
  <c r="G15" i="1"/>
  <c r="J157" i="19"/>
  <c r="I157" i="19"/>
  <c r="H91" i="19"/>
  <c r="G76" i="19"/>
  <c r="G91" i="19" s="1"/>
  <c r="G107" i="1" l="1"/>
  <c r="F31" i="1"/>
  <c r="F43" i="1" s="1"/>
  <c r="F107" i="1" s="1"/>
  <c r="H29" i="19"/>
  <c r="F389" i="13"/>
  <c r="F53" i="1"/>
  <c r="G90" i="1"/>
  <c r="G98" i="1" s="1"/>
  <c r="G12" i="19"/>
  <c r="F15" i="1"/>
  <c r="F37" i="1" s="1"/>
  <c r="G37" i="1"/>
  <c r="F90" i="1" l="1"/>
  <c r="F98" i="1" s="1"/>
  <c r="G103" i="1"/>
  <c r="G109" i="1" s="1"/>
  <c r="G45" i="1"/>
  <c r="F45" i="1"/>
  <c r="J18" i="19"/>
  <c r="J12" i="19"/>
  <c r="I12" i="19"/>
  <c r="G29" i="19"/>
  <c r="F103" i="1" l="1"/>
  <c r="F109" i="1" s="1"/>
  <c r="F130" i="1" s="1"/>
  <c r="I109" i="1"/>
  <c r="G130" i="1"/>
  <c r="J29" i="19"/>
  <c r="I29" i="19"/>
</calcChain>
</file>

<file path=xl/comments1.xml><?xml version="1.0" encoding="utf-8"?>
<comments xmlns="http://schemas.openxmlformats.org/spreadsheetml/2006/main">
  <authors>
    <author>Melissa Bell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Melissa Bell:</t>
        </r>
        <r>
          <rPr>
            <sz val="9"/>
            <color indexed="81"/>
            <rFont val="Tahoma"/>
            <family val="2"/>
          </rPr>
          <t xml:space="preserve">
From Exh 103 Page 11 Col 8.</t>
        </r>
      </text>
    </comment>
  </commentList>
</comments>
</file>

<file path=xl/comments2.xml><?xml version="1.0" encoding="utf-8"?>
<comments xmlns="http://schemas.openxmlformats.org/spreadsheetml/2006/main">
  <authors>
    <author>Melissa Bell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Melissa Bell:</t>
        </r>
        <r>
          <rPr>
            <sz val="9"/>
            <color indexed="81"/>
            <rFont val="Tahoma"/>
            <family val="2"/>
          </rPr>
          <t xml:space="preserve">
From Exh. 103, Page 11, Col. 2 (FTY)</t>
        </r>
      </text>
    </comment>
  </commentList>
</comments>
</file>

<file path=xl/comments3.xml><?xml version="1.0" encoding="utf-8"?>
<comments xmlns="http://schemas.openxmlformats.org/spreadsheetml/2006/main">
  <authors>
    <author>NiSource</author>
  </authors>
  <commentList>
    <comment ref="C8" authorId="0" shapeId="0">
      <text>
        <r>
          <rPr>
            <b/>
            <sz val="8"/>
            <color indexed="81"/>
            <rFont val="Tahoma"/>
            <family val="2"/>
          </rPr>
          <t>NiSource:</t>
        </r>
        <r>
          <rPr>
            <sz val="8"/>
            <color indexed="81"/>
            <rFont val="Tahoma"/>
            <family val="2"/>
          </rPr>
          <t xml:space="preserve">
From Exh 103 Sch1 FTY</t>
        </r>
      </text>
    </comment>
  </commentList>
</comments>
</file>

<file path=xl/sharedStrings.xml><?xml version="1.0" encoding="utf-8"?>
<sst xmlns="http://schemas.openxmlformats.org/spreadsheetml/2006/main" count="2628" uniqueCount="647">
  <si>
    <t>Bills from</t>
  </si>
  <si>
    <t>Industrial</t>
  </si>
  <si>
    <t>Rate</t>
  </si>
  <si>
    <t>Line</t>
  </si>
  <si>
    <t>&amp; Lg Com</t>
  </si>
  <si>
    <t>Schedule</t>
  </si>
  <si>
    <t>No.</t>
  </si>
  <si>
    <t>Description</t>
  </si>
  <si>
    <t>Customers</t>
  </si>
  <si>
    <t>New Const.</t>
  </si>
  <si>
    <t>Attrition</t>
  </si>
  <si>
    <t>Adjusted</t>
  </si>
  <si>
    <t>(1)</t>
  </si>
  <si>
    <t>(2)</t>
  </si>
  <si>
    <t>(4)</t>
  </si>
  <si>
    <t>(5)</t>
  </si>
  <si>
    <t>(6)</t>
  </si>
  <si>
    <t>Rate Schedule RS</t>
  </si>
  <si>
    <t>R E S I D E N T I A L</t>
  </si>
  <si>
    <t>C O M M E R C I A L</t>
  </si>
  <si>
    <t>Total</t>
  </si>
  <si>
    <t>I N D U S T R I A L</t>
  </si>
  <si>
    <t>Adjustment</t>
  </si>
  <si>
    <t>Tariff Sales Summary by Customer Class</t>
  </si>
  <si>
    <t>Total Residential Sales</t>
  </si>
  <si>
    <t>Total Commercial Sales</t>
  </si>
  <si>
    <t>Total Industrial Sales</t>
  </si>
  <si>
    <t>Total Tariff Sales</t>
  </si>
  <si>
    <t>Total Company Throughput</t>
  </si>
  <si>
    <t>Adj</t>
  </si>
  <si>
    <t>Base Rate</t>
  </si>
  <si>
    <t>Revenue</t>
  </si>
  <si>
    <t>(3)</t>
  </si>
  <si>
    <t>$</t>
  </si>
  <si>
    <t>Summary of Adjustments to Annualize Volumes By New Customers &amp; Attrition</t>
  </si>
  <si>
    <t>Bills</t>
  </si>
  <si>
    <t>from New</t>
  </si>
  <si>
    <t>from</t>
  </si>
  <si>
    <t>from Attrition</t>
  </si>
  <si>
    <t>Ind &amp; Lg Com</t>
  </si>
  <si>
    <t>Volumes</t>
  </si>
  <si>
    <t>All Gas Consumed</t>
  </si>
  <si>
    <t>Incremental</t>
  </si>
  <si>
    <t>No. of Mos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</si>
  <si>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</si>
  <si>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</si>
  <si>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</si>
  <si>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</si>
  <si>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</si>
  <si>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</si>
  <si>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</si>
  <si>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</si>
  <si>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</si>
  <si>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</si>
  <si>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</si>
  <si>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</si>
  <si>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Mo.</t>
  </si>
  <si>
    <t>Not Online</t>
  </si>
  <si>
    <t>U.P.C.</t>
  </si>
  <si>
    <t>(3=1x2)</t>
  </si>
  <si>
    <t>First Block Usage per Customer</t>
  </si>
  <si>
    <t>First Month First Block Usage per Customer</t>
  </si>
  <si>
    <t>Customer Charge</t>
  </si>
  <si>
    <t>Commodity Charge:</t>
  </si>
  <si>
    <t>Customer Charge:</t>
  </si>
  <si>
    <t>Subtotal</t>
  </si>
  <si>
    <t>Gas Cost</t>
  </si>
  <si>
    <t>495</t>
  </si>
  <si>
    <t>496</t>
  </si>
  <si>
    <t>Annualized</t>
  </si>
  <si>
    <t>Acct</t>
  </si>
  <si>
    <t>To Reflect</t>
  </si>
  <si>
    <t>No</t>
  </si>
  <si>
    <t>Annualization</t>
  </si>
  <si>
    <t>GAS SERVICE REVENUE</t>
  </si>
  <si>
    <t>480</t>
  </si>
  <si>
    <t>Residential Sales Revenue</t>
  </si>
  <si>
    <t>481</t>
  </si>
  <si>
    <t>TOTAL GAS SERVICE REV</t>
  </si>
  <si>
    <t>487</t>
  </si>
  <si>
    <t>Forfeited Discounts</t>
  </si>
  <si>
    <t>488</t>
  </si>
  <si>
    <t>Miscellaneous Service Revenues</t>
  </si>
  <si>
    <t>489</t>
  </si>
  <si>
    <t>Transportation of Gas</t>
  </si>
  <si>
    <t>Prior Yr. Rate Refund - Net.</t>
  </si>
  <si>
    <t>Other Gas Revenues - Other</t>
  </si>
  <si>
    <t>Provision For Rate Refunds</t>
  </si>
  <si>
    <t>TOTAL OTHER OPER. REV</t>
  </si>
  <si>
    <t>TOTAL REVENUE</t>
  </si>
  <si>
    <t>Residential Sales</t>
  </si>
  <si>
    <t>Commercial Sales</t>
  </si>
  <si>
    <t>Industrial Sales</t>
  </si>
  <si>
    <t>TOTAL GAS SERVICE SALES</t>
  </si>
  <si>
    <t>Commercial Transportation</t>
  </si>
  <si>
    <t>Industrial Transportation</t>
  </si>
  <si>
    <t>TOTAL TRANS VOLUME</t>
  </si>
  <si>
    <t>Other Sales Revenue</t>
  </si>
  <si>
    <t>Other Sales</t>
  </si>
  <si>
    <t>Service</t>
  </si>
  <si>
    <t>Began/</t>
  </si>
  <si>
    <t>Acct No.</t>
  </si>
  <si>
    <t>Terminated</t>
  </si>
  <si>
    <t>Miscellaneous Service Rev</t>
  </si>
  <si>
    <t>Residential Transportation</t>
  </si>
  <si>
    <t>Unbilled Transportation</t>
  </si>
  <si>
    <t>Unbilled Sales</t>
  </si>
  <si>
    <t>Off System Sales</t>
  </si>
  <si>
    <t>Other Sales Revenue [1]</t>
  </si>
  <si>
    <t>Other Sales [1]</t>
  </si>
  <si>
    <t>Number of Bills</t>
  </si>
  <si>
    <t>Change</t>
  </si>
  <si>
    <t>Columbia Gas of Pennsylvania, Inc.</t>
  </si>
  <si>
    <t>Rate Schedule RDS - Residential Distribution Service (Choice)</t>
  </si>
  <si>
    <t>Rate Schedule SGDS - Small General Distribution Service</t>
  </si>
  <si>
    <t>Rate Schedule SDS - Small Distribution Service</t>
  </si>
  <si>
    <t>Rate Schedule LDS - Large Distribution Service</t>
  </si>
  <si>
    <t>Total Rate Schedule SDS</t>
  </si>
  <si>
    <t>Total Rate Schedule LDS</t>
  </si>
  <si>
    <t>Total Rate Schedule SGDS</t>
  </si>
  <si>
    <t>Rate Schedule RSS - Residential Sales Service</t>
  </si>
  <si>
    <t>Rate Schedule LGSS - Large General Sales Service</t>
  </si>
  <si>
    <t>Total Rate Schedule SGSS</t>
  </si>
  <si>
    <t>Rate Schedule SCD - Small Commercial Distribution (Choice)</t>
  </si>
  <si>
    <t>Total Rate Schedule LGSS</t>
  </si>
  <si>
    <t>Total Commercial Bills Under SGDS</t>
  </si>
  <si>
    <t>Total Industrial Bills Under SGDS</t>
  </si>
  <si>
    <t>Total Commercial Bills Under SDS</t>
  </si>
  <si>
    <t>Total Industrial Bills Under SDS</t>
  </si>
  <si>
    <t>Total Rate Schedule RSS</t>
  </si>
  <si>
    <t>Total Industrial LGSS</t>
  </si>
  <si>
    <t>Total Commercial LGSS</t>
  </si>
  <si>
    <t>Total Rate Schedule RDS</t>
  </si>
  <si>
    <t>Total Rate Schedule SCD</t>
  </si>
  <si>
    <t>Priority 1 - Aggregation</t>
  </si>
  <si>
    <t>All Other - Aggregation</t>
  </si>
  <si>
    <t>Total Commercial SGDS</t>
  </si>
  <si>
    <t>Total Industrial SGDS</t>
  </si>
  <si>
    <t>Total Commercial SDS</t>
  </si>
  <si>
    <t>Total Industrial SDS</t>
  </si>
  <si>
    <t>Total Commercial LDS</t>
  </si>
  <si>
    <t>Total Industrial LDS</t>
  </si>
  <si>
    <t>Flexed</t>
  </si>
  <si>
    <t>Rate Schedule MLDS - Main Line Distribution Service - Class I</t>
  </si>
  <si>
    <t>Total Rate Schedule MLDS - Class I</t>
  </si>
  <si>
    <t>Total Industrial MLDS - Class I</t>
  </si>
  <si>
    <t>Total Commercial MLDS - Class I</t>
  </si>
  <si>
    <t>Rate Schedule MLDS - Main Line Distribution Service - Class II</t>
  </si>
  <si>
    <t>Total Rate Schedule MLDS - Class II</t>
  </si>
  <si>
    <t>Flex</t>
  </si>
  <si>
    <t>New Const</t>
  </si>
  <si>
    <t>STAS</t>
  </si>
  <si>
    <t>Base Rate Revenue</t>
  </si>
  <si>
    <t>Rate Schedule RSS</t>
  </si>
  <si>
    <t>Rate Schedule SGSS</t>
  </si>
  <si>
    <t>Rate Schedule LGSS</t>
  </si>
  <si>
    <t>Rate Schedule SGDS</t>
  </si>
  <si>
    <t>Rate Schedule LDS</t>
  </si>
  <si>
    <t>Determination of Attrition</t>
  </si>
  <si>
    <t>Res</t>
  </si>
  <si>
    <t>Comm</t>
  </si>
  <si>
    <t xml:space="preserve">Half of UPC </t>
  </si>
  <si>
    <t>Months</t>
  </si>
  <si>
    <t>Change in Customers</t>
  </si>
  <si>
    <t>Heating Customers</t>
  </si>
  <si>
    <t>Rider</t>
  </si>
  <si>
    <t>RSS</t>
  </si>
  <si>
    <t>SGSS</t>
  </si>
  <si>
    <t>Finaled</t>
  </si>
  <si>
    <t>Incremental Bills</t>
  </si>
  <si>
    <t>PGA OS - Off System Sales Credit - Commodity</t>
  </si>
  <si>
    <t>PGA CR - Capacity Release Credit</t>
  </si>
  <si>
    <t>PGC</t>
  </si>
  <si>
    <t>Commercial Bills Under MLDS - Class I</t>
  </si>
  <si>
    <t>Industrial Bills Under MLDS - Class I</t>
  </si>
  <si>
    <t>Rent from Gas Property</t>
  </si>
  <si>
    <t>Month</t>
  </si>
  <si>
    <t>Current Rates</t>
  </si>
  <si>
    <t>Revenue @</t>
  </si>
  <si>
    <t>Proposed Rates</t>
  </si>
  <si>
    <t>Proposed</t>
  </si>
  <si>
    <t>Total Residential</t>
  </si>
  <si>
    <t>Total Commercial</t>
  </si>
  <si>
    <t>Total Industrial</t>
  </si>
  <si>
    <t>Total Throughput</t>
  </si>
  <si>
    <t>(4) = (5) - (3)</t>
  </si>
  <si>
    <t>Incremental Customers</t>
  </si>
  <si>
    <t>(4=1+2+3)</t>
  </si>
  <si>
    <t>Comparison of Revenues at Current and Proposed Rates</t>
  </si>
  <si>
    <t>PGDC</t>
  </si>
  <si>
    <t>Total Sales Revenue</t>
  </si>
  <si>
    <t>Schedule No. 1</t>
  </si>
  <si>
    <t>Average Rate</t>
  </si>
  <si>
    <t>Schedule No. 2</t>
  </si>
  <si>
    <t>Schedule No. 3</t>
  </si>
  <si>
    <t>Schedule No. 4</t>
  </si>
  <si>
    <t>Schedule No. 5</t>
  </si>
  <si>
    <t>Schedule No. 6</t>
  </si>
  <si>
    <t>Schedule No. 7</t>
  </si>
  <si>
    <t>%</t>
  </si>
  <si>
    <t>(6=1 to 5)</t>
  </si>
  <si>
    <t>487 - Forfeited Discounts</t>
  </si>
  <si>
    <t>488 - Miscellaneous Service Revenues</t>
  </si>
  <si>
    <t>493 - Rent from Gas Property</t>
  </si>
  <si>
    <t>495 - Prior Yr. Rate Refund - Net.</t>
  </si>
  <si>
    <t>495 - Off System Sales</t>
  </si>
  <si>
    <t>495 - Other Gas Revenues - Other</t>
  </si>
  <si>
    <t>496 - Provision For Rate Refunds</t>
  </si>
  <si>
    <t>Total Company Revenue</t>
  </si>
  <si>
    <t>Other Operating Revenue</t>
  </si>
  <si>
    <t>Total Other Operating Revenue</t>
  </si>
  <si>
    <t>Sales Gas Cost  (Does not include E-Factor)</t>
  </si>
  <si>
    <t>Choice Gas Cost  (Does not include Commodity E-Factor)</t>
  </si>
  <si>
    <t>Test Year</t>
  </si>
  <si>
    <t>Industrial Bills Under MLDS - Class II</t>
  </si>
  <si>
    <t>Total Commercial Bills Under LGSS</t>
  </si>
  <si>
    <t>Total Industrial Bills Under LGSS</t>
  </si>
  <si>
    <t>Total Commercial Bills Under LDS</t>
  </si>
  <si>
    <t>Total Industrial Bills Under LDS</t>
  </si>
  <si>
    <t>Rate Schedule NSS - Negotiated Sales Service</t>
  </si>
  <si>
    <t>Total Rate Schedule NSS</t>
  </si>
  <si>
    <t xml:space="preserve">Priority 1 Gas Cost </t>
  </si>
  <si>
    <t>Priority 1 Gas Cost</t>
  </si>
  <si>
    <t>Redistribution of CAP Shortfall resulting from proposed rates</t>
  </si>
  <si>
    <t>Rider USP</t>
  </si>
  <si>
    <t>All Other Aggregation</t>
  </si>
  <si>
    <t>Flexed LDS</t>
  </si>
  <si>
    <t>Flexed Deliveries</t>
  </si>
  <si>
    <t>Rider USP - Universal Service Plan</t>
  </si>
  <si>
    <t xml:space="preserve">Rider USP </t>
  </si>
  <si>
    <t>Flexed  Deliveries</t>
  </si>
  <si>
    <t xml:space="preserve"> </t>
  </si>
  <si>
    <t>Rate Schedule SDS</t>
  </si>
  <si>
    <t>Residential Rider USP</t>
  </si>
  <si>
    <t>Total Transportation - Rider USP</t>
  </si>
  <si>
    <t>USP</t>
  </si>
  <si>
    <t>(7)</t>
  </si>
  <si>
    <t xml:space="preserve">Base Rate Revenue </t>
  </si>
  <si>
    <t>(workpaper)</t>
  </si>
  <si>
    <t>Base Revenue</t>
  </si>
  <si>
    <t>$/DTH</t>
  </si>
  <si>
    <t>DTH</t>
  </si>
  <si>
    <t>PGA 22 - PGCC (Prior to OSS &amp; Cap. Rel. Credit)</t>
  </si>
  <si>
    <t>PGA 73 &amp; 74 - Commodity E-Factor</t>
  </si>
  <si>
    <t>PGA 21 - PGDC (Includes Demand E-Factor)</t>
  </si>
  <si>
    <t>PGA 89 - PGDC Less Choice Credit (Includes Demand E-Factor)</t>
  </si>
  <si>
    <t>Gas Cost - Commodity</t>
  </si>
  <si>
    <t>Gas Cost - Demand</t>
  </si>
  <si>
    <t>(Dth)</t>
  </si>
  <si>
    <t>Adjustment to Bills and Dth Generated By Industrial &amp; Large Commercial Customers</t>
  </si>
  <si>
    <t>Dth/Customer/Mo</t>
  </si>
  <si>
    <t>Change in Dth - First Block</t>
  </si>
  <si>
    <t>Change in Dth - Second Block</t>
  </si>
  <si>
    <t xml:space="preserve">   Volumes (Dth)</t>
  </si>
  <si>
    <t>Dth</t>
  </si>
  <si>
    <t>$/Dth</t>
  </si>
  <si>
    <t>Dth and Revenue Summary @ Current Rates</t>
  </si>
  <si>
    <t>Exhibit No. 103</t>
  </si>
  <si>
    <t>Total Gas Cost</t>
  </si>
  <si>
    <t>Total Throughput Revenue</t>
  </si>
  <si>
    <t>Residential Sales Service</t>
  </si>
  <si>
    <t>Total Tariff- Rider USP</t>
  </si>
  <si>
    <t>Residential Distribution Service (Choice)</t>
  </si>
  <si>
    <t>Rider USP and Storage Interest Transportation Summary</t>
  </si>
  <si>
    <t>Revenue @ Proposed Rates Based on Forecast Adjusted Bills and Volumes</t>
  </si>
  <si>
    <t>Per Proforma</t>
  </si>
  <si>
    <t>Proforma</t>
  </si>
  <si>
    <t>Revenue @ Current Rates Based on Forecast Adjusted Bills and Volumes</t>
  </si>
  <si>
    <t>Forecasted</t>
  </si>
  <si>
    <t>Adjustment to Bills and Dth Generated By New Construction</t>
  </si>
  <si>
    <t xml:space="preserve">Adjustment to Bills and Dth Generated By New Construction </t>
  </si>
  <si>
    <t>Rates</t>
  </si>
  <si>
    <t>Current</t>
  </si>
  <si>
    <t>Increase</t>
  </si>
  <si>
    <t>(Ex 103, Sch 1)</t>
  </si>
  <si>
    <t>(Ex 103, Sch 8)</t>
  </si>
  <si>
    <t>(Ex 103, Sch 4)</t>
  </si>
  <si>
    <t>(Ex 103, Sch 2)</t>
  </si>
  <si>
    <t>(Ex 103, Sch 3)</t>
  </si>
  <si>
    <t>Check Total (Do not print)</t>
  </si>
  <si>
    <t>&gt; 110,000 to &lt;= 540,000 Therms Annually</t>
  </si>
  <si>
    <t>&gt; 540,000 to &lt;= 1,074,000 Therms Annually</t>
  </si>
  <si>
    <t>&gt; 1,074,000 to &lt;= 3,400,000 Therms Annually</t>
  </si>
  <si>
    <t>&gt; 3,400,000 to &lt;= 7,500,000 Therms Annually</t>
  </si>
  <si>
    <t>&gt; 7,500,000. Therms Annually</t>
  </si>
  <si>
    <t>&gt; 540,000 to  &lt;= 1,074,000 Therms Annually</t>
  </si>
  <si>
    <t>&gt; 7,500,000 Therms Annually</t>
  </si>
  <si>
    <t>&gt; 274,000 to &lt;= 540,000 Therms Annually</t>
  </si>
  <si>
    <t>Rate Schedule SGSS - Small General Sales Service (&lt; 64,400 Therms Annually)</t>
  </si>
  <si>
    <t>Page 3 of 3</t>
  </si>
  <si>
    <t xml:space="preserve">Page 3 of 3 </t>
  </si>
  <si>
    <t>Page 15 of 18</t>
  </si>
  <si>
    <t>Gas Procurement Charge</t>
  </si>
  <si>
    <t>Allocation of Proposed Annual Revenues by Rate Schedule Based on Revenue Requirement</t>
  </si>
  <si>
    <t xml:space="preserve">Proposed </t>
  </si>
  <si>
    <t>Total Revenues</t>
  </si>
  <si>
    <t>Small Distribution Service - SDS</t>
  </si>
  <si>
    <t>Large Distribution Service - LDS</t>
  </si>
  <si>
    <t>Main Line Distribution Service Class I - MLDS</t>
  </si>
  <si>
    <t>Main Line Distribution Service Class II - MLDS</t>
  </si>
  <si>
    <t>Negotiated Sales Service - NSS</t>
  </si>
  <si>
    <t>Other Gas Department Revenue</t>
  </si>
  <si>
    <t>Determination of Revenue Distribution</t>
  </si>
  <si>
    <t>Less:</t>
  </si>
  <si>
    <t>Proposed Increase to Base Revenue</t>
  </si>
  <si>
    <t>Percent Distribution to Rate Classes</t>
  </si>
  <si>
    <t>Current Base Revenue</t>
  </si>
  <si>
    <t>Current Percent Distribution of Rate Classes</t>
  </si>
  <si>
    <t>Proposed Base Revenue</t>
  </si>
  <si>
    <t>Proposed Percent Distribution of Rate Classes</t>
  </si>
  <si>
    <t xml:space="preserve">Current </t>
  </si>
  <si>
    <t>Inc. (Dec.)</t>
  </si>
  <si>
    <t>Total Revenue @ Current Rates</t>
  </si>
  <si>
    <t>Gas Cost Revenue</t>
  </si>
  <si>
    <t>Plus:</t>
  </si>
  <si>
    <t>Proposed Increase to Base Rates</t>
  </si>
  <si>
    <t>Total Base Revenue Charge</t>
  </si>
  <si>
    <t>(Exh. 103, Sch. 2)</t>
  </si>
  <si>
    <t>(Exh. 103, Sch. 3)</t>
  </si>
  <si>
    <t>(Exh. 103, Sch. 1)</t>
  </si>
  <si>
    <t>(5 = 3 + 4)</t>
  </si>
  <si>
    <t>RDGDS/RCC</t>
  </si>
  <si>
    <r>
      <t xml:space="preserve">Customer Charge Revenue (Exhibit 103, Sch. 1)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6,440 Thms</t>
    </r>
  </si>
  <si>
    <t>Merchant Function Charge</t>
  </si>
  <si>
    <t>Customer Charge Revenue (Exhibit 103, Sch. 1)</t>
  </si>
  <si>
    <t>All Gas Consumed (Exhibit 103, Sch. 1)</t>
  </si>
  <si>
    <r>
      <t xml:space="preserve">Customer Charge Revenue (Exhibit 103, Sch. 1) &gt; 64,400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110,000 Thms</t>
    </r>
  </si>
  <si>
    <t>Customer Charge Revenue (Exhibit 103, Sch. 1) &gt; 110,000 to ≤ 540,000 Thms</t>
  </si>
  <si>
    <r>
      <t xml:space="preserve">Customer Charge Revenue (Exhibit 103, Sch. 1) &gt; 6,440 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64,440 Thms</t>
    </r>
  </si>
  <si>
    <t>RS/RDG/RGSS</t>
  </si>
  <si>
    <t>RDS/</t>
  </si>
  <si>
    <t>Percent of</t>
  </si>
  <si>
    <t>Increase by</t>
  </si>
  <si>
    <t xml:space="preserve"> Rate Schedule</t>
  </si>
  <si>
    <t>Rate Class</t>
  </si>
  <si>
    <t xml:space="preserve">Current  </t>
  </si>
  <si>
    <t>Residential Merchant Function Charge</t>
  </si>
  <si>
    <t>Total Tariff - Merchant Function Charge</t>
  </si>
  <si>
    <t>(Ex 103, Sch 7)</t>
  </si>
  <si>
    <r>
      <t xml:space="preserve">&gt; 1,074,000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3,400,000 Therms Annually</t>
    </r>
  </si>
  <si>
    <r>
      <t xml:space="preserve">&gt; 3,400,000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7,500,000 Therms Annually</t>
    </r>
  </si>
  <si>
    <t>Usage Charge (Exhibit 103, Sch. 1)</t>
  </si>
  <si>
    <t>&gt; 540,000 to ≤ 1,074,000 Thms</t>
  </si>
  <si>
    <t>&gt; 274,000 to ≤ 540,000 Thms</t>
  </si>
  <si>
    <r>
      <t xml:space="preserve">&gt; 540,000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1,074,000 Therms Annually</t>
    </r>
  </si>
  <si>
    <t>Total Negotiated Sales</t>
  </si>
  <si>
    <t>Total Small General Sales</t>
  </si>
  <si>
    <t>Total Large General Sales</t>
  </si>
  <si>
    <t>Less Than 6,440 Therms Annually</t>
  </si>
  <si>
    <t>6,440 - 64,400 Therms Annually</t>
  </si>
  <si>
    <t>540,000 - 1,074,000 Therms Annually</t>
  </si>
  <si>
    <r>
      <t xml:space="preserve">&gt; 64,400 to </t>
    </r>
    <r>
      <rPr>
        <sz val="8"/>
        <rFont val="Calibri"/>
        <family val="2"/>
      </rPr>
      <t xml:space="preserve">≤ </t>
    </r>
    <r>
      <rPr>
        <sz val="8"/>
        <rFont val="Arial"/>
        <family val="2"/>
      </rPr>
      <t>110,00 Therms Annually</t>
    </r>
  </si>
  <si>
    <r>
      <t xml:space="preserve">&gt;110,000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 540,000 Therms Annually</t>
    </r>
  </si>
  <si>
    <r>
      <t xml:space="preserve">&gt;540,000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1,074,000 Therms Annually</t>
    </r>
  </si>
  <si>
    <r>
      <t xml:space="preserve">&gt;1,074,000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3,400,000 Therms Annually</t>
    </r>
  </si>
  <si>
    <r>
      <t xml:space="preserve">&gt;3,400,000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7,400,000 Therms Annually</t>
    </r>
  </si>
  <si>
    <t>&gt; 7,400,000 Therms Annually</t>
  </si>
  <si>
    <r>
      <t xml:space="preserve">&gt;64,400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110,000 Therms Annually</t>
    </r>
  </si>
  <si>
    <r>
      <t xml:space="preserve">&gt;110,000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540,000 Therms Annually</t>
    </r>
  </si>
  <si>
    <t>&gt; 274,000 to  &lt;= 540,000 Therms Annually</t>
  </si>
  <si>
    <t>Total Deliveries</t>
  </si>
  <si>
    <t>Distribution Service Summary by Customer Class</t>
  </si>
  <si>
    <t>Total Residential Distribution Service</t>
  </si>
  <si>
    <t>Total Distribution Service</t>
  </si>
  <si>
    <t>Total Small Distribution Service (SCD, SGDS, SDS)</t>
  </si>
  <si>
    <t xml:space="preserve">Total Large Distribution Service </t>
  </si>
  <si>
    <t>Total Main Line Distribution Service</t>
  </si>
  <si>
    <t>Total Industrial Bills Under MLDS II</t>
  </si>
  <si>
    <t>Total Industrial Bills Under MLDS I</t>
  </si>
  <si>
    <t>Total Commercial Bills Under MLDS I</t>
  </si>
  <si>
    <t>Total Large Distribution Service</t>
  </si>
  <si>
    <t>(Exh. 103, Sch. 7)</t>
  </si>
  <si>
    <t>Flex Revenue</t>
  </si>
  <si>
    <t>Comm/Ind Sales Revenue</t>
  </si>
  <si>
    <t>[1] Included in Comm/Ind.</t>
  </si>
  <si>
    <t>Gas Proc.</t>
  </si>
  <si>
    <t>Charge</t>
  </si>
  <si>
    <t>Sales Revenue Summary by Rate Class</t>
  </si>
  <si>
    <t>Total Comm/Ind Sales</t>
  </si>
  <si>
    <t>Commercial Distribution (Choice)</t>
  </si>
  <si>
    <t>Total Residential Distribution (Choice)</t>
  </si>
  <si>
    <t>Comm/Ind Priority 1 Distribution</t>
  </si>
  <si>
    <t>Distribution Revenue Summary by Customer Class</t>
  </si>
  <si>
    <t>Total Distribution Revenue</t>
  </si>
  <si>
    <t>Rider USP, Merchant Function Charge and Gas Procurement Charge  Tariff Sales Summary</t>
  </si>
  <si>
    <t>Comm/Ind Merchant Function Charge</t>
  </si>
  <si>
    <t>Comm/Ind Gas Procurement Charge</t>
  </si>
  <si>
    <t>Total Tariff - Gas Procurement Charge</t>
  </si>
  <si>
    <t>Function Charge</t>
  </si>
  <si>
    <t>Merchant</t>
  </si>
  <si>
    <t>(Ex 103, Sch 5)</t>
  </si>
  <si>
    <t xml:space="preserve">Merchant </t>
  </si>
  <si>
    <t>540,000 - 1,074,000 Therms</t>
  </si>
  <si>
    <t>Total Large General Sales Service</t>
  </si>
  <si>
    <t>Total Negotiated Sales Service</t>
  </si>
  <si>
    <t>Total Small General Sales Service</t>
  </si>
  <si>
    <t>Total Residential Sales Service</t>
  </si>
  <si>
    <t>Tariff Sales Summary by Rate Class</t>
  </si>
  <si>
    <t>Large General Sales Service</t>
  </si>
  <si>
    <t>Small General Sales Service</t>
  </si>
  <si>
    <t>Rate Schedule RDGSS -  Residential Distributed Generation Sales Service</t>
  </si>
  <si>
    <t>Residential Distributed Generation Sales Service</t>
  </si>
  <si>
    <t>Total Company Throughput by Rate Class</t>
  </si>
  <si>
    <t>Distribution Service Summary by Rate Class</t>
  </si>
  <si>
    <t>Residential Distribution Service</t>
  </si>
  <si>
    <t>Small Commercial Distribution Service</t>
  </si>
  <si>
    <t>Small Distribution Service</t>
  </si>
  <si>
    <t>Small General Distribution Service</t>
  </si>
  <si>
    <t>Large Distribution Service</t>
  </si>
  <si>
    <t>Main Line Distribution Service Class I</t>
  </si>
  <si>
    <t>Main Line Distribution Service Class II</t>
  </si>
  <si>
    <t>Sales Service</t>
  </si>
  <si>
    <t>Total Small Commercial &amp; Industrial</t>
  </si>
  <si>
    <t>Total Large Commercial &amp; Industrial</t>
  </si>
  <si>
    <r>
      <t xml:space="preserve">&gt; 6,440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64,400 Therms Annually</t>
    </r>
  </si>
  <si>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110,000 Therms Annually</t>
    </r>
  </si>
  <si>
    <r>
      <t xml:space="preserve">&gt; 110,000 to </t>
    </r>
    <r>
      <rPr>
        <sz val="8"/>
        <rFont val="Calibri"/>
        <family val="2"/>
      </rPr>
      <t>≤</t>
    </r>
    <r>
      <rPr>
        <sz val="8"/>
        <rFont val="Arial"/>
        <family val="2"/>
      </rPr>
      <t>540,000 Therms Annually</t>
    </r>
  </si>
  <si>
    <r>
      <t xml:space="preserve">&gt; 540,000 to </t>
    </r>
    <r>
      <rPr>
        <sz val="8"/>
        <rFont val="Calibri"/>
        <family val="2"/>
      </rPr>
      <t>≤</t>
    </r>
    <r>
      <rPr>
        <sz val="8"/>
        <rFont val="Arial"/>
        <family val="2"/>
      </rPr>
      <t>1,074,000 Therms Annually</t>
    </r>
  </si>
  <si>
    <r>
      <t xml:space="preserve">&gt; 3,400,000 to </t>
    </r>
    <r>
      <rPr>
        <sz val="8"/>
        <rFont val="Calibri"/>
        <family val="2"/>
      </rPr>
      <t>≤</t>
    </r>
    <r>
      <rPr>
        <sz val="8"/>
        <rFont val="Arial"/>
        <family val="2"/>
      </rPr>
      <t>7,500,000 Therms Annually</t>
    </r>
  </si>
  <si>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6,440 Therms Annually</t>
    </r>
  </si>
  <si>
    <t>(Ex 103, Sch 6)</t>
  </si>
  <si>
    <t>(7=1 to 6)</t>
  </si>
  <si>
    <t>June</t>
  </si>
  <si>
    <t>July</t>
  </si>
  <si>
    <t>Sept</t>
  </si>
  <si>
    <t xml:space="preserve">Forecasted </t>
  </si>
  <si>
    <t>Total Industrial MLDS - Class II</t>
  </si>
  <si>
    <t>Total Commercial MLDS - Class II</t>
  </si>
  <si>
    <t>Commercial Bills Under MLDS - Class II</t>
  </si>
  <si>
    <t>Total Commercial Bills Under MLDS II</t>
  </si>
  <si>
    <t>res sales</t>
  </si>
  <si>
    <t>res cho</t>
  </si>
  <si>
    <t>c&amp;I sales</t>
  </si>
  <si>
    <t>c&amp;I cho</t>
  </si>
  <si>
    <t>gts</t>
  </si>
  <si>
    <t>total</t>
  </si>
  <si>
    <t>per above</t>
  </si>
  <si>
    <t>diff</t>
  </si>
  <si>
    <t>res choice</t>
  </si>
  <si>
    <t>c&amp;I choice</t>
  </si>
  <si>
    <t>Rider CC - Customer Choice</t>
  </si>
  <si>
    <t>Rider CC</t>
  </si>
  <si>
    <t>CC</t>
  </si>
  <si>
    <t xml:space="preserve">Total  </t>
  </si>
  <si>
    <t>Page 8 of 15</t>
  </si>
  <si>
    <t>Page 9 of 15</t>
  </si>
  <si>
    <t>Page 14 of 15</t>
  </si>
  <si>
    <t>Page 15 of 15</t>
  </si>
  <si>
    <t>Page 14 of 18</t>
  </si>
  <si>
    <t>Page 18 of 18</t>
  </si>
  <si>
    <t>Net Volumetric Gas Revenue</t>
  </si>
  <si>
    <t>Distribution Service</t>
  </si>
  <si>
    <r>
      <t xml:space="preserve">&gt; 2,146,000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3,400,000 Therms Annually</t>
    </r>
  </si>
  <si>
    <t>Total STAS</t>
  </si>
  <si>
    <t>Total Rider CC</t>
  </si>
  <si>
    <t>Total Gas Procurement Charge</t>
  </si>
  <si>
    <t>Revenue Required Increase (Exhibit 102 Sch. 3 Page 3)</t>
  </si>
  <si>
    <t>Base Rates Revenue Only</t>
  </si>
  <si>
    <t>Total Base Rates Revenues</t>
  </si>
  <si>
    <t>&gt; 2,146,000 to ≤ 3,400,000 Therms Annually</t>
  </si>
  <si>
    <t>RS</t>
  </si>
  <si>
    <t>RGS</t>
  </si>
  <si>
    <t>SGS</t>
  </si>
  <si>
    <t>SG2</t>
  </si>
  <si>
    <t>SG3</t>
  </si>
  <si>
    <t>SG4</t>
  </si>
  <si>
    <t>NSI</t>
  </si>
  <si>
    <t>LG1</t>
  </si>
  <si>
    <t>LG2</t>
  </si>
  <si>
    <t>LG3</t>
  </si>
  <si>
    <t>RTC</t>
  </si>
  <si>
    <t>SCC</t>
  </si>
  <si>
    <t>SC2</t>
  </si>
  <si>
    <t>TAG5</t>
  </si>
  <si>
    <t>TAG6</t>
  </si>
  <si>
    <t>TI4</t>
  </si>
  <si>
    <t>TIB</t>
  </si>
  <si>
    <t>TI8</t>
  </si>
  <si>
    <t>TIF</t>
  </si>
  <si>
    <t>TM2</t>
  </si>
  <si>
    <t>TM1</t>
  </si>
  <si>
    <t>TM2 ELEC GEN</t>
  </si>
  <si>
    <r>
      <t xml:space="preserve">&gt;6,440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64,400 Therms Annually</t>
    </r>
  </si>
  <si>
    <t>&gt; 64,400 &lt;= 110,000 Therms Annually</t>
  </si>
  <si>
    <r>
      <t xml:space="preserve">&gt; 110,000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540,000 Therms Annually</t>
    </r>
  </si>
  <si>
    <r>
      <t xml:space="preserve">&gt; 64,400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110,000 Therms Annually</t>
    </r>
  </si>
  <si>
    <t xml:space="preserve">    Subtotal</t>
  </si>
  <si>
    <t>&gt; 64,400 to ≤ 110,00 Therms Annually (Exhibit 103, Sch. 1)</t>
  </si>
  <si>
    <t>&gt; 110,000 to &lt;= 540,000 Therms Annually (Exhibit 103, Sch. 1)</t>
  </si>
  <si>
    <t>Large General Sales Service (≤ 540,000 Therms Annually) - LGSS</t>
  </si>
  <si>
    <t>Large General Sales Service ( &gt; 540,000 Therms Annually) - LGSS</t>
  </si>
  <si>
    <t>Base</t>
  </si>
  <si>
    <t>GPC</t>
  </si>
  <si>
    <t>MFC</t>
  </si>
  <si>
    <t>Page 9 of 12</t>
  </si>
  <si>
    <t>Page 10 of 12</t>
  </si>
  <si>
    <t>Page 11 of 12</t>
  </si>
  <si>
    <t>Page 12 of 12</t>
  </si>
  <si>
    <t>Proposed Unitized Return</t>
  </si>
  <si>
    <t>Change in Unitized Return</t>
  </si>
  <si>
    <t>Rate of Return Requested</t>
  </si>
  <si>
    <t>Gross Converstion Factor</t>
  </si>
  <si>
    <t>Residential Gas Procurement Charge</t>
  </si>
  <si>
    <t>Customer Choice</t>
  </si>
  <si>
    <t>Comm/Ind Sales Serivce</t>
  </si>
  <si>
    <t>Residential Customer Choice</t>
  </si>
  <si>
    <t>Comm/Ind Customer Choice</t>
  </si>
  <si>
    <t>Total Tariff - Customer Choice</t>
  </si>
  <si>
    <t>Small General Distribution Service (Choice)</t>
  </si>
  <si>
    <t>Total Transportation - Customer Choice</t>
  </si>
  <si>
    <t>Rider USP, Merchant Function Charge, Gas Procurement Charge and Customer Choice</t>
  </si>
  <si>
    <t>(Exh 103 - Page 14)</t>
  </si>
  <si>
    <t>MDS/NSS</t>
  </si>
  <si>
    <t>All Gas Consumed Rate</t>
  </si>
  <si>
    <t>MDS I Customer Charge Revenue (Exhibit 103, Sch. 1)</t>
  </si>
  <si>
    <t>MDS II Customer Charge Revenue (Exhibit 103, Sch. 1)</t>
  </si>
  <si>
    <t>MDS I Usage Charge (Exhibit 103, Sch. 1)</t>
  </si>
  <si>
    <t>MDS II Usage Charge (Exhibit 103, Sch. 1)</t>
  </si>
  <si>
    <t>Main Line Service Rate Design - Class I (NSS and MLDS-I) and MDS Class II</t>
  </si>
  <si>
    <t>STAS - ≤  540,000 Therms Annually</t>
  </si>
  <si>
    <t>STAS - &gt;  540,000 Therms Annually</t>
  </si>
  <si>
    <t>Gas Cost -  ≤  540,000 Therms Annually</t>
  </si>
  <si>
    <t>Gas Cost -  &gt;  540,000 Therms Annually</t>
  </si>
  <si>
    <t>≤  540,000 Therms Annually</t>
  </si>
  <si>
    <t>&gt;  540,000 Therms Annually</t>
  </si>
  <si>
    <t>Future</t>
  </si>
  <si>
    <t>SALES VOL (Dth) FORECAST</t>
  </si>
  <si>
    <t>TRANSPORTATION VOL (Dth) FORECAST</t>
  </si>
  <si>
    <t>TOTAL THROUGHPUT FORECAST</t>
  </si>
  <si>
    <t>TRANSPORTATION VOLUMES (Dth) FORECAST</t>
  </si>
  <si>
    <t>Gas Cost Revenue Per Pro Forma Future Test Year</t>
  </si>
  <si>
    <t xml:space="preserve"> Per Pro Forma Future Test Year</t>
  </si>
  <si>
    <t>Redistribution of CAP shortfall resulting from proposed rates</t>
  </si>
  <si>
    <t>Universal Service Plan Rider @ Current Rate</t>
  </si>
  <si>
    <t>Universal Service Plan Rider</t>
  </si>
  <si>
    <t>Schedule No. 8</t>
  </si>
  <si>
    <t>Rate Base (Exhibit 111, Schedule 1, Page 2, Line 12)</t>
  </si>
  <si>
    <t>Unitized Return @ Current Rates (Exhibit 111, Schedule 1, Page 2, Line 14)</t>
  </si>
  <si>
    <t>Net Operating Income @ Current Rates (Exhibit 111, Sch. 1, Page 2, Line 11)</t>
  </si>
  <si>
    <t>LDS/LGS</t>
  </si>
  <si>
    <t>SDS/LGS</t>
  </si>
  <si>
    <t>Total Merchant Function Charge</t>
  </si>
  <si>
    <t>Total Universal Service Charge</t>
  </si>
  <si>
    <t>Small Distribution Service Rate Design (SDS/LGSS)</t>
  </si>
  <si>
    <t>Large Distribution Service Rate Design (LDS/LGSS)</t>
  </si>
  <si>
    <t>Expected Change in Universal Service Plan Rider Rate</t>
  </si>
  <si>
    <r>
      <t xml:space="preserve">Rate Schedule SGSS - Small General Sales Service (&gt; 6,440 to </t>
    </r>
    <r>
      <rPr>
        <b/>
        <u/>
        <sz val="8"/>
        <rFont val="Calibri"/>
        <family val="2"/>
      </rPr>
      <t>≤</t>
    </r>
    <r>
      <rPr>
        <b/>
        <u/>
        <sz val="8"/>
        <rFont val="Arial"/>
        <family val="2"/>
      </rPr>
      <t xml:space="preserve"> 64,400 Therms Annually)</t>
    </r>
  </si>
  <si>
    <r>
      <t>Rate Schedule SGSS - Small General Sales Service (&gt; 6,440 to  ≤</t>
    </r>
    <r>
      <rPr>
        <b/>
        <u/>
        <sz val="8"/>
        <rFont val="Arial"/>
        <family val="2"/>
      </rPr>
      <t xml:space="preserve"> 64,400 Therms Annually)</t>
    </r>
  </si>
  <si>
    <r>
      <t>Rate Schedule SGSS - Small General Sales Service (</t>
    </r>
    <r>
      <rPr>
        <b/>
        <u/>
        <sz val="8"/>
        <rFont val="Calibri"/>
        <family val="2"/>
      </rPr>
      <t>≤</t>
    </r>
    <r>
      <rPr>
        <b/>
        <u/>
        <sz val="8"/>
        <rFont val="Arial"/>
        <family val="2"/>
      </rPr>
      <t xml:space="preserve"> 6,440 Therms Annually)</t>
    </r>
  </si>
  <si>
    <r>
      <t xml:space="preserve">Total Rate Schedule SGSS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6,440 Therms</t>
    </r>
  </si>
  <si>
    <r>
      <t xml:space="preserve">Total Rate Schedule SGSS &gt; 6,440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64,400 Therms</t>
    </r>
  </si>
  <si>
    <r>
      <t xml:space="preserve">Rate Schedule SCD - Small Commercial Distribution (Choice) </t>
    </r>
    <r>
      <rPr>
        <b/>
        <u/>
        <sz val="8"/>
        <rFont val="Calibri"/>
        <family val="2"/>
      </rPr>
      <t>≤</t>
    </r>
    <r>
      <rPr>
        <b/>
        <u/>
        <sz val="8"/>
        <rFont val="Arial"/>
        <family val="2"/>
      </rPr>
      <t xml:space="preserve"> 6,440 Therms</t>
    </r>
  </si>
  <si>
    <r>
      <t xml:space="preserve">Rate Schedule SCD - Small Commercial Distribution (Choice) &gt; 6,440 to </t>
    </r>
    <r>
      <rPr>
        <b/>
        <u/>
        <sz val="8"/>
        <rFont val="Calibri"/>
        <family val="2"/>
      </rPr>
      <t>≤</t>
    </r>
    <r>
      <rPr>
        <b/>
        <u/>
        <sz val="8"/>
        <rFont val="Arial"/>
        <family val="2"/>
      </rPr>
      <t xml:space="preserve"> 64,400 Therms</t>
    </r>
  </si>
  <si>
    <r>
      <t xml:space="preserve">Rate Schedule SGDS - Small General Distribution Service </t>
    </r>
    <r>
      <rPr>
        <b/>
        <u/>
        <sz val="8"/>
        <rFont val="Calibri"/>
        <family val="2"/>
      </rPr>
      <t>≤</t>
    </r>
    <r>
      <rPr>
        <b/>
        <u/>
        <sz val="8"/>
        <rFont val="Arial"/>
        <family val="2"/>
      </rPr>
      <t xml:space="preserve"> 6,440 Therms</t>
    </r>
  </si>
  <si>
    <r>
      <t xml:space="preserve">Total Rate Schedule SGDS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6,440 Therms</t>
    </r>
  </si>
  <si>
    <r>
      <t xml:space="preserve">Rate Schedule SGDS - Small General Distribution Service &gt; 6,440 to </t>
    </r>
    <r>
      <rPr>
        <b/>
        <u/>
        <sz val="8"/>
        <rFont val="Calibri"/>
        <family val="2"/>
      </rPr>
      <t>≤</t>
    </r>
    <r>
      <rPr>
        <b/>
        <u/>
        <sz val="8"/>
        <rFont val="Arial"/>
        <family val="2"/>
      </rPr>
      <t xml:space="preserve"> 64,400 Therms</t>
    </r>
  </si>
  <si>
    <r>
      <t xml:space="preserve">Total Rate Schedule SGDS &gt; 6,440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64,400 Therms</t>
    </r>
  </si>
  <si>
    <t>Gas Procurement - ≤  540,000 Therms Annually</t>
  </si>
  <si>
    <t>Gas Procurement - &gt;  540,000 Therms Annually</t>
  </si>
  <si>
    <t>Total Small Distribution Service (SCD &amp; SGDS)</t>
  </si>
  <si>
    <t>Total Small Distribution Service (SDS)</t>
  </si>
  <si>
    <t>Small General Service (≤ 6,440 Therms Annually) - SGSS</t>
  </si>
  <si>
    <t>Small General Service (&gt; 6,440 to ≤ 64,400 Therms Annually) - SGSS</t>
  </si>
  <si>
    <r>
      <t xml:space="preserve">Small Commercial Distribution Service (Choice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6,440 Therms Annualy) - SCD</t>
    </r>
  </si>
  <si>
    <r>
      <t xml:space="preserve">Small Commercial Distribution Service (Choice &gt; 6,440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6,440 Therms Annualy) - SCD</t>
    </r>
  </si>
  <si>
    <r>
      <t>Small General Distribution Service (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6,440 Therms Annually) - SGDS</t>
    </r>
  </si>
  <si>
    <r>
      <t xml:space="preserve">Small General Distribution Service (&gt; 6,440 to </t>
    </r>
    <r>
      <rPr>
        <sz val="8"/>
        <rFont val="Calibri"/>
        <family val="2"/>
      </rPr>
      <t>≤</t>
    </r>
    <r>
      <rPr>
        <sz val="8"/>
        <rFont val="Arial"/>
        <family val="2"/>
      </rPr>
      <t xml:space="preserve"> 64,400 Therms Annually) - SGDS</t>
    </r>
  </si>
  <si>
    <t>SGSS1/SCD1/SGDS1</t>
  </si>
  <si>
    <t>SGSS2/SCD2/SGDS2</t>
  </si>
  <si>
    <r>
      <t xml:space="preserve">Small General Service Rate Design 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 xml:space="preserve"> 6,440 Thms Annually (SGSS1, SCD1, SGDS1)</t>
    </r>
  </si>
  <si>
    <r>
      <t xml:space="preserve">Small General Service Rate Design &gt; 6,440 to 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 xml:space="preserve"> 64,400 Thms Annually (SGSS2, SCD2, SGDS2)</t>
    </r>
  </si>
  <si>
    <t>Rate Schedule SGSS (Less Than 644 Dth Annually)</t>
  </si>
  <si>
    <t>Total Rate Schedule SCD ≤ 6,440 Therm</t>
  </si>
  <si>
    <t>Total Rate Schedule SCD &gt; 6,440 to ≤ 64,400 Therms</t>
  </si>
  <si>
    <t>Total Rate Schedule SGDS ≤ 6,440 Therms</t>
  </si>
  <si>
    <t>Total Rate Schedule SGDS &gt; 6,440 to ≤ 64,400 Therms</t>
  </si>
  <si>
    <t>Page 12 of 15</t>
  </si>
  <si>
    <t>Page 11 of 15</t>
  </si>
  <si>
    <t>Test Year Volumes</t>
  </si>
  <si>
    <t>TIH</t>
  </si>
  <si>
    <t>TAG1, TAG5</t>
  </si>
  <si>
    <t>TAG2, TAG6</t>
  </si>
  <si>
    <t>TMA</t>
  </si>
  <si>
    <t>TM3</t>
  </si>
  <si>
    <t>Page 7 of 18</t>
  </si>
  <si>
    <t>Page 8 of 18</t>
  </si>
  <si>
    <t>Page 9 of 18</t>
  </si>
  <si>
    <t>Less Flex Revenue (SGDS1)</t>
  </si>
  <si>
    <t>SGSS1,SCD1 @ uniform rate</t>
  </si>
  <si>
    <t>SGDS1 @ uniform rate</t>
  </si>
  <si>
    <t>Intra-Class Adjustment - SGDS1 to SGSS1/SCD1 (Exhibit MPB-4)</t>
  </si>
  <si>
    <t>Less Than 6,440 Therms Annually - SGSS1, SCD1</t>
  </si>
  <si>
    <t>Less Than 6,440 Therms Annually - SGDS1</t>
  </si>
  <si>
    <t>SGSS2,SCD2 @ uniform rate</t>
  </si>
  <si>
    <t>SGDS2 @ uniform rate</t>
  </si>
  <si>
    <t>Intra-Class Adjustment - SGDS2 to SGSS2/SCD2 (Exhibit MPB-4)</t>
  </si>
  <si>
    <t xml:space="preserve">6,440 - 64,400 Therms Annually - SGSS2, SCD2 </t>
  </si>
  <si>
    <t>6,440 - 64,400 Therms Annually - SGDS2</t>
  </si>
  <si>
    <t>(8)</t>
  </si>
  <si>
    <t>(7=8-(1-6))</t>
  </si>
  <si>
    <t>(7=1+2+3+4+5+6)</t>
  </si>
  <si>
    <t>Page 1 of 10</t>
  </si>
  <si>
    <t>Page 2 of 10</t>
  </si>
  <si>
    <t>Page 3 of 10</t>
  </si>
  <si>
    <t>Page 4 of 10</t>
  </si>
  <si>
    <t>Page 5 of 10</t>
  </si>
  <si>
    <t>Page 7 of 10</t>
  </si>
  <si>
    <t>Page 8 of 10</t>
  </si>
  <si>
    <t>Page 9 of 10</t>
  </si>
  <si>
    <t>Page 10 of 10</t>
  </si>
  <si>
    <t>Page 6 of 10</t>
  </si>
  <si>
    <t>Witness: P. A. Strauss</t>
  </si>
  <si>
    <t>For the 12 Months Ended December 31, 2019</t>
  </si>
  <si>
    <t>PGA 31 - PGDC (Includes Demand E-Factor)</t>
  </si>
  <si>
    <t xml:space="preserve">PGA 56 </t>
  </si>
  <si>
    <t>PGA 49 - Gas Cost Adjustment</t>
  </si>
  <si>
    <t>PGA 56 - Capacity Release Credit</t>
  </si>
  <si>
    <t xml:space="preserve">PGA 59 - PGDC Less Choice Credit (Includes Demand E-Factor) </t>
  </si>
  <si>
    <t>Rate Schedule CAP - Residential Sales Service CAP</t>
  </si>
  <si>
    <t>Total Rate Schedule CAP</t>
  </si>
  <si>
    <t>Residential Distribution Service (Choice) - RDS</t>
  </si>
  <si>
    <r>
      <t xml:space="preserve">Customers who are projected to begin service between January 1, 2019 and December 31, 2019  - </t>
    </r>
    <r>
      <rPr>
        <b/>
        <u/>
        <sz val="8"/>
        <rFont val="Arial"/>
        <family val="2"/>
      </rPr>
      <t>Nothing to report</t>
    </r>
  </si>
  <si>
    <t>Customers who have become inactive between January 1, 2019 and December 31, 2019</t>
  </si>
  <si>
    <t>Calumet</t>
  </si>
  <si>
    <t>12983722-004</t>
  </si>
  <si>
    <t>878 MLDS II Flex</t>
  </si>
  <si>
    <t>1/2018</t>
  </si>
  <si>
    <t>Mainline Distribution Service - 3,400,000 - 7,500,000 Therms Annually</t>
  </si>
  <si>
    <t>TIG</t>
  </si>
  <si>
    <t>TAG1</t>
  </si>
  <si>
    <t>TAG2</t>
  </si>
  <si>
    <t>TM1, TM2, TM3</t>
  </si>
  <si>
    <t>Rate Schedule MLDS II</t>
  </si>
  <si>
    <t>Witness: D. Joe Mays</t>
  </si>
  <si>
    <t>Page 13 of 15</t>
  </si>
  <si>
    <t>Residential Sales -  RS, CAP</t>
  </si>
  <si>
    <t>Flex Revenue (SGDS2)</t>
  </si>
  <si>
    <t>C&amp;I Network</t>
  </si>
  <si>
    <t>C&amp;I Network -  ≤  540,000 Therms Annually</t>
  </si>
  <si>
    <t>C&amp;I Network -  &gt;  540,000 Therms Annually</t>
  </si>
  <si>
    <t>C&amp;I</t>
  </si>
  <si>
    <t>C&amp;I Network &gt; 50,000 Therms Annually</t>
  </si>
  <si>
    <t>C&amp;I Network Revenue Only</t>
  </si>
  <si>
    <t>Total C&amp;I Network Revenues</t>
  </si>
  <si>
    <t>Residential Rate Design (RS, RDS, RCC)</t>
  </si>
  <si>
    <t>C&amp;I Network Charge (Exhibit 111, Schedule 1, Page 31 Lines 23 - 25)</t>
  </si>
  <si>
    <t>Residential Sales - 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</si>
</sst>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00_);\(#,##0.000\)"/>
    <numFmt numFmtId="166" formatCode="#,##0.0000_);\(#,##0.0000\)"/>
    <numFmt numFmtId="167" formatCode="0.0_);\(0.0\)"/>
    <numFmt numFmtId="168" formatCode="0.000%"/>
    <numFmt numFmtId="169" formatCode="_(&quot;$&quot;* #,##0.0000_);_(&quot;$&quot;* \(#,##0.0000\);_(&quot;$&quot;* &quot;-&quot;??_);_(@_)"/>
    <numFmt numFmtId="170" formatCode="_(* #,##0_);_(* \(#,##0\);_(* &quot;-&quot;??_);_(@_)"/>
    <numFmt numFmtId="171" formatCode="0.0000"/>
    <numFmt numFmtId="172" formatCode="_(&quot;$&quot;* #,##0_);_(&quot;$&quot;* \(#,##0\);_(&quot;$&quot;* &quot;-&quot;??_);_(@_)"/>
    <numFmt numFmtId="173" formatCode="#,##0.00000_);\(#,##0.00000\)"/>
    <numFmt numFmtId="174" formatCode="0.0000_);\(0.0000\)"/>
    <numFmt numFmtId="175" formatCode="0.00_);\(0.00\)"/>
    <numFmt numFmtId="176" formatCode="_(* #,##0.0_);_(* \(#,##0.0\);_(* &quot;-&quot;??_);_(@_)"/>
    <numFmt numFmtId="177" formatCode="_(* #,##0.000000_);_(* \(#,##0.000000\);_(* &quot;-&quot;??_);_(@_)"/>
    <numFmt numFmtId="178" formatCode="&quot;$&quot;#,##0"/>
  </numFmts>
  <fonts count="32" x14ac:knownFonts="1">
    <font>
      <sz val="8"/>
      <name val="Tms Rmn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color indexed="20"/>
      <name val="Arial"/>
      <family val="2"/>
    </font>
    <font>
      <u val="double"/>
      <sz val="8"/>
      <name val="Arial"/>
      <family val="2"/>
    </font>
    <font>
      <sz val="8"/>
      <color indexed="39"/>
      <name val="Arial"/>
      <family val="2"/>
    </font>
    <font>
      <u val="doubleAccounting"/>
      <sz val="8"/>
      <name val="Arial"/>
      <family val="2"/>
    </font>
    <font>
      <sz val="8"/>
      <color rgb="FF0000FF"/>
      <name val="Arial"/>
      <family val="2"/>
    </font>
    <font>
      <u/>
      <sz val="8"/>
      <color rgb="FF0000FF"/>
      <name val="Arial"/>
      <family val="2"/>
    </font>
    <font>
      <sz val="8"/>
      <name val="Tms Rmn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name val="Calibri"/>
      <family val="2"/>
    </font>
    <font>
      <b/>
      <sz val="8"/>
      <color rgb="FF0000FF"/>
      <name val="Arial"/>
      <family val="2"/>
    </font>
    <font>
      <u val="singleAccounting"/>
      <sz val="8"/>
      <name val="Arial"/>
      <family val="2"/>
    </font>
    <font>
      <b/>
      <sz val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3333FF"/>
      <name val="Arial"/>
      <family val="2"/>
    </font>
    <font>
      <b/>
      <u/>
      <sz val="8"/>
      <name val="Calibri"/>
      <family val="2"/>
    </font>
    <font>
      <b/>
      <u val="singleAccounting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66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7" fillId="0" borderId="0" xfId="0" applyFont="1" applyFill="1"/>
    <xf numFmtId="164" fontId="5" fillId="0" borderId="0" xfId="0" applyNumberFormat="1" applyFont="1" applyFill="1" applyProtection="1"/>
    <xf numFmtId="37" fontId="5" fillId="0" borderId="0" xfId="0" applyNumberFormat="1" applyFont="1" applyFill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2" xfId="0" applyFont="1" applyFill="1" applyBorder="1"/>
    <xf numFmtId="37" fontId="5" fillId="0" borderId="2" xfId="0" applyNumberFormat="1" applyFont="1" applyFill="1" applyBorder="1"/>
    <xf numFmtId="164" fontId="5" fillId="0" borderId="2" xfId="0" applyNumberFormat="1" applyFont="1" applyFill="1" applyBorder="1" applyProtection="1"/>
    <xf numFmtId="0" fontId="5" fillId="0" borderId="0" xfId="0" applyFont="1" applyFill="1" applyBorder="1"/>
    <xf numFmtId="0" fontId="4" fillId="0" borderId="0" xfId="0" applyFont="1" applyFill="1" applyBorder="1"/>
    <xf numFmtId="37" fontId="5" fillId="0" borderId="0" xfId="0" applyNumberFormat="1" applyFont="1" applyFill="1" applyBorder="1"/>
    <xf numFmtId="164" fontId="5" fillId="0" borderId="0" xfId="0" applyNumberFormat="1" applyFont="1" applyFill="1" applyBorder="1" applyProtection="1"/>
    <xf numFmtId="37" fontId="8" fillId="0" borderId="0" xfId="0" applyNumberFormat="1" applyFont="1" applyFill="1" applyBorder="1"/>
    <xf numFmtId="164" fontId="8" fillId="0" borderId="0" xfId="0" applyNumberFormat="1" applyFont="1" applyFill="1" applyBorder="1" applyProtection="1"/>
    <xf numFmtId="0" fontId="5" fillId="0" borderId="5" xfId="0" applyFont="1" applyFill="1" applyBorder="1"/>
    <xf numFmtId="37" fontId="5" fillId="0" borderId="5" xfId="0" applyNumberFormat="1" applyFont="1" applyFill="1" applyBorder="1"/>
    <xf numFmtId="164" fontId="5" fillId="0" borderId="5" xfId="0" applyNumberFormat="1" applyFont="1" applyFill="1" applyBorder="1" applyProtection="1"/>
    <xf numFmtId="0" fontId="5" fillId="0" borderId="0" xfId="0" applyFont="1" applyFill="1" applyAlignment="1" applyProtection="1">
      <protection locked="0"/>
    </xf>
    <xf numFmtId="37" fontId="8" fillId="0" borderId="0" xfId="0" applyNumberFormat="1" applyFont="1" applyFill="1"/>
    <xf numFmtId="164" fontId="8" fillId="0" borderId="0" xfId="0" applyNumberFormat="1" applyFont="1" applyFill="1" applyProtection="1"/>
    <xf numFmtId="0" fontId="5" fillId="0" borderId="7" xfId="0" applyFont="1" applyFill="1" applyBorder="1"/>
    <xf numFmtId="164" fontId="5" fillId="0" borderId="0" xfId="0" applyNumberFormat="1" applyFont="1" applyFill="1"/>
    <xf numFmtId="164" fontId="8" fillId="0" borderId="0" xfId="0" applyNumberFormat="1" applyFont="1" applyFill="1"/>
    <xf numFmtId="3" fontId="4" fillId="0" borderId="0" xfId="0" applyNumberFormat="1" applyFont="1" applyFill="1" applyAlignment="1"/>
    <xf numFmtId="0" fontId="6" fillId="0" borderId="0" xfId="0" applyFont="1" applyFill="1"/>
    <xf numFmtId="37" fontId="9" fillId="0" borderId="0" xfId="0" applyNumberFormat="1" applyFont="1" applyFill="1" applyProtection="1"/>
    <xf numFmtId="37" fontId="5" fillId="0" borderId="0" xfId="0" applyNumberFormat="1" applyFont="1" applyFill="1" applyProtection="1"/>
    <xf numFmtId="0" fontId="9" fillId="0" borderId="0" xfId="0" applyFont="1" applyFill="1"/>
    <xf numFmtId="164" fontId="10" fillId="0" borderId="0" xfId="0" applyNumberFormat="1" applyFont="1" applyFill="1" applyProtection="1"/>
    <xf numFmtId="37" fontId="8" fillId="0" borderId="0" xfId="0" applyNumberFormat="1" applyFont="1" applyFill="1" applyProtection="1"/>
    <xf numFmtId="164" fontId="4" fillId="0" borderId="0" xfId="0" applyNumberFormat="1" applyFont="1" applyFill="1"/>
    <xf numFmtId="164" fontId="9" fillId="0" borderId="0" xfId="0" applyNumberFormat="1" applyFont="1" applyFill="1" applyProtection="1"/>
    <xf numFmtId="0" fontId="6" fillId="0" borderId="0" xfId="0" applyFont="1" applyFill="1" applyAlignment="1"/>
    <xf numFmtId="166" fontId="9" fillId="0" borderId="0" xfId="0" applyNumberFormat="1" applyFont="1" applyFill="1"/>
    <xf numFmtId="166" fontId="5" fillId="0" borderId="0" xfId="0" applyNumberFormat="1" applyFont="1" applyFill="1"/>
    <xf numFmtId="166" fontId="9" fillId="0" borderId="2" xfId="0" applyNumberFormat="1" applyFont="1" applyFill="1" applyBorder="1"/>
    <xf numFmtId="166" fontId="9" fillId="0" borderId="0" xfId="0" applyNumberFormat="1" applyFont="1" applyFill="1" applyBorder="1"/>
    <xf numFmtId="164" fontId="5" fillId="0" borderId="7" xfId="0" applyNumberFormat="1" applyFont="1" applyFill="1" applyBorder="1" applyProtection="1"/>
    <xf numFmtId="0" fontId="4" fillId="0" borderId="5" xfId="0" applyFont="1" applyFill="1" applyBorder="1"/>
    <xf numFmtId="166" fontId="9" fillId="0" borderId="5" xfId="0" applyNumberFormat="1" applyFont="1" applyFill="1" applyBorder="1"/>
    <xf numFmtId="164" fontId="5" fillId="0" borderId="8" xfId="0" applyNumberFormat="1" applyFont="1" applyFill="1" applyBorder="1" applyProtection="1"/>
    <xf numFmtId="0" fontId="4" fillId="0" borderId="0" xfId="0" applyFont="1" applyFill="1" applyAlignment="1">
      <alignment horizontal="left"/>
    </xf>
    <xf numFmtId="39" fontId="4" fillId="0" borderId="0" xfId="0" applyNumberFormat="1" applyFont="1" applyFill="1" applyAlignment="1" applyProtection="1">
      <alignment horizontal="center"/>
    </xf>
    <xf numFmtId="0" fontId="13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164" fontId="9" fillId="0" borderId="0" xfId="0" applyNumberFormat="1" applyFont="1" applyFill="1" applyProtection="1">
      <protection locked="0"/>
    </xf>
    <xf numFmtId="0" fontId="14" fillId="0" borderId="0" xfId="0" applyFont="1" applyFill="1"/>
    <xf numFmtId="0" fontId="5" fillId="0" borderId="0" xfId="0" applyFont="1" applyFill="1" applyProtection="1">
      <protection locked="0"/>
    </xf>
    <xf numFmtId="37" fontId="9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>
      <protection locked="0"/>
    </xf>
    <xf numFmtId="0" fontId="4" fillId="0" borderId="9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39" fontId="5" fillId="0" borderId="0" xfId="0" applyNumberFormat="1" applyFont="1" applyFill="1" applyProtection="1"/>
    <xf numFmtId="37" fontId="10" fillId="0" borderId="0" xfId="0" applyNumberFormat="1" applyFont="1" applyFill="1" applyProtection="1">
      <protection locked="0"/>
    </xf>
    <xf numFmtId="39" fontId="5" fillId="0" borderId="0" xfId="0" applyNumberFormat="1" applyFont="1" applyFill="1"/>
    <xf numFmtId="0" fontId="7" fillId="0" borderId="0" xfId="0" applyFont="1" applyFill="1" applyAlignment="1">
      <alignment horizontal="center"/>
    </xf>
    <xf numFmtId="37" fontId="5" fillId="0" borderId="0" xfId="0" applyNumberFormat="1" applyFont="1" applyFill="1" applyProtection="1">
      <protection locked="0"/>
    </xf>
    <xf numFmtId="0" fontId="5" fillId="0" borderId="0" xfId="0" quotePrefix="1" applyFont="1" applyFill="1" applyAlignment="1"/>
    <xf numFmtId="37" fontId="14" fillId="0" borderId="0" xfId="0" applyNumberFormat="1" applyFont="1" applyFill="1" applyProtection="1"/>
    <xf numFmtId="164" fontId="10" fillId="0" borderId="0" xfId="0" applyNumberFormat="1" applyFont="1" applyFill="1" applyProtection="1">
      <protection locked="0"/>
    </xf>
    <xf numFmtId="164" fontId="8" fillId="0" borderId="0" xfId="0" applyNumberFormat="1" applyFont="1" applyFill="1" applyProtection="1">
      <protection locked="0"/>
    </xf>
    <xf numFmtId="0" fontId="9" fillId="0" borderId="0" xfId="0" quotePrefix="1" applyFont="1" applyFill="1" applyAlignment="1"/>
    <xf numFmtId="39" fontId="4" fillId="0" borderId="0" xfId="0" applyNumberFormat="1" applyFont="1" applyFill="1" applyProtection="1"/>
    <xf numFmtId="37" fontId="15" fillId="0" borderId="0" xfId="0" applyNumberFormat="1" applyFont="1" applyFill="1" applyProtection="1"/>
    <xf numFmtId="166" fontId="5" fillId="0" borderId="0" xfId="0" applyNumberFormat="1" applyFont="1" applyFill="1" applyProtection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Protection="1"/>
    <xf numFmtId="0" fontId="9" fillId="0" borderId="0" xfId="0" applyFont="1" applyFill="1" applyBorder="1" applyProtection="1">
      <protection locked="0"/>
    </xf>
    <xf numFmtId="37" fontId="8" fillId="0" borderId="0" xfId="0" applyNumberFormat="1" applyFont="1" applyFill="1" applyBorder="1" applyProtection="1"/>
    <xf numFmtId="37" fontId="5" fillId="0" borderId="0" xfId="0" applyNumberFormat="1" applyFont="1" applyFill="1" applyBorder="1" applyProtection="1"/>
    <xf numFmtId="0" fontId="9" fillId="0" borderId="0" xfId="0" applyFont="1" applyFill="1" applyBorder="1" applyAlignment="1" applyProtection="1">
      <protection locked="0"/>
    </xf>
    <xf numFmtId="37" fontId="11" fillId="0" borderId="0" xfId="0" quotePrefix="1" applyNumberFormat="1" applyFont="1" applyFill="1" applyAlignment="1" applyProtection="1">
      <alignment horizontal="center"/>
    </xf>
    <xf numFmtId="164" fontId="5" fillId="0" borderId="6" xfId="0" applyNumberFormat="1" applyFont="1" applyFill="1" applyBorder="1" applyProtection="1"/>
    <xf numFmtId="164" fontId="8" fillId="0" borderId="7" xfId="0" applyNumberFormat="1" applyFont="1" applyFill="1" applyBorder="1" applyProtection="1"/>
    <xf numFmtId="37" fontId="9" fillId="0" borderId="0" xfId="0" applyNumberFormat="1" applyFont="1" applyFill="1"/>
    <xf numFmtId="37" fontId="10" fillId="0" borderId="0" xfId="0" applyNumberFormat="1" applyFont="1" applyFill="1" applyProtection="1"/>
    <xf numFmtId="0" fontId="4" fillId="0" borderId="2" xfId="0" applyFont="1" applyFill="1" applyBorder="1"/>
    <xf numFmtId="0" fontId="8" fillId="2" borderId="15" xfId="0" applyFont="1" applyFill="1" applyBorder="1" applyAlignment="1"/>
    <xf numFmtId="0" fontId="5" fillId="2" borderId="16" xfId="0" applyFont="1" applyFill="1" applyBorder="1"/>
    <xf numFmtId="0" fontId="5" fillId="2" borderId="18" xfId="0" applyFont="1" applyFill="1" applyBorder="1"/>
    <xf numFmtId="169" fontId="5" fillId="2" borderId="19" xfId="1" applyNumberFormat="1" applyFont="1" applyFill="1" applyBorder="1"/>
    <xf numFmtId="0" fontId="5" fillId="2" borderId="20" xfId="0" applyFont="1" applyFill="1" applyBorder="1"/>
    <xf numFmtId="169" fontId="5" fillId="0" borderId="0" xfId="1" applyNumberFormat="1" applyFont="1" applyFill="1" applyBorder="1"/>
    <xf numFmtId="39" fontId="9" fillId="0" borderId="0" xfId="0" applyNumberFormat="1" applyFont="1" applyFill="1"/>
    <xf numFmtId="37" fontId="5" fillId="0" borderId="0" xfId="0" applyNumberFormat="1" applyFont="1" applyFill="1" applyAlignment="1"/>
    <xf numFmtId="164" fontId="5" fillId="0" borderId="0" xfId="0" applyNumberFormat="1" applyFont="1" applyFill="1" applyBorder="1"/>
    <xf numFmtId="37" fontId="8" fillId="0" borderId="0" xfId="0" applyNumberFormat="1" applyFont="1" applyFill="1" applyAlignment="1"/>
    <xf numFmtId="3" fontId="9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right"/>
      <protection locked="0"/>
    </xf>
    <xf numFmtId="37" fontId="5" fillId="0" borderId="6" xfId="0" applyNumberFormat="1" applyFont="1" applyFill="1" applyBorder="1"/>
    <xf numFmtId="37" fontId="5" fillId="0" borderId="7" xfId="0" applyNumberFormat="1" applyFont="1" applyFill="1" applyBorder="1"/>
    <xf numFmtId="37" fontId="5" fillId="0" borderId="7" xfId="0" applyNumberFormat="1" applyFont="1" applyFill="1" applyBorder="1" applyProtection="1"/>
    <xf numFmtId="37" fontId="8" fillId="0" borderId="7" xfId="0" applyNumberFormat="1" applyFont="1" applyFill="1" applyBorder="1" applyProtection="1"/>
    <xf numFmtId="37" fontId="5" fillId="0" borderId="8" xfId="0" applyNumberFormat="1" applyFont="1" applyFill="1" applyBorder="1"/>
    <xf numFmtId="37" fontId="5" fillId="0" borderId="6" xfId="0" applyNumberFormat="1" applyFont="1" applyFill="1" applyBorder="1" applyProtection="1"/>
    <xf numFmtId="0" fontId="8" fillId="0" borderId="0" xfId="0" applyFont="1" applyFill="1" applyBorder="1" applyAlignment="1"/>
    <xf numFmtId="37" fontId="17" fillId="0" borderId="0" xfId="0" applyNumberFormat="1" applyFont="1" applyFill="1" applyProtection="1"/>
    <xf numFmtId="37" fontId="4" fillId="0" borderId="2" xfId="0" applyNumberFormat="1" applyFont="1" applyFill="1" applyBorder="1"/>
    <xf numFmtId="37" fontId="4" fillId="0" borderId="5" xfId="0" applyNumberFormat="1" applyFont="1" applyFill="1" applyBorder="1"/>
    <xf numFmtId="37" fontId="5" fillId="0" borderId="2" xfId="0" applyNumberFormat="1" applyFont="1" applyFill="1" applyBorder="1" applyProtection="1"/>
    <xf numFmtId="164" fontId="4" fillId="0" borderId="0" xfId="0" applyNumberFormat="1" applyFont="1" applyFill="1" applyProtection="1"/>
    <xf numFmtId="0" fontId="5" fillId="0" borderId="0" xfId="0" quotePrefix="1" applyNumberFormat="1" applyFont="1" applyFill="1"/>
    <xf numFmtId="0" fontId="5" fillId="0" borderId="0" xfId="0" quotePrefix="1" applyFont="1" applyFill="1" applyAlignment="1">
      <alignment horizontal="center"/>
    </xf>
    <xf numFmtId="0" fontId="8" fillId="0" borderId="10" xfId="0" applyFont="1" applyFill="1" applyBorder="1" applyAlignment="1">
      <alignment horizontal="center"/>
    </xf>
    <xf numFmtId="168" fontId="9" fillId="0" borderId="14" xfId="0" applyNumberFormat="1" applyFont="1" applyFill="1" applyBorder="1"/>
    <xf numFmtId="0" fontId="10" fillId="0" borderId="15" xfId="0" applyFont="1" applyFill="1" applyBorder="1" applyAlignment="1"/>
    <xf numFmtId="0" fontId="5" fillId="0" borderId="16" xfId="0" applyFont="1" applyFill="1" applyBorder="1"/>
    <xf numFmtId="167" fontId="5" fillId="0" borderId="0" xfId="0" applyNumberFormat="1" applyFont="1" applyFill="1" applyProtection="1"/>
    <xf numFmtId="0" fontId="9" fillId="0" borderId="0" xfId="0" quotePrefix="1" applyFont="1" applyFill="1" applyBorder="1" applyProtection="1">
      <protection locked="0"/>
    </xf>
    <xf numFmtId="39" fontId="5" fillId="0" borderId="0" xfId="0" applyNumberFormat="1" applyFont="1" applyFill="1" applyProtection="1">
      <protection locked="0"/>
    </xf>
    <xf numFmtId="37" fontId="10" fillId="0" borderId="0" xfId="0" applyNumberFormat="1" applyFont="1" applyFill="1" applyBorder="1" applyProtection="1"/>
    <xf numFmtId="166" fontId="5" fillId="2" borderId="17" xfId="0" applyNumberFormat="1" applyFont="1" applyFill="1" applyBorder="1"/>
    <xf numFmtId="166" fontId="8" fillId="2" borderId="17" xfId="0" applyNumberFormat="1" applyFont="1" applyFill="1" applyBorder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37" fontId="16" fillId="0" borderId="0" xfId="0" applyNumberFormat="1" applyFont="1" applyFill="1" applyProtection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7" fontId="0" fillId="0" borderId="0" xfId="0" applyNumberFormat="1"/>
    <xf numFmtId="0" fontId="0" fillId="0" borderId="0" xfId="0" applyFill="1"/>
    <xf numFmtId="0" fontId="18" fillId="0" borderId="0" xfId="0" applyFont="1" applyFill="1" applyAlignment="1">
      <alignment horizontal="right"/>
    </xf>
    <xf numFmtId="10" fontId="5" fillId="0" borderId="0" xfId="2" applyNumberFormat="1" applyFont="1" applyFill="1"/>
    <xf numFmtId="0" fontId="9" fillId="0" borderId="0" xfId="0" applyFont="1" applyFill="1" applyBorder="1"/>
    <xf numFmtId="0" fontId="9" fillId="0" borderId="0" xfId="0" quotePrefix="1" applyFont="1" applyFill="1" applyBorder="1" applyAlignment="1" applyProtection="1">
      <alignment horizontal="center"/>
      <protection locked="0"/>
    </xf>
    <xf numFmtId="0" fontId="14" fillId="0" borderId="0" xfId="0" applyFont="1" applyFill="1" applyBorder="1"/>
    <xf numFmtId="167" fontId="5" fillId="0" borderId="0" xfId="0" applyNumberFormat="1" applyFont="1" applyFill="1" applyBorder="1" applyProtection="1"/>
    <xf numFmtId="0" fontId="22" fillId="0" borderId="0" xfId="0" applyFont="1" applyFill="1"/>
    <xf numFmtId="0" fontId="4" fillId="0" borderId="17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quotePrefix="1" applyFont="1" applyFill="1" applyAlignment="1">
      <alignment horizontal="center"/>
    </xf>
    <xf numFmtId="37" fontId="18" fillId="0" borderId="0" xfId="0" applyNumberFormat="1" applyFont="1" applyFill="1"/>
    <xf numFmtId="37" fontId="18" fillId="0" borderId="0" xfId="0" applyNumberFormat="1" applyFont="1" applyFill="1" applyBorder="1"/>
    <xf numFmtId="0" fontId="5" fillId="0" borderId="0" xfId="0" applyFont="1" applyFill="1"/>
    <xf numFmtId="37" fontId="5" fillId="0" borderId="0" xfId="0" applyNumberFormat="1" applyFont="1" applyFill="1"/>
    <xf numFmtId="0" fontId="5" fillId="0" borderId="0" xfId="0" applyFont="1" applyFill="1" applyBorder="1"/>
    <xf numFmtId="37" fontId="8" fillId="0" borderId="0" xfId="0" applyNumberFormat="1" applyFont="1" applyFill="1"/>
    <xf numFmtId="166" fontId="9" fillId="0" borderId="0" xfId="0" applyNumberFormat="1" applyFont="1" applyFill="1"/>
    <xf numFmtId="166" fontId="5" fillId="0" borderId="0" xfId="0" applyNumberFormat="1" applyFont="1" applyFill="1"/>
    <xf numFmtId="5" fontId="5" fillId="0" borderId="0" xfId="1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Alignment="1" applyProtection="1">
      <alignment horizontal="left" indent="1"/>
      <protection locked="0"/>
    </xf>
    <xf numFmtId="0" fontId="5" fillId="0" borderId="0" xfId="0" applyFont="1" applyFill="1" applyAlignment="1" applyProtection="1">
      <alignment horizontal="left" indent="2"/>
      <protection locked="0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2"/>
    </xf>
    <xf numFmtId="0" fontId="5" fillId="0" borderId="0" xfId="0" quotePrefix="1" applyFont="1" applyFill="1" applyAlignment="1">
      <alignment horizontal="left" indent="2"/>
    </xf>
    <xf numFmtId="0" fontId="4" fillId="0" borderId="0" xfId="0" applyFont="1" applyFill="1" applyAlignment="1">
      <alignment horizontal="left" indent="1"/>
    </xf>
    <xf numFmtId="0" fontId="9" fillId="0" borderId="0" xfId="0" applyFont="1" applyFill="1" applyAlignment="1" applyProtection="1">
      <alignment horizontal="left" indent="2"/>
      <protection locked="0"/>
    </xf>
    <xf numFmtId="0" fontId="5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5" fillId="0" borderId="0" xfId="0" quotePrefix="1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37" fontId="4" fillId="0" borderId="7" xfId="0" applyNumberFormat="1" applyFont="1" applyFill="1" applyBorder="1"/>
    <xf numFmtId="37" fontId="4" fillId="0" borderId="8" xfId="0" applyNumberFormat="1" applyFont="1" applyFill="1" applyBorder="1"/>
    <xf numFmtId="37" fontId="8" fillId="0" borderId="7" xfId="0" applyNumberFormat="1" applyFont="1" applyFill="1" applyBorder="1"/>
    <xf numFmtId="0" fontId="4" fillId="0" borderId="22" xfId="0" applyFont="1" applyFill="1" applyBorder="1"/>
    <xf numFmtId="37" fontId="5" fillId="0" borderId="22" xfId="0" applyNumberFormat="1" applyFont="1" applyFill="1" applyBorder="1"/>
    <xf numFmtId="164" fontId="5" fillId="0" borderId="22" xfId="0" applyNumberFormat="1" applyFont="1" applyFill="1" applyBorder="1" applyProtection="1"/>
    <xf numFmtId="37" fontId="5" fillId="0" borderId="23" xfId="0" applyNumberFormat="1" applyFont="1" applyFill="1" applyBorder="1"/>
    <xf numFmtId="37" fontId="5" fillId="0" borderId="0" xfId="0" applyNumberFormat="1" applyFont="1" applyFill="1" applyAlignment="1" applyProtection="1"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0" fontId="7" fillId="0" borderId="0" xfId="0" quotePrefix="1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left" indent="2"/>
    </xf>
    <xf numFmtId="37" fontId="9" fillId="0" borderId="0" xfId="0" applyNumberFormat="1" applyFont="1" applyFill="1" applyBorder="1" applyProtection="1"/>
    <xf numFmtId="164" fontId="9" fillId="0" borderId="0" xfId="0" applyNumberFormat="1" applyFont="1" applyFill="1" applyBorder="1" applyProtection="1"/>
    <xf numFmtId="164" fontId="10" fillId="0" borderId="0" xfId="0" applyNumberFormat="1" applyFont="1" applyFill="1" applyBorder="1" applyProtection="1"/>
    <xf numFmtId="37" fontId="19" fillId="0" borderId="0" xfId="0" applyNumberFormat="1" applyFont="1" applyFill="1" applyBorder="1" applyProtection="1"/>
    <xf numFmtId="37" fontId="4" fillId="0" borderId="0" xfId="0" applyNumberFormat="1" applyFont="1" applyFill="1" applyAlignment="1" applyProtection="1"/>
    <xf numFmtId="0" fontId="0" fillId="0" borderId="0" xfId="0" applyBorder="1"/>
    <xf numFmtId="37" fontId="9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164" fontId="8" fillId="0" borderId="0" xfId="0" applyNumberFormat="1" applyFont="1" applyFill="1" applyBorder="1"/>
    <xf numFmtId="164" fontId="5" fillId="0" borderId="5" xfId="0" applyNumberFormat="1" applyFont="1" applyFill="1" applyBorder="1"/>
    <xf numFmtId="0" fontId="4" fillId="0" borderId="0" xfId="0" applyFont="1" applyFill="1" applyAlignment="1">
      <alignment horizontal="center"/>
    </xf>
    <xf numFmtId="37" fontId="29" fillId="0" borderId="0" xfId="0" applyNumberFormat="1" applyFont="1" applyFill="1" applyProtection="1"/>
    <xf numFmtId="37" fontId="18" fillId="0" borderId="0" xfId="0" applyNumberFormat="1" applyFont="1" applyFill="1" applyProtection="1">
      <protection locked="0"/>
    </xf>
    <xf numFmtId="37" fontId="19" fillId="0" borderId="0" xfId="0" applyNumberFormat="1" applyFont="1" applyFill="1" applyProtection="1">
      <protection locked="0"/>
    </xf>
    <xf numFmtId="164" fontId="19" fillId="0" borderId="0" xfId="0" applyNumberFormat="1" applyFont="1" applyFill="1" applyProtection="1">
      <protection locked="0"/>
    </xf>
    <xf numFmtId="164" fontId="18" fillId="0" borderId="0" xfId="0" applyNumberFormat="1" applyFont="1" applyFill="1" applyProtection="1">
      <protection locked="0"/>
    </xf>
    <xf numFmtId="164" fontId="19" fillId="0" borderId="0" xfId="0" applyNumberFormat="1" applyFont="1" applyFill="1" applyProtection="1"/>
    <xf numFmtId="37" fontId="19" fillId="0" borderId="0" xfId="0" applyNumberFormat="1" applyFont="1" applyFill="1"/>
    <xf numFmtId="166" fontId="18" fillId="0" borderId="0" xfId="0" applyNumberFormat="1" applyFont="1" applyFill="1"/>
    <xf numFmtId="0" fontId="8" fillId="0" borderId="0" xfId="0" quotePrefix="1" applyNumberFormat="1" applyFont="1" applyFill="1"/>
    <xf numFmtId="0" fontId="5" fillId="0" borderId="0" xfId="0" applyFont="1" applyAlignment="1">
      <alignment horizontal="left" indent="2"/>
    </xf>
    <xf numFmtId="37" fontId="18" fillId="0" borderId="0" xfId="0" applyNumberFormat="1" applyFont="1" applyFill="1" applyProtection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37" fontId="5" fillId="0" borderId="0" xfId="1" applyNumberFormat="1" applyFont="1" applyFill="1"/>
    <xf numFmtId="39" fontId="18" fillId="0" borderId="0" xfId="0" applyNumberFormat="1" applyFont="1" applyFill="1"/>
    <xf numFmtId="164" fontId="18" fillId="0" borderId="0" xfId="0" applyNumberFormat="1" applyFont="1" applyFill="1" applyProtection="1"/>
    <xf numFmtId="0" fontId="4" fillId="0" borderId="0" xfId="0" applyFont="1" applyFill="1" applyAlignment="1">
      <alignment horizontal="center"/>
    </xf>
    <xf numFmtId="166" fontId="18" fillId="4" borderId="17" xfId="0" applyNumberFormat="1" applyFont="1" applyFill="1" applyBorder="1"/>
    <xf numFmtId="166" fontId="19" fillId="4" borderId="17" xfId="0" applyNumberFormat="1" applyFont="1" applyFill="1" applyBorder="1"/>
    <xf numFmtId="169" fontId="5" fillId="4" borderId="19" xfId="1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39" fontId="5" fillId="0" borderId="0" xfId="0" applyNumberFormat="1" applyFont="1" applyFill="1" applyAlignment="1" applyProtection="1">
      <alignment horizontal="center"/>
    </xf>
    <xf numFmtId="5" fontId="5" fillId="0" borderId="0" xfId="0" applyNumberFormat="1" applyFont="1" applyFill="1"/>
    <xf numFmtId="37" fontId="21" fillId="0" borderId="0" xfId="0" applyNumberFormat="1" applyFont="1" applyFill="1"/>
    <xf numFmtId="173" fontId="4" fillId="0" borderId="0" xfId="0" applyNumberFormat="1" applyFont="1" applyFill="1" applyAlignment="1">
      <alignment horizontal="right"/>
    </xf>
    <xf numFmtId="0" fontId="0" fillId="0" borderId="0" xfId="0" applyFill="1" applyBorder="1"/>
    <xf numFmtId="37" fontId="4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1" fontId="5" fillId="0" borderId="0" xfId="0" applyNumberFormat="1" applyFont="1" applyFill="1"/>
    <xf numFmtId="0" fontId="4" fillId="0" borderId="0" xfId="0" applyFont="1" applyFill="1" applyAlignment="1">
      <alignment horizontal="center"/>
    </xf>
    <xf numFmtId="37" fontId="5" fillId="0" borderId="27" xfId="0" applyNumberFormat="1" applyFont="1" applyFill="1" applyBorder="1"/>
    <xf numFmtId="164" fontId="5" fillId="0" borderId="27" xfId="0" applyNumberFormat="1" applyFont="1" applyFill="1" applyBorder="1"/>
    <xf numFmtId="5" fontId="5" fillId="0" borderId="27" xfId="1" applyNumberFormat="1" applyFont="1" applyFill="1" applyBorder="1"/>
    <xf numFmtId="172" fontId="5" fillId="0" borderId="27" xfId="1" applyNumberFormat="1" applyFont="1" applyFill="1" applyBorder="1"/>
    <xf numFmtId="41" fontId="5" fillId="0" borderId="26" xfId="0" applyNumberFormat="1" applyFont="1" applyFill="1" applyBorder="1"/>
    <xf numFmtId="10" fontId="8" fillId="0" borderId="0" xfId="2" applyNumberFormat="1" applyFont="1" applyFill="1"/>
    <xf numFmtId="41" fontId="25" fillId="0" borderId="0" xfId="0" applyNumberFormat="1" applyFont="1" applyFill="1"/>
    <xf numFmtId="10" fontId="5" fillId="0" borderId="0" xfId="0" applyNumberFormat="1" applyFont="1" applyFill="1"/>
    <xf numFmtId="41" fontId="4" fillId="0" borderId="0" xfId="0" applyNumberFormat="1" applyFont="1" applyFill="1"/>
    <xf numFmtId="41" fontId="5" fillId="0" borderId="0" xfId="0" applyNumberFormat="1" applyFont="1" applyFill="1" applyBorder="1"/>
    <xf numFmtId="0" fontId="5" fillId="0" borderId="0" xfId="0" applyFont="1" applyFill="1" applyAlignment="1">
      <alignment vertical="center"/>
    </xf>
    <xf numFmtId="41" fontId="25" fillId="0" borderId="0" xfId="0" applyNumberFormat="1" applyFont="1" applyFill="1" applyBorder="1"/>
    <xf numFmtId="174" fontId="5" fillId="0" borderId="0" xfId="0" applyNumberFormat="1" applyFont="1" applyFill="1"/>
    <xf numFmtId="174" fontId="4" fillId="0" borderId="0" xfId="0" applyNumberFormat="1" applyFont="1" applyFill="1"/>
    <xf numFmtId="0" fontId="5" fillId="0" borderId="0" xfId="0" quotePrefix="1" applyFont="1" applyFill="1"/>
    <xf numFmtId="43" fontId="5" fillId="0" borderId="0" xfId="0" applyNumberFormat="1" applyFont="1" applyFill="1"/>
    <xf numFmtId="171" fontId="5" fillId="0" borderId="0" xfId="0" applyNumberFormat="1" applyFont="1" applyFill="1"/>
    <xf numFmtId="37" fontId="25" fillId="0" borderId="0" xfId="0" applyNumberFormat="1" applyFont="1" applyFill="1" applyBorder="1"/>
    <xf numFmtId="0" fontId="4" fillId="0" borderId="0" xfId="0" applyFont="1" applyFill="1" applyAlignment="1" applyProtection="1">
      <alignment horizontal="left"/>
      <protection locked="0"/>
    </xf>
    <xf numFmtId="5" fontId="5" fillId="0" borderId="0" xfId="1" applyNumberFormat="1" applyFont="1" applyFill="1" applyBorder="1"/>
    <xf numFmtId="0" fontId="4" fillId="0" borderId="0" xfId="0" applyFont="1" applyFill="1" applyBorder="1" applyAlignment="1">
      <alignment horizontal="left" indent="3"/>
    </xf>
    <xf numFmtId="170" fontId="4" fillId="0" borderId="0" xfId="3" applyNumberFormat="1" applyFont="1" applyFill="1" applyBorder="1"/>
    <xf numFmtId="170" fontId="4" fillId="0" borderId="0" xfId="0" applyNumberFormat="1" applyFont="1" applyFill="1" applyBorder="1"/>
    <xf numFmtId="37" fontId="8" fillId="0" borderId="0" xfId="1" applyNumberFormat="1" applyFont="1" applyFill="1"/>
    <xf numFmtId="10" fontId="8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5" fontId="5" fillId="0" borderId="0" xfId="0" applyNumberFormat="1" applyFont="1" applyFill="1" applyAlignment="1">
      <alignment horizontal="right"/>
    </xf>
    <xf numFmtId="166" fontId="4" fillId="0" borderId="0" xfId="0" applyNumberFormat="1" applyFont="1" applyFill="1"/>
    <xf numFmtId="39" fontId="4" fillId="0" borderId="0" xfId="3" applyNumberFormat="1" applyFont="1" applyFill="1"/>
    <xf numFmtId="10" fontId="4" fillId="0" borderId="0" xfId="0" applyNumberFormat="1" applyFont="1" applyFill="1"/>
    <xf numFmtId="0" fontId="8" fillId="0" borderId="0" xfId="0" applyFont="1" applyFill="1" applyAlignment="1">
      <alignment horizontal="right"/>
    </xf>
    <xf numFmtId="37" fontId="4" fillId="0" borderId="0" xfId="0" applyNumberFormat="1" applyFont="1" applyFill="1"/>
    <xf numFmtId="5" fontId="4" fillId="0" borderId="0" xfId="0" applyNumberFormat="1" applyFont="1" applyFill="1"/>
    <xf numFmtId="10" fontId="4" fillId="0" borderId="0" xfId="2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/>
    <xf numFmtId="172" fontId="5" fillId="0" borderId="0" xfId="0" applyNumberFormat="1" applyFont="1" applyFill="1"/>
    <xf numFmtId="9" fontId="4" fillId="0" borderId="0" xfId="2" applyFont="1" applyFill="1"/>
    <xf numFmtId="37" fontId="4" fillId="0" borderId="0" xfId="0" applyNumberFormat="1" applyFont="1" applyFill="1" applyAlignment="1">
      <alignment horizontal="center"/>
    </xf>
    <xf numFmtId="166" fontId="21" fillId="0" borderId="0" xfId="0" applyNumberFormat="1" applyFont="1" applyFill="1"/>
    <xf numFmtId="0" fontId="21" fillId="0" borderId="0" xfId="0" applyFont="1" applyFill="1"/>
    <xf numFmtId="0" fontId="4" fillId="5" borderId="1" xfId="0" applyFont="1" applyFill="1" applyBorder="1" applyAlignment="1">
      <alignment horizontal="left"/>
    </xf>
    <xf numFmtId="0" fontId="5" fillId="5" borderId="2" xfId="0" applyFont="1" applyFill="1" applyBorder="1"/>
    <xf numFmtId="0" fontId="8" fillId="5" borderId="2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3" xfId="0" applyFont="1" applyFill="1" applyBorder="1" applyAlignment="1">
      <alignment horizontal="left"/>
    </xf>
    <xf numFmtId="0" fontId="5" fillId="5" borderId="0" xfId="0" applyFont="1" applyFill="1" applyBorder="1"/>
    <xf numFmtId="37" fontId="5" fillId="5" borderId="0" xfId="0" applyNumberFormat="1" applyFont="1" applyFill="1" applyBorder="1"/>
    <xf numFmtId="0" fontId="5" fillId="5" borderId="7" xfId="0" applyFont="1" applyFill="1" applyBorder="1"/>
    <xf numFmtId="37" fontId="8" fillId="5" borderId="0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/>
    <xf numFmtId="37" fontId="5" fillId="5" borderId="5" xfId="0" applyNumberFormat="1" applyFont="1" applyFill="1" applyBorder="1"/>
    <xf numFmtId="0" fontId="5" fillId="5" borderId="8" xfId="0" applyFont="1" applyFill="1" applyBorder="1"/>
    <xf numFmtId="0" fontId="5" fillId="5" borderId="2" xfId="0" applyFont="1" applyFill="1" applyBorder="1" applyAlignment="1">
      <alignment horizontal="left"/>
    </xf>
    <xf numFmtId="164" fontId="8" fillId="5" borderId="2" xfId="0" applyNumberFormat="1" applyFont="1" applyFill="1" applyBorder="1" applyAlignment="1" applyProtection="1">
      <alignment horizontal="center"/>
    </xf>
    <xf numFmtId="164" fontId="8" fillId="5" borderId="6" xfId="0" applyNumberFormat="1" applyFont="1" applyFill="1" applyBorder="1" applyAlignment="1" applyProtection="1">
      <alignment horizontal="center"/>
    </xf>
    <xf numFmtId="0" fontId="5" fillId="5" borderId="0" xfId="0" applyFont="1" applyFill="1" applyBorder="1" applyAlignment="1">
      <alignment horizontal="left"/>
    </xf>
    <xf numFmtId="164" fontId="5" fillId="5" borderId="0" xfId="0" applyNumberFormat="1" applyFont="1" applyFill="1" applyBorder="1"/>
    <xf numFmtId="164" fontId="5" fillId="5" borderId="7" xfId="0" applyNumberFormat="1" applyFont="1" applyFill="1" applyBorder="1"/>
    <xf numFmtId="164" fontId="8" fillId="5" borderId="0" xfId="0" applyNumberFormat="1" applyFont="1" applyFill="1" applyBorder="1"/>
    <xf numFmtId="164" fontId="8" fillId="5" borderId="7" xfId="0" applyNumberFormat="1" applyFont="1" applyFill="1" applyBorder="1"/>
    <xf numFmtId="0" fontId="5" fillId="5" borderId="5" xfId="0" applyFont="1" applyFill="1" applyBorder="1" applyAlignment="1">
      <alignment horizontal="left"/>
    </xf>
    <xf numFmtId="164" fontId="5" fillId="5" borderId="5" xfId="0" applyNumberFormat="1" applyFont="1" applyFill="1" applyBorder="1"/>
    <xf numFmtId="164" fontId="5" fillId="5" borderId="8" xfId="0" applyNumberFormat="1" applyFont="1" applyFill="1" applyBorder="1"/>
    <xf numFmtId="0" fontId="18" fillId="0" borderId="0" xfId="0" applyFont="1" applyFill="1"/>
    <xf numFmtId="0" fontId="9" fillId="0" borderId="0" xfId="0" quotePrefix="1" applyFont="1" applyFill="1" applyProtection="1">
      <protection locked="0"/>
    </xf>
    <xf numFmtId="0" fontId="9" fillId="0" borderId="0" xfId="0" quotePrefix="1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 indent="1"/>
      <protection locked="0"/>
    </xf>
    <xf numFmtId="0" fontId="5" fillId="0" borderId="22" xfId="0" applyFont="1" applyFill="1" applyBorder="1"/>
    <xf numFmtId="0" fontId="9" fillId="0" borderId="22" xfId="0" applyFont="1" applyFill="1" applyBorder="1" applyProtection="1">
      <protection locked="0"/>
    </xf>
    <xf numFmtId="176" fontId="5" fillId="0" borderId="23" xfId="3" applyNumberFormat="1" applyFont="1" applyFill="1" applyBorder="1"/>
    <xf numFmtId="37" fontId="19" fillId="0" borderId="0" xfId="0" applyNumberFormat="1" applyFont="1" applyFill="1" applyProtection="1"/>
    <xf numFmtId="37" fontId="5" fillId="5" borderId="7" xfId="0" applyNumberFormat="1" applyFont="1" applyFill="1" applyBorder="1" applyAlignment="1">
      <alignment horizontal="center"/>
    </xf>
    <xf numFmtId="164" fontId="18" fillId="5" borderId="0" xfId="0" applyNumberFormat="1" applyFont="1" applyFill="1" applyBorder="1"/>
    <xf numFmtId="164" fontId="19" fillId="5" borderId="0" xfId="0" applyNumberFormat="1" applyFont="1" applyFill="1" applyBorder="1"/>
    <xf numFmtId="169" fontId="18" fillId="4" borderId="19" xfId="1" applyNumberFormat="1" applyFont="1" applyFill="1" applyBorder="1"/>
    <xf numFmtId="173" fontId="5" fillId="0" borderId="0" xfId="0" applyNumberFormat="1" applyFont="1" applyFill="1"/>
    <xf numFmtId="177" fontId="5" fillId="0" borderId="0" xfId="0" applyNumberFormat="1" applyFont="1" applyFill="1"/>
    <xf numFmtId="43" fontId="5" fillId="0" borderId="0" xfId="3" applyFont="1" applyFill="1"/>
    <xf numFmtId="178" fontId="4" fillId="0" borderId="0" xfId="0" applyNumberFormat="1" applyFont="1" applyFill="1"/>
    <xf numFmtId="178" fontId="5" fillId="0" borderId="0" xfId="0" applyNumberFormat="1" applyFont="1" applyFill="1"/>
    <xf numFmtId="5" fontId="5" fillId="0" borderId="0" xfId="0" applyNumberFormat="1" applyFont="1" applyFill="1" applyBorder="1"/>
    <xf numFmtId="41" fontId="8" fillId="0" borderId="0" xfId="0" applyNumberFormat="1" applyFont="1" applyFill="1" applyBorder="1"/>
    <xf numFmtId="0" fontId="4" fillId="0" borderId="0" xfId="0" quotePrefix="1" applyFont="1" applyFill="1" applyAlignment="1">
      <alignment horizontal="center"/>
    </xf>
    <xf numFmtId="0" fontId="5" fillId="4" borderId="20" xfId="0" applyFont="1" applyFill="1" applyBorder="1"/>
    <xf numFmtId="0" fontId="8" fillId="4" borderId="10" xfId="0" applyFont="1" applyFill="1" applyBorder="1" applyAlignment="1">
      <alignment horizontal="center"/>
    </xf>
    <xf numFmtId="168" fontId="5" fillId="4" borderId="14" xfId="0" applyNumberFormat="1" applyFont="1" applyFill="1" applyBorder="1"/>
    <xf numFmtId="0" fontId="8" fillId="4" borderId="15" xfId="0" applyFont="1" applyFill="1" applyBorder="1" applyAlignment="1"/>
    <xf numFmtId="0" fontId="5" fillId="4" borderId="16" xfId="0" applyFont="1" applyFill="1" applyBorder="1"/>
    <xf numFmtId="166" fontId="5" fillId="4" borderId="17" xfId="0" applyNumberFormat="1" applyFont="1" applyFill="1" applyBorder="1"/>
    <xf numFmtId="0" fontId="5" fillId="4" borderId="18" xfId="0" applyFont="1" applyFill="1" applyBorder="1"/>
    <xf numFmtId="166" fontId="8" fillId="4" borderId="17" xfId="0" applyNumberFormat="1" applyFont="1" applyFill="1" applyBorder="1"/>
    <xf numFmtId="0" fontId="18" fillId="0" borderId="0" xfId="0" quotePrefix="1" applyFont="1" applyFill="1"/>
    <xf numFmtId="0" fontId="9" fillId="0" borderId="22" xfId="0" applyFont="1" applyFill="1" applyBorder="1" applyAlignment="1" applyProtection="1">
      <protection locked="0"/>
    </xf>
    <xf numFmtId="37" fontId="18" fillId="0" borderId="0" xfId="0" applyNumberFormat="1" applyFont="1" applyFill="1" applyBorder="1" applyProtection="1"/>
    <xf numFmtId="37" fontId="19" fillId="5" borderId="0" xfId="0" applyNumberFormat="1" applyFont="1" applyFill="1" applyBorder="1"/>
    <xf numFmtId="37" fontId="18" fillId="5" borderId="0" xfId="0" applyNumberFormat="1" applyFont="1" applyFill="1" applyBorder="1"/>
    <xf numFmtId="0" fontId="19" fillId="0" borderId="0" xfId="0" applyFont="1" applyFill="1"/>
    <xf numFmtId="39" fontId="24" fillId="0" borderId="24" xfId="0" applyNumberFormat="1" applyFont="1" applyFill="1" applyBorder="1" applyProtection="1">
      <protection locked="0"/>
    </xf>
    <xf numFmtId="39" fontId="24" fillId="0" borderId="25" xfId="0" applyNumberFormat="1" applyFont="1" applyFill="1" applyBorder="1" applyProtection="1">
      <protection locked="0"/>
    </xf>
    <xf numFmtId="39" fontId="24" fillId="0" borderId="14" xfId="0" applyNumberFormat="1" applyFont="1" applyFill="1" applyBorder="1" applyProtection="1">
      <protection locked="0"/>
    </xf>
    <xf numFmtId="37" fontId="19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37" fontId="21" fillId="3" borderId="0" xfId="0" applyNumberFormat="1" applyFont="1" applyFill="1"/>
    <xf numFmtId="2" fontId="5" fillId="0" borderId="0" xfId="0" quotePrefix="1" applyNumberFormat="1" applyFont="1" applyFill="1"/>
    <xf numFmtId="175" fontId="5" fillId="0" borderId="0" xfId="0" quotePrefix="1" applyNumberFormat="1" applyFont="1" applyFill="1"/>
    <xf numFmtId="175" fontId="5" fillId="0" borderId="0" xfId="0" applyNumberFormat="1" applyFont="1" applyFill="1"/>
    <xf numFmtId="37" fontId="18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 applyProtection="1">
      <alignment horizontal="center"/>
      <protection locked="0"/>
    </xf>
    <xf numFmtId="37" fontId="12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Fill="1" applyAlignment="1" applyProtection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0" xfId="0" quotePrefix="1" applyFont="1" applyFill="1" applyAlignment="1">
      <alignment horizontal="center"/>
    </xf>
    <xf numFmtId="44" fontId="5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0" fontId="31" fillId="0" borderId="0" xfId="3" applyNumberFormat="1" applyFont="1" applyFill="1" applyBorder="1"/>
    <xf numFmtId="173" fontId="5" fillId="0" borderId="0" xfId="0" applyNumberFormat="1" applyFont="1" applyFill="1" applyAlignment="1">
      <alignment horizontal="right"/>
    </xf>
    <xf numFmtId="39" fontId="4" fillId="0" borderId="0" xfId="0" applyNumberFormat="1" applyFont="1" applyFill="1"/>
    <xf numFmtId="175" fontId="4" fillId="0" borderId="0" xfId="0" applyNumberFormat="1" applyFont="1" applyFill="1"/>
  </cellXfs>
  <cellStyles count="8">
    <cellStyle name="Comma" xfId="3" builtinId="3"/>
    <cellStyle name="Comma 2" xfId="4"/>
    <cellStyle name="Currency" xfId="1" builtinId="4"/>
    <cellStyle name="Currency 2" xfId="5"/>
    <cellStyle name="Normal" xfId="0" builtinId="0"/>
    <cellStyle name="Normal 2" xfId="6"/>
    <cellStyle name="Percent" xfId="2" builtinId="5"/>
    <cellStyle name="Percent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A7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TS1&amp;TS2\DataFa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Cgv\RATECASE\2006%20Rate%20Case%20TME%2012-31-05,%20Proforma%209-30-06\Revenue\TS1&amp;TS2splitworksheet-2005-(4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PGA-ACA\(WORKINGCOPY)PGA-EffectiveNovember29,2005\(WORKINGCOPY)PGA-EffectiveNovember29,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&amp;B"/>
      <sheetName val="PGA 95 B&amp;B Monica"/>
      <sheetName val="Demand Data"/>
      <sheetName val="Demand Summary"/>
      <sheetName val="ACAvsCGVStorage&amp;Peaking"/>
      <sheetName val="TRANSPORTS-revised"/>
      <sheetName val="TS1&amp;TS2data"/>
      <sheetName val="B&amp;B Tol LVTS"/>
      <sheetName val="B&amp;B Tol TS1"/>
      <sheetName val="B&amp;B Tol TS2"/>
      <sheetName val="B&amp;B Tol All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3 A REV."/>
      <sheetName val="ATTACH REH-5A REV"/>
      <sheetName val="TS1 &amp; TS2 ALLOCATION"/>
    </sheetNames>
    <sheetDataSet>
      <sheetData sheetId="0">
        <row r="1">
          <cell r="H1" t="str">
            <v>Schedule 33</v>
          </cell>
        </row>
        <row r="3">
          <cell r="D3" t="str">
            <v>COLUMBIA GAS OF VIRGINIA,  INC.</v>
          </cell>
        </row>
        <row r="5">
          <cell r="D5" t="str">
            <v xml:space="preserve">      Schedule of Additional Gross Revenues</v>
          </cell>
        </row>
        <row r="6">
          <cell r="D6" t="str">
            <v>By Rate Schedule Produced By Proposed Rates</v>
          </cell>
        </row>
        <row r="9">
          <cell r="D9" t="str">
            <v>Adjusted</v>
          </cell>
          <cell r="G9" t="str">
            <v>Proposed</v>
          </cell>
          <cell r="H9" t="str">
            <v>Proposed</v>
          </cell>
        </row>
        <row r="10">
          <cell r="C10" t="str">
            <v>Adjusted</v>
          </cell>
          <cell r="D10" t="str">
            <v>Rate</v>
          </cell>
          <cell r="E10" t="str">
            <v>Proposed</v>
          </cell>
          <cell r="F10" t="str">
            <v>Adjusted</v>
          </cell>
          <cell r="G10" t="str">
            <v>Increase</v>
          </cell>
          <cell r="H10" t="str">
            <v>Increase</v>
          </cell>
        </row>
        <row r="11">
          <cell r="B11" t="str">
            <v>Description</v>
          </cell>
          <cell r="C11" t="str">
            <v>Volumes (a)</v>
          </cell>
          <cell r="D11" t="str">
            <v>Revenue (b)</v>
          </cell>
          <cell r="E11" t="str">
            <v>Increase</v>
          </cell>
          <cell r="F11" t="str">
            <v>Revenues</v>
          </cell>
          <cell r="G11" t="str">
            <v>Per Mcf</v>
          </cell>
          <cell r="H11" t="str">
            <v>Percent</v>
          </cell>
        </row>
        <row r="12">
          <cell r="C12" t="str">
            <v>(1)</v>
          </cell>
          <cell r="D12" t="str">
            <v>(2)</v>
          </cell>
          <cell r="E12" t="str">
            <v>(3)</v>
          </cell>
          <cell r="F12" t="str">
            <v>(4=2+3)</v>
          </cell>
          <cell r="G12" t="str">
            <v>(5=3/1)</v>
          </cell>
          <cell r="H12" t="str">
            <v>(6)</v>
          </cell>
        </row>
        <row r="13">
          <cell r="C13" t="str">
            <v>Mcf</v>
          </cell>
          <cell r="D13" t="str">
            <v>$</v>
          </cell>
          <cell r="E13" t="str">
            <v>$</v>
          </cell>
          <cell r="F13" t="str">
            <v>$</v>
          </cell>
          <cell r="G13" t="str">
            <v>$/Mcf</v>
          </cell>
        </row>
        <row r="15">
          <cell r="B15" t="str">
            <v>Residential Service</v>
          </cell>
        </row>
        <row r="16">
          <cell r="B16" t="str">
            <v xml:space="preserve">  East and West</v>
          </cell>
          <cell r="C16">
            <v>11467918.199999999</v>
          </cell>
          <cell r="D16">
            <v>105546782</v>
          </cell>
          <cell r="E16">
            <v>9268974.945700001</v>
          </cell>
          <cell r="F16">
            <v>114815756.9457</v>
          </cell>
        </row>
        <row r="17">
          <cell r="B17" t="str">
            <v xml:space="preserve">  Central</v>
          </cell>
          <cell r="C17">
            <v>917057.1</v>
          </cell>
          <cell r="D17">
            <v>8272167</v>
          </cell>
          <cell r="E17">
            <v>796152.52987344749</v>
          </cell>
          <cell r="F17">
            <v>9068319.5298734475</v>
          </cell>
        </row>
        <row r="18">
          <cell r="B18" t="str">
            <v xml:space="preserve">  Total</v>
          </cell>
          <cell r="C18">
            <v>12384975.299999999</v>
          </cell>
          <cell r="D18">
            <v>113818949</v>
          </cell>
          <cell r="E18">
            <v>10065127.475573448</v>
          </cell>
          <cell r="F18">
            <v>123884076.47557345</v>
          </cell>
          <cell r="G18">
            <v>0.81269999999999998</v>
          </cell>
          <cell r="H18">
            <v>8.8400000000000006E-2</v>
          </cell>
        </row>
        <row r="20">
          <cell r="B20" t="str">
            <v>Small General Service</v>
          </cell>
        </row>
        <row r="21">
          <cell r="B21" t="str">
            <v xml:space="preserve">  Commercial</v>
          </cell>
          <cell r="C21">
            <v>6998572.9000000004</v>
          </cell>
          <cell r="D21">
            <v>47132884</v>
          </cell>
          <cell r="E21">
            <v>2635048.8509999998</v>
          </cell>
          <cell r="F21">
            <v>49767932.850999996</v>
          </cell>
        </row>
        <row r="22">
          <cell r="B22" t="str">
            <v xml:space="preserve">  Industrial</v>
          </cell>
          <cell r="C22">
            <v>522998.3</v>
          </cell>
          <cell r="D22">
            <v>3243215</v>
          </cell>
          <cell r="E22">
            <v>180918.85170088289</v>
          </cell>
          <cell r="F22">
            <v>3424133.8517008829</v>
          </cell>
        </row>
        <row r="23">
          <cell r="B23" t="str">
            <v xml:space="preserve">  Total</v>
          </cell>
          <cell r="C23">
            <v>7521571.2000000002</v>
          </cell>
          <cell r="D23">
            <v>50376099</v>
          </cell>
          <cell r="E23">
            <v>2815967.7027008827</v>
          </cell>
          <cell r="F23">
            <v>53192066.702700876</v>
          </cell>
          <cell r="G23">
            <v>0.37440000000000001</v>
          </cell>
          <cell r="H23">
            <v>5.5899999999999998E-2</v>
          </cell>
        </row>
        <row r="25">
          <cell r="B25" t="str">
            <v xml:space="preserve">Large General Service 1/  </v>
          </cell>
        </row>
        <row r="26">
          <cell r="B26" t="str">
            <v>Transportation Service 1</v>
          </cell>
        </row>
        <row r="27">
          <cell r="B27" t="str">
            <v xml:space="preserve">  Commercial (LGS 1)</v>
          </cell>
          <cell r="C27">
            <v>427682.9</v>
          </cell>
          <cell r="D27">
            <v>1115423</v>
          </cell>
          <cell r="E27">
            <v>32711.53581999999</v>
          </cell>
          <cell r="F27">
            <v>1148134.5358199999</v>
          </cell>
        </row>
        <row r="28">
          <cell r="B28" t="str">
            <v xml:space="preserve">  Industrial (LGS 1)</v>
          </cell>
          <cell r="C28">
            <v>740335</v>
          </cell>
          <cell r="D28">
            <v>3449616</v>
          </cell>
          <cell r="E28">
            <v>74045.791333959671</v>
          </cell>
          <cell r="F28">
            <v>3523661.7913339594</v>
          </cell>
        </row>
        <row r="29">
          <cell r="B29" t="str">
            <v xml:space="preserve">  Commercial (TS-1)</v>
          </cell>
          <cell r="C29">
            <v>2101300.2000000002</v>
          </cell>
          <cell r="D29">
            <v>1368179</v>
          </cell>
          <cell r="E29">
            <v>167328.92973999999</v>
          </cell>
          <cell r="F29">
            <v>1535507.9297400001</v>
          </cell>
        </row>
        <row r="30">
          <cell r="B30" t="str">
            <v xml:space="preserve">  Industrial (TS-1)</v>
          </cell>
          <cell r="C30">
            <v>6947728.5999999996</v>
          </cell>
          <cell r="D30">
            <v>3734034</v>
          </cell>
          <cell r="E30">
            <v>495300.92672000005</v>
          </cell>
          <cell r="F30">
            <v>4229334.9267199999</v>
          </cell>
        </row>
        <row r="31">
          <cell r="B31" t="str">
            <v xml:space="preserve">  Total</v>
          </cell>
          <cell r="C31">
            <v>10217046.699999999</v>
          </cell>
          <cell r="D31">
            <v>9667252</v>
          </cell>
          <cell r="E31">
            <v>769387.1836139597</v>
          </cell>
          <cell r="F31">
            <v>10436639.18361396</v>
          </cell>
          <cell r="G31">
            <v>7.5300000000000006E-2</v>
          </cell>
          <cell r="H31">
            <v>7.9600000000000004E-2</v>
          </cell>
        </row>
        <row r="33">
          <cell r="B33" t="str">
            <v>Large General Service 2/</v>
          </cell>
        </row>
        <row r="34">
          <cell r="B34" t="str">
            <v>Transportation Service 2</v>
          </cell>
        </row>
        <row r="35">
          <cell r="B35" t="str">
            <v xml:space="preserve">  Commercial (LGS 2)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 xml:space="preserve">  Industrial (LGS 2)</v>
          </cell>
          <cell r="C36">
            <v>1052107</v>
          </cell>
          <cell r="D36">
            <v>4040109</v>
          </cell>
          <cell r="E36">
            <v>21383.575000000001</v>
          </cell>
          <cell r="F36">
            <v>4061492.5750000002</v>
          </cell>
        </row>
        <row r="37">
          <cell r="B37" t="str">
            <v xml:space="preserve">  Commercial (TS-2)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 xml:space="preserve">  Industrial (TS-2)</v>
          </cell>
          <cell r="C38">
            <v>13598016</v>
          </cell>
          <cell r="D38">
            <v>3105475</v>
          </cell>
          <cell r="E38">
            <v>353886.06311170897</v>
          </cell>
          <cell r="F38">
            <v>3459361.063111709</v>
          </cell>
        </row>
        <row r="39">
          <cell r="B39" t="str">
            <v xml:space="preserve">  Total</v>
          </cell>
          <cell r="C39">
            <v>14650123</v>
          </cell>
          <cell r="D39">
            <v>7145584</v>
          </cell>
          <cell r="E39">
            <v>375269.63811170898</v>
          </cell>
          <cell r="F39">
            <v>7520853.6381117087</v>
          </cell>
          <cell r="G39">
            <v>2.5600000000000001E-2</v>
          </cell>
          <cell r="H39">
            <v>5.2499999999999998E-2</v>
          </cell>
        </row>
        <row r="42">
          <cell r="B42" t="str">
            <v xml:space="preserve">  Special Contract</v>
          </cell>
          <cell r="C42">
            <v>16993404</v>
          </cell>
          <cell r="D42">
            <v>2615185</v>
          </cell>
          <cell r="E42">
            <v>0</v>
          </cell>
          <cell r="F42">
            <v>2615185</v>
          </cell>
          <cell r="G42">
            <v>0</v>
          </cell>
          <cell r="H42">
            <v>0</v>
          </cell>
        </row>
        <row r="44">
          <cell r="B44" t="str">
            <v xml:space="preserve">  Total Transportation</v>
          </cell>
          <cell r="C44">
            <v>39640448.799999997</v>
          </cell>
          <cell r="D44">
            <v>10822873</v>
          </cell>
          <cell r="E44">
            <v>1016515.919571709</v>
          </cell>
          <cell r="F44">
            <v>11839388.919571709</v>
          </cell>
        </row>
        <row r="46">
          <cell r="B46" t="str">
            <v>Total</v>
          </cell>
          <cell r="C46">
            <v>61767120.200000003</v>
          </cell>
          <cell r="D46">
            <v>183623069</v>
          </cell>
          <cell r="E46">
            <v>14025752</v>
          </cell>
          <cell r="F46">
            <v>197648821</v>
          </cell>
        </row>
        <row r="48">
          <cell r="B48" t="str">
            <v>Other Operating Revenue</v>
          </cell>
          <cell r="D48">
            <v>2113419</v>
          </cell>
          <cell r="E48">
            <v>0</v>
          </cell>
          <cell r="F48">
            <v>2113419</v>
          </cell>
        </row>
        <row r="49">
          <cell r="B49" t="str">
            <v>Total Revenue</v>
          </cell>
          <cell r="C49">
            <v>61767120.200000003</v>
          </cell>
          <cell r="D49">
            <v>185736488</v>
          </cell>
          <cell r="E49">
            <v>14025752</v>
          </cell>
          <cell r="F49">
            <v>199762240</v>
          </cell>
        </row>
        <row r="52">
          <cell r="B52" t="str">
            <v>(a) Test period adjusted per schedule 14.</v>
          </cell>
        </row>
        <row r="54">
          <cell r="B54" t="str">
            <v>(b) Rates based on those in approved in Case No. PUE950033.</v>
          </cell>
        </row>
        <row r="56">
          <cell r="B56" t="str">
            <v>X:\CGV\RATECASE\98\SCHEDULE\SCHEDULE 33 FOR 1998</v>
          </cell>
        </row>
      </sheetData>
      <sheetData sheetId="1">
        <row r="2">
          <cell r="H2" t="str">
            <v>ATTACHMENT REH-5</v>
          </cell>
        </row>
        <row r="5">
          <cell r="E5" t="str">
            <v>COLUMBIA GAS OF VIRGINIA, INC.</v>
          </cell>
        </row>
        <row r="7">
          <cell r="E7" t="str">
            <v>SCHEDULE OF ADDITIONAL GROSS REVENUES</v>
          </cell>
        </row>
        <row r="9">
          <cell r="E9" t="str">
            <v>BY RATE SCHEDULE PRODUCED BY PROPOSED RATES</v>
          </cell>
        </row>
        <row r="13">
          <cell r="C13" t="str">
            <v>ADJUSTED</v>
          </cell>
          <cell r="D13" t="str">
            <v>ADJUSTED</v>
          </cell>
        </row>
        <row r="14">
          <cell r="C14" t="str">
            <v>VOLUMES</v>
          </cell>
          <cell r="D14" t="str">
            <v>RATE</v>
          </cell>
          <cell r="E14" t="str">
            <v>PROPOSED</v>
          </cell>
          <cell r="F14" t="str">
            <v>ADJUSTED</v>
          </cell>
          <cell r="G14" t="str">
            <v>PROPOSED</v>
          </cell>
          <cell r="H14" t="str">
            <v>PROPOSED</v>
          </cell>
        </row>
        <row r="15">
          <cell r="B15" t="str">
            <v>DESCRIPTION</v>
          </cell>
          <cell r="C15" t="str">
            <v>(a)</v>
          </cell>
          <cell r="D15" t="str">
            <v>REVENUE</v>
          </cell>
          <cell r="E15" t="str">
            <v xml:space="preserve">INCREASE </v>
          </cell>
          <cell r="F15" t="str">
            <v>REVENUE</v>
          </cell>
          <cell r="G15" t="str">
            <v>INCREASE</v>
          </cell>
          <cell r="H15" t="str">
            <v>INCREASE</v>
          </cell>
        </row>
        <row r="16">
          <cell r="C16" t="str">
            <v>(1)</v>
          </cell>
          <cell r="D16" t="str">
            <v>(2)</v>
          </cell>
          <cell r="E16" t="str">
            <v>(3)</v>
          </cell>
          <cell r="F16" t="str">
            <v>(4)</v>
          </cell>
          <cell r="G16" t="str">
            <v>(5=3/1)</v>
          </cell>
          <cell r="H16" t="str">
            <v>(6=3/2)</v>
          </cell>
        </row>
        <row r="17">
          <cell r="C17" t="str">
            <v>MCF</v>
          </cell>
          <cell r="D17" t="str">
            <v>$</v>
          </cell>
          <cell r="E17" t="str">
            <v>$</v>
          </cell>
          <cell r="F17" t="str">
            <v>$</v>
          </cell>
          <cell r="G17" t="str">
            <v>$/MCF</v>
          </cell>
          <cell r="H17" t="str">
            <v>%</v>
          </cell>
        </row>
        <row r="18">
          <cell r="B18" t="str">
            <v>GAS SERVICE REVENUES:</v>
          </cell>
        </row>
        <row r="20">
          <cell r="B20" t="str">
            <v xml:space="preserve">   RESIDENTIAL</v>
          </cell>
          <cell r="C20">
            <v>12384975.299999999</v>
          </cell>
          <cell r="D20">
            <v>113818949</v>
          </cell>
          <cell r="E20">
            <v>10065127.475573448</v>
          </cell>
          <cell r="F20">
            <v>123884076.47557345</v>
          </cell>
          <cell r="G20">
            <v>0.81269999999999998</v>
          </cell>
          <cell r="H20">
            <v>8.8400000000000006E-2</v>
          </cell>
        </row>
        <row r="21">
          <cell r="B21" t="str">
            <v xml:space="preserve">   SGS</v>
          </cell>
          <cell r="C21">
            <v>7521571.2000000002</v>
          </cell>
          <cell r="D21">
            <v>50376099</v>
          </cell>
          <cell r="E21">
            <v>2815967.7027008827</v>
          </cell>
          <cell r="F21">
            <v>53192066.702700883</v>
          </cell>
          <cell r="G21">
            <v>0.37440000000000001</v>
          </cell>
          <cell r="H21">
            <v>5.5899999999999998E-2</v>
          </cell>
        </row>
        <row r="22">
          <cell r="B22" t="str">
            <v xml:space="preserve">   TS-1/LGS</v>
          </cell>
          <cell r="C22">
            <v>10217046.699999999</v>
          </cell>
          <cell r="D22">
            <v>9667252</v>
          </cell>
          <cell r="E22">
            <v>769387.1836139597</v>
          </cell>
          <cell r="F22">
            <v>10436639.18361396</v>
          </cell>
          <cell r="G22">
            <v>7.5300000000000006E-2</v>
          </cell>
          <cell r="H22">
            <v>7.9600000000000004E-2</v>
          </cell>
        </row>
        <row r="23">
          <cell r="B23" t="str">
            <v xml:space="preserve">   TS-2/LGS2</v>
          </cell>
          <cell r="C23">
            <v>14650123</v>
          </cell>
          <cell r="D23">
            <v>7145584</v>
          </cell>
          <cell r="E23">
            <v>375269.63811170898</v>
          </cell>
          <cell r="F23">
            <v>7520853.6381117087</v>
          </cell>
          <cell r="G23">
            <v>2.5600000000000001E-2</v>
          </cell>
          <cell r="H23">
            <v>5.2499999999999998E-2</v>
          </cell>
        </row>
        <row r="24">
          <cell r="B24" t="str">
            <v xml:space="preserve">   LVTS/LVEDTS</v>
          </cell>
          <cell r="C24">
            <v>16993404</v>
          </cell>
          <cell r="D24">
            <v>2615185</v>
          </cell>
          <cell r="E24">
            <v>0</v>
          </cell>
          <cell r="F24">
            <v>2615185</v>
          </cell>
          <cell r="G24">
            <v>0</v>
          </cell>
          <cell r="H24">
            <v>0</v>
          </cell>
        </row>
        <row r="26">
          <cell r="B26" t="str">
            <v>TOTAL GAS SERVICE REVENUE</v>
          </cell>
          <cell r="C26">
            <v>61767120.200000003</v>
          </cell>
          <cell r="D26">
            <v>183623069</v>
          </cell>
          <cell r="E26">
            <v>14025752</v>
          </cell>
          <cell r="F26">
            <v>197648821</v>
          </cell>
          <cell r="G26" t="str">
            <v>N/A</v>
          </cell>
          <cell r="H26">
            <v>7.6399999999999996E-2</v>
          </cell>
        </row>
        <row r="28">
          <cell r="B28" t="str">
            <v>MISCELLANEOUS REVENUE</v>
          </cell>
          <cell r="D28">
            <v>2113419</v>
          </cell>
          <cell r="E28">
            <v>0</v>
          </cell>
          <cell r="F28">
            <v>2113419</v>
          </cell>
        </row>
        <row r="30">
          <cell r="B30" t="str">
            <v>TOTAL REVENUE</v>
          </cell>
          <cell r="D30">
            <v>185736488</v>
          </cell>
          <cell r="E30">
            <v>14025752</v>
          </cell>
          <cell r="F30">
            <v>199762240</v>
          </cell>
          <cell r="H30">
            <v>7.5499999999999998E-2</v>
          </cell>
        </row>
        <row r="33">
          <cell r="B33" t="str">
            <v>(a) TEST PERIOD ADJUSTED PER SCHEDULE 14-REVENUE.</v>
          </cell>
        </row>
        <row r="39">
          <cell r="B39" t="str">
            <v>X:\CGV\RATECASE\98\SCHEDULE\SCHEDULE 33 FOR 1998</v>
          </cell>
        </row>
        <row r="52">
          <cell r="D52" t="str">
            <v>COLUMBIA GAS OF VIRGINIA, INC.</v>
          </cell>
        </row>
        <row r="53">
          <cell r="D53" t="str">
            <v xml:space="preserve">RATE BLOCK INCREASE WORK PAPER </v>
          </cell>
        </row>
        <row r="55">
          <cell r="B55" t="str">
            <v xml:space="preserve"> </v>
          </cell>
        </row>
        <row r="62">
          <cell r="B62" t="str">
            <v xml:space="preserve">TOTAL RESIDENTIAL INCREASE: </v>
          </cell>
          <cell r="G62">
            <v>10065127.475573448</v>
          </cell>
        </row>
        <row r="67">
          <cell r="B67" t="str">
            <v>PROPOSED INCREASE TO ELIMINATE LYNCHBURG RATE DIFFERENTIAL:</v>
          </cell>
        </row>
        <row r="71">
          <cell r="E71" t="str">
            <v>ADJUSTED</v>
          </cell>
          <cell r="F71" t="str">
            <v>CURRENT</v>
          </cell>
        </row>
        <row r="72">
          <cell r="B72" t="str">
            <v xml:space="preserve"> VOLUMETRIC RATE INCREASE:</v>
          </cell>
          <cell r="E72" t="str">
            <v>CENTRAL</v>
          </cell>
          <cell r="F72" t="str">
            <v>DIFFERENTIAL</v>
          </cell>
        </row>
        <row r="73">
          <cell r="E73" t="str">
            <v>VOLUMES</v>
          </cell>
          <cell r="F73" t="str">
            <v>PER MCF</v>
          </cell>
        </row>
        <row r="74">
          <cell r="B74" t="str">
            <v>FIRST 5 MCF</v>
          </cell>
          <cell r="E74">
            <v>314094.5</v>
          </cell>
          <cell r="F74">
            <v>8.8999999999999996E-2</v>
          </cell>
          <cell r="G74">
            <v>27954.410499999998</v>
          </cell>
        </row>
        <row r="75">
          <cell r="B75" t="str">
            <v>NEXT 45</v>
          </cell>
          <cell r="E75">
            <v>535032.9</v>
          </cell>
          <cell r="F75">
            <v>9.0999999999999998E-2</v>
          </cell>
          <cell r="G75">
            <v>48687.993900000001</v>
          </cell>
          <cell r="I75">
            <v>0</v>
          </cell>
        </row>
        <row r="76">
          <cell r="B76" t="str">
            <v>OVER 50</v>
          </cell>
          <cell r="E76">
            <v>67929.7</v>
          </cell>
          <cell r="F76">
            <v>9.2999999999999999E-2</v>
          </cell>
          <cell r="G76">
            <v>6317.4620999999997</v>
          </cell>
          <cell r="I76">
            <v>0</v>
          </cell>
        </row>
        <row r="77">
          <cell r="B77" t="str">
            <v>TOTAL</v>
          </cell>
          <cell r="E77">
            <v>917057.1</v>
          </cell>
          <cell r="G77">
            <v>82959.866500000004</v>
          </cell>
        </row>
        <row r="79">
          <cell r="B79" t="str">
            <v>INCREASE TO RS REMAINING AFTER DIFFERENTIAL ELIMINATION:</v>
          </cell>
          <cell r="G79">
            <v>9982167.6090734489</v>
          </cell>
        </row>
        <row r="81">
          <cell r="B81" t="str">
            <v xml:space="preserve">RATE INCREASE TO </v>
          </cell>
        </row>
        <row r="82">
          <cell r="B82" t="str">
            <v xml:space="preserve">   RESIDENTIAL SERVICE</v>
          </cell>
          <cell r="E82" t="str">
            <v>NUMBER</v>
          </cell>
          <cell r="F82" t="str">
            <v>INCREASE</v>
          </cell>
        </row>
        <row r="83">
          <cell r="B83" t="str">
            <v xml:space="preserve"> CUSTOMER CHARGE INCREASE:</v>
          </cell>
          <cell r="E83" t="str">
            <v>OF BILLS</v>
          </cell>
          <cell r="F83" t="str">
            <v>PER BILL</v>
          </cell>
        </row>
        <row r="84">
          <cell r="E84">
            <v>1870988</v>
          </cell>
          <cell r="F84">
            <v>1</v>
          </cell>
          <cell r="G84">
            <v>1870988</v>
          </cell>
          <cell r="I84" t="str">
            <v>RS E&amp;W</v>
          </cell>
        </row>
        <row r="85">
          <cell r="I85" t="str">
            <v>Bills</v>
          </cell>
        </row>
        <row r="86">
          <cell r="B86" t="str">
            <v>INCREASE TO RS REMAINING AFTER CUSTOMER CHARGE INCREASE:</v>
          </cell>
          <cell r="G86">
            <v>8111179.6090734489</v>
          </cell>
          <cell r="I86">
            <v>1758835</v>
          </cell>
          <cell r="J86">
            <v>1</v>
          </cell>
          <cell r="K86">
            <v>1758835</v>
          </cell>
        </row>
        <row r="87">
          <cell r="C87" t="str">
            <v>RS</v>
          </cell>
        </row>
        <row r="88">
          <cell r="B88" t="str">
            <v xml:space="preserve"> VOLUMETRIC RATE INCREASE:</v>
          </cell>
          <cell r="C88" t="str">
            <v>NON-GAS</v>
          </cell>
          <cell r="E88" t="str">
            <v>RS</v>
          </cell>
        </row>
        <row r="89">
          <cell r="C89" t="str">
            <v>REVENUE</v>
          </cell>
          <cell r="D89" t="str">
            <v>RATIO</v>
          </cell>
          <cell r="E89" t="str">
            <v>VOLUMES</v>
          </cell>
          <cell r="F89" t="str">
            <v>PER MCF</v>
          </cell>
          <cell r="I89" t="str">
            <v>RS E&amp;W</v>
          </cell>
          <cell r="J89" t="str">
            <v>Rate</v>
          </cell>
        </row>
        <row r="90">
          <cell r="B90" t="str">
            <v>FIRST 5 MCF</v>
          </cell>
          <cell r="C90">
            <v>14822694</v>
          </cell>
          <cell r="D90">
            <v>0.41845165119467403</v>
          </cell>
          <cell r="E90">
            <v>5078881.0999999996</v>
          </cell>
          <cell r="F90">
            <v>0.66800000000000004</v>
          </cell>
          <cell r="G90">
            <v>3394137</v>
          </cell>
          <cell r="H90">
            <v>0</v>
          </cell>
          <cell r="I90">
            <v>4764786</v>
          </cell>
          <cell r="J90">
            <v>0.66800000000000004</v>
          </cell>
          <cell r="K90">
            <v>3182877.048</v>
          </cell>
        </row>
        <row r="91">
          <cell r="B91" t="str">
            <v>NEXT 45</v>
          </cell>
          <cell r="C91">
            <v>18891575</v>
          </cell>
          <cell r="D91">
            <v>0.53331808323224006</v>
          </cell>
          <cell r="E91">
            <v>6673806.6000000006</v>
          </cell>
          <cell r="F91">
            <v>0.64800000000000002</v>
          </cell>
          <cell r="G91">
            <v>4325839</v>
          </cell>
          <cell r="I91">
            <v>6138773.7000000002</v>
          </cell>
          <cell r="J91">
            <v>0.64800000000000002</v>
          </cell>
          <cell r="K91">
            <v>3977925.3576000002</v>
          </cell>
        </row>
        <row r="92">
          <cell r="B92" t="str">
            <v>OVER 50</v>
          </cell>
          <cell r="C92">
            <v>1708447</v>
          </cell>
          <cell r="D92">
            <v>4.8230265573085927E-2</v>
          </cell>
          <cell r="E92">
            <v>632287.6</v>
          </cell>
          <cell r="F92">
            <v>0.61899999999999999</v>
          </cell>
          <cell r="G92">
            <v>391204</v>
          </cell>
          <cell r="I92">
            <v>564357.9</v>
          </cell>
          <cell r="J92">
            <v>0.61899999999999999</v>
          </cell>
          <cell r="K92">
            <v>349337.54009999998</v>
          </cell>
        </row>
        <row r="93">
          <cell r="B93" t="str">
            <v>TOTAL</v>
          </cell>
          <cell r="C93">
            <v>35422716</v>
          </cell>
          <cell r="D93">
            <v>1</v>
          </cell>
          <cell r="E93">
            <v>12384975.299999999</v>
          </cell>
          <cell r="G93">
            <v>8111180</v>
          </cell>
          <cell r="I93">
            <v>11467917.6</v>
          </cell>
          <cell r="K93">
            <v>7510139.9457</v>
          </cell>
        </row>
        <row r="95">
          <cell r="B95" t="str">
            <v>INCREASE TO RS REMAINING AFTER VOLUMETRIC INCREASE:</v>
          </cell>
          <cell r="G95">
            <v>-0.3909265510737896</v>
          </cell>
          <cell r="K95">
            <v>9268974.945700001</v>
          </cell>
        </row>
        <row r="97">
          <cell r="B97" t="str">
            <v>INCREASE TO RATE SCHEDULE SGS:</v>
          </cell>
          <cell r="G97">
            <v>2815967.7027008827</v>
          </cell>
        </row>
        <row r="99">
          <cell r="E99" t="str">
            <v>NUMBER</v>
          </cell>
          <cell r="F99" t="str">
            <v>INCREASE</v>
          </cell>
        </row>
        <row r="100">
          <cell r="B100" t="str">
            <v xml:space="preserve"> CUSTOMER CHARGE INCREASE:</v>
          </cell>
          <cell r="E100" t="str">
            <v>OF BILLS</v>
          </cell>
          <cell r="F100" t="str">
            <v>PER BILL</v>
          </cell>
          <cell r="I100" t="str">
            <v>Bills</v>
          </cell>
        </row>
        <row r="101">
          <cell r="E101">
            <v>200713</v>
          </cell>
          <cell r="F101">
            <v>1</v>
          </cell>
          <cell r="G101">
            <v>200713</v>
          </cell>
          <cell r="I101">
            <v>199167</v>
          </cell>
          <cell r="J101">
            <v>1</v>
          </cell>
          <cell r="K101">
            <v>199167</v>
          </cell>
        </row>
        <row r="103">
          <cell r="B103" t="str">
            <v>INCREASE TO SGS REMAINING AFTER CUSTOMER CHARGE INCREASE:</v>
          </cell>
          <cell r="G103">
            <v>2615254.7027008827</v>
          </cell>
        </row>
        <row r="104">
          <cell r="I104" t="str">
            <v>Volume</v>
          </cell>
          <cell r="K104" t="str">
            <v>Increase</v>
          </cell>
        </row>
        <row r="105">
          <cell r="B105" t="str">
            <v xml:space="preserve"> VOLUMETRIC RATE INCREASE:</v>
          </cell>
          <cell r="C105" t="str">
            <v>NON-GAS</v>
          </cell>
          <cell r="E105" t="str">
            <v>SGS</v>
          </cell>
          <cell r="I105" t="str">
            <v>SGS-COM</v>
          </cell>
          <cell r="J105" t="str">
            <v>Rate</v>
          </cell>
          <cell r="K105" t="str">
            <v>SGS-COM</v>
          </cell>
        </row>
        <row r="106">
          <cell r="C106" t="str">
            <v>REVENUE</v>
          </cell>
          <cell r="D106" t="str">
            <v>RATIO</v>
          </cell>
          <cell r="E106" t="str">
            <v>VOLUMES</v>
          </cell>
          <cell r="F106" t="str">
            <v>PER MCF</v>
          </cell>
        </row>
        <row r="107">
          <cell r="B107" t="str">
            <v>FIRST 20 MCF</v>
          </cell>
          <cell r="C107">
            <v>2675511</v>
          </cell>
          <cell r="D107">
            <v>0.2091650747749364</v>
          </cell>
          <cell r="E107">
            <v>1459634.8</v>
          </cell>
          <cell r="F107">
            <v>0.375</v>
          </cell>
          <cell r="G107">
            <v>547020</v>
          </cell>
          <cell r="H107">
            <v>0</v>
          </cell>
          <cell r="I107">
            <v>1438829.8</v>
          </cell>
          <cell r="J107">
            <v>0.375</v>
          </cell>
          <cell r="K107">
            <v>539561.17500000005</v>
          </cell>
        </row>
        <row r="108">
          <cell r="B108" t="str">
            <v>NEXT 80</v>
          </cell>
          <cell r="C108">
            <v>2659318</v>
          </cell>
          <cell r="D108">
            <v>0.20789914461960141</v>
          </cell>
          <cell r="E108">
            <v>1556977.5999999999</v>
          </cell>
          <cell r="F108">
            <v>0.34899999999999998</v>
          </cell>
          <cell r="G108">
            <v>543709</v>
          </cell>
          <cell r="I108">
            <v>1490593.2</v>
          </cell>
          <cell r="J108">
            <v>0.34899999999999998</v>
          </cell>
          <cell r="K108">
            <v>520217.02679999993</v>
          </cell>
        </row>
        <row r="109">
          <cell r="B109" t="str">
            <v>NEXT 900</v>
          </cell>
          <cell r="C109">
            <v>5635554</v>
          </cell>
          <cell r="D109">
            <v>0.44057418332729409</v>
          </cell>
          <cell r="E109">
            <v>3364510.1</v>
          </cell>
          <cell r="F109">
            <v>0.34200000000000003</v>
          </cell>
          <cell r="G109">
            <v>1152214</v>
          </cell>
          <cell r="I109">
            <v>3072051</v>
          </cell>
          <cell r="J109">
            <v>0.34200000000000003</v>
          </cell>
          <cell r="K109">
            <v>1050641.442</v>
          </cell>
        </row>
        <row r="110">
          <cell r="B110" t="str">
            <v>NEXT 1500</v>
          </cell>
          <cell r="C110">
            <v>815904</v>
          </cell>
          <cell r="D110">
            <v>6.3785430584725578E-2</v>
          </cell>
          <cell r="E110">
            <v>505516.69999999995</v>
          </cell>
          <cell r="F110">
            <v>0.33</v>
          </cell>
          <cell r="G110">
            <v>166815</v>
          </cell>
          <cell r="I110">
            <v>400360.6</v>
          </cell>
          <cell r="J110">
            <v>0.33</v>
          </cell>
          <cell r="K110">
            <v>132118.99799999999</v>
          </cell>
        </row>
        <row r="111">
          <cell r="B111" t="str">
            <v>OVER 2500</v>
          </cell>
          <cell r="C111">
            <v>1005098</v>
          </cell>
          <cell r="D111">
            <v>7.8576166693442501E-2</v>
          </cell>
          <cell r="E111">
            <v>634932</v>
          </cell>
          <cell r="F111">
            <v>0.32400000000000001</v>
          </cell>
          <cell r="G111">
            <v>205497</v>
          </cell>
          <cell r="I111">
            <v>596738.30000000005</v>
          </cell>
          <cell r="J111">
            <v>0.32400000000000001</v>
          </cell>
          <cell r="K111">
            <v>193343.20920000001</v>
          </cell>
        </row>
        <row r="112">
          <cell r="B112" t="str">
            <v>TOTAL</v>
          </cell>
          <cell r="C112">
            <v>12791385</v>
          </cell>
          <cell r="D112">
            <v>0.99999999999999989</v>
          </cell>
          <cell r="E112">
            <v>7521571.2000000002</v>
          </cell>
          <cell r="G112">
            <v>2615255</v>
          </cell>
          <cell r="I112">
            <v>6998572.8999999994</v>
          </cell>
          <cell r="K112">
            <v>2435881.8509999998</v>
          </cell>
        </row>
        <row r="114">
          <cell r="B114" t="str">
            <v>INCREASE TO SGS REMAINING AFTER VOLUMETRIC INCREASE:</v>
          </cell>
          <cell r="G114">
            <v>-0.29729911731556058</v>
          </cell>
          <cell r="J114" t="str">
            <v>SGS Comm. Inc</v>
          </cell>
          <cell r="K114">
            <v>2635048.8509999998</v>
          </cell>
        </row>
        <row r="115">
          <cell r="J115" t="str">
            <v>SGS Ind. Inc</v>
          </cell>
          <cell r="K115">
            <v>180918.85170088289</v>
          </cell>
        </row>
        <row r="116">
          <cell r="B116" t="str">
            <v xml:space="preserve">INCREASE TO RATE SCHEDULE LGS / TS-1 </v>
          </cell>
          <cell r="G116">
            <v>769387.1836139597</v>
          </cell>
          <cell r="J116" t="str">
            <v>Total</v>
          </cell>
          <cell r="K116">
            <v>2815967.7027008827</v>
          </cell>
        </row>
        <row r="117">
          <cell r="B117" t="str">
            <v xml:space="preserve"> </v>
          </cell>
          <cell r="E117" t="str">
            <v>NUMBER</v>
          </cell>
          <cell r="F117" t="str">
            <v>INCREASE</v>
          </cell>
        </row>
        <row r="118">
          <cell r="B118" t="str">
            <v xml:space="preserve"> CUSTOMER CHARGE INCREASE:</v>
          </cell>
          <cell r="E118" t="str">
            <v>OF BILLS</v>
          </cell>
          <cell r="F118" t="str">
            <v>PER BILL</v>
          </cell>
        </row>
        <row r="119">
          <cell r="E119">
            <v>2592</v>
          </cell>
          <cell r="F119">
            <v>0</v>
          </cell>
          <cell r="G119">
            <v>0</v>
          </cell>
          <cell r="I119" t="str">
            <v>Bills</v>
          </cell>
        </row>
        <row r="120">
          <cell r="I120">
            <v>840</v>
          </cell>
          <cell r="J120">
            <v>0</v>
          </cell>
          <cell r="K120">
            <v>0</v>
          </cell>
        </row>
        <row r="121">
          <cell r="B121" t="str">
            <v>INCREASE TO LGS / TS-1 REMAINING AFTER CUSTOMER CHARGE INCREASE:</v>
          </cell>
          <cell r="G121">
            <v>769387.1836139597</v>
          </cell>
        </row>
        <row r="123">
          <cell r="C123" t="str">
            <v>NON-GAS</v>
          </cell>
          <cell r="I123" t="str">
            <v>Volume</v>
          </cell>
          <cell r="K123" t="str">
            <v>Increase</v>
          </cell>
        </row>
        <row r="124">
          <cell r="B124" t="str">
            <v xml:space="preserve"> VOLUMETRIC RATE INCREASE:</v>
          </cell>
          <cell r="C124" t="str">
            <v>REVENUE</v>
          </cell>
          <cell r="D124" t="str">
            <v>RATIO</v>
          </cell>
          <cell r="E124" t="str">
            <v>VOLUMES</v>
          </cell>
          <cell r="F124" t="str">
            <v>PER MCF</v>
          </cell>
          <cell r="I124" t="str">
            <v>LGS1-COM</v>
          </cell>
          <cell r="J124" t="str">
            <v>Rate</v>
          </cell>
          <cell r="K124" t="str">
            <v>LGS1-COM</v>
          </cell>
        </row>
        <row r="125">
          <cell r="B125" t="str">
            <v>LGS ADMIN CHARGE</v>
          </cell>
          <cell r="C125">
            <v>73701.929489999995</v>
          </cell>
          <cell r="D125">
            <v>0</v>
          </cell>
          <cell r="E125">
            <v>1168017.8999999999</v>
          </cell>
          <cell r="F125">
            <v>0</v>
          </cell>
          <cell r="G125">
            <v>0</v>
          </cell>
        </row>
        <row r="126">
          <cell r="B126" t="str">
            <v>DEMAND/SS CHARGE</v>
          </cell>
          <cell r="C126">
            <v>30216.899999999998</v>
          </cell>
          <cell r="D126">
            <v>0</v>
          </cell>
          <cell r="E126">
            <v>100723</v>
          </cell>
          <cell r="F126">
            <v>0</v>
          </cell>
          <cell r="G126">
            <v>0</v>
          </cell>
          <cell r="K126">
            <v>0</v>
          </cell>
        </row>
        <row r="127">
          <cell r="B127" t="str">
            <v>FIRST 1000</v>
          </cell>
          <cell r="C127">
            <v>1785355.689</v>
          </cell>
          <cell r="D127">
            <v>0.3805714388983556</v>
          </cell>
          <cell r="E127">
            <v>2215081.5</v>
          </cell>
          <cell r="F127">
            <v>0.13220000000000001</v>
          </cell>
          <cell r="G127">
            <v>292807</v>
          </cell>
          <cell r="H127">
            <v>0</v>
          </cell>
          <cell r="I127">
            <v>663684.19999999995</v>
          </cell>
          <cell r="J127">
            <v>0.13220000000000001</v>
          </cell>
          <cell r="K127">
            <v>87739.051240000001</v>
          </cell>
        </row>
        <row r="128">
          <cell r="B128" t="str">
            <v>NEXT 4000</v>
          </cell>
          <cell r="C128">
            <v>2142668.5434000003</v>
          </cell>
          <cell r="D128">
            <v>0.45673725166816426</v>
          </cell>
          <cell r="E128">
            <v>4637810.7</v>
          </cell>
          <cell r="F128">
            <v>7.5800000000000006E-2</v>
          </cell>
          <cell r="G128">
            <v>351408</v>
          </cell>
          <cell r="I128">
            <v>1123298.3999999999</v>
          </cell>
          <cell r="J128">
            <v>7.5800000000000006E-2</v>
          </cell>
          <cell r="K128">
            <v>85146.018719999993</v>
          </cell>
        </row>
        <row r="129">
          <cell r="B129" t="str">
            <v>NEXT 15000</v>
          </cell>
          <cell r="C129">
            <v>752368.81409999996</v>
          </cell>
          <cell r="D129">
            <v>0.16037705199498001</v>
          </cell>
          <cell r="E129">
            <v>3295527</v>
          </cell>
          <cell r="F129">
            <v>3.7400000000000003E-2</v>
          </cell>
          <cell r="G129">
            <v>123392</v>
          </cell>
          <cell r="I129">
            <v>689772</v>
          </cell>
          <cell r="J129">
            <v>3.7400000000000003E-2</v>
          </cell>
          <cell r="K129">
            <v>25797.472800000003</v>
          </cell>
        </row>
        <row r="130">
          <cell r="B130" t="str">
            <v>OVER 20000</v>
          </cell>
          <cell r="C130">
            <v>10856.759760000001</v>
          </cell>
          <cell r="D130">
            <v>2.3142574385002371E-3</v>
          </cell>
          <cell r="E130">
            <v>68626.8</v>
          </cell>
          <cell r="F130">
            <v>2.5999999999999999E-2</v>
          </cell>
          <cell r="G130">
            <v>1781</v>
          </cell>
          <cell r="I130">
            <v>52227.8</v>
          </cell>
          <cell r="J130">
            <v>2.5999999999999999E-2</v>
          </cell>
          <cell r="K130">
            <v>1357.9228000000001</v>
          </cell>
        </row>
        <row r="131">
          <cell r="B131" t="str">
            <v>TOTAL</v>
          </cell>
          <cell r="C131">
            <v>4691249.80626</v>
          </cell>
          <cell r="D131">
            <v>1.0000000000000002</v>
          </cell>
          <cell r="E131">
            <v>10217046</v>
          </cell>
          <cell r="G131">
            <v>769388</v>
          </cell>
          <cell r="I131">
            <v>2528982.3999999994</v>
          </cell>
          <cell r="K131">
            <v>200040.46555999998</v>
          </cell>
        </row>
        <row r="133">
          <cell r="B133" t="str">
            <v>INCREASE TO LGS / TS-1 REMAINING AFTER VOLUMETRIC INCREASE:</v>
          </cell>
          <cell r="G133">
            <v>-0.81638604030013084</v>
          </cell>
          <cell r="J133" t="str">
            <v>LGS / TS-1 Comm. Inc</v>
          </cell>
          <cell r="K133">
            <v>200040.46555999998</v>
          </cell>
        </row>
        <row r="134">
          <cell r="J134" t="str">
            <v>LGS / TS-1 Ind. Inc</v>
          </cell>
          <cell r="K134">
            <v>569346.71805395978</v>
          </cell>
        </row>
        <row r="135">
          <cell r="B135" t="str">
            <v xml:space="preserve">INCREASE TO RATE SCHEDULE LGS / TS-2 </v>
          </cell>
          <cell r="G135">
            <v>375269.63811170898</v>
          </cell>
          <cell r="J135" t="str">
            <v>Total</v>
          </cell>
          <cell r="K135">
            <v>769387.1836139597</v>
          </cell>
        </row>
        <row r="136">
          <cell r="E136" t="str">
            <v>NUMBER</v>
          </cell>
          <cell r="F136" t="str">
            <v>INCREASE</v>
          </cell>
        </row>
        <row r="137">
          <cell r="B137" t="str">
            <v xml:space="preserve"> CUSTOMER CHARGE :</v>
          </cell>
          <cell r="E137" t="str">
            <v>OF BILLS</v>
          </cell>
          <cell r="F137" t="str">
            <v>PER BILL</v>
          </cell>
          <cell r="I137" t="str">
            <v>Bills</v>
          </cell>
        </row>
        <row r="138">
          <cell r="E138">
            <v>336</v>
          </cell>
          <cell r="F138">
            <v>350</v>
          </cell>
          <cell r="G138">
            <v>117600</v>
          </cell>
          <cell r="I138">
            <v>24</v>
          </cell>
          <cell r="J138">
            <v>350</v>
          </cell>
          <cell r="K138">
            <v>8400</v>
          </cell>
        </row>
        <row r="140">
          <cell r="B140" t="str">
            <v>INCREASE TO LGS / TS-2 REMAINING AFTER CUSTOMER CHARGE INCREASE:</v>
          </cell>
          <cell r="G140">
            <v>257669.63811170898</v>
          </cell>
        </row>
        <row r="141">
          <cell r="I141" t="str">
            <v>Volume</v>
          </cell>
          <cell r="K141" t="str">
            <v>Increase</v>
          </cell>
        </row>
        <row r="142">
          <cell r="B142" t="str">
            <v xml:space="preserve"> VOLUMETRIC RATE INCREASE:</v>
          </cell>
          <cell r="C142" t="str">
            <v>NON-GAS</v>
          </cell>
          <cell r="D142" t="str">
            <v>RATIO</v>
          </cell>
          <cell r="E142" t="str">
            <v>VOLUMES</v>
          </cell>
          <cell r="F142" t="str">
            <v>PER MCF</v>
          </cell>
          <cell r="I142" t="str">
            <v>LGS 2-Ind</v>
          </cell>
          <cell r="J142" t="str">
            <v>Rate</v>
          </cell>
          <cell r="K142" t="str">
            <v>LGS 2-Ind</v>
          </cell>
        </row>
        <row r="143">
          <cell r="B143" t="str">
            <v>LGS ADMIN CHARGE</v>
          </cell>
          <cell r="C143">
            <v>66387.951700000005</v>
          </cell>
          <cell r="D143">
            <v>0</v>
          </cell>
          <cell r="E143">
            <v>1052107</v>
          </cell>
          <cell r="F143">
            <v>0</v>
          </cell>
          <cell r="G143">
            <v>0</v>
          </cell>
        </row>
        <row r="144">
          <cell r="B144" t="str">
            <v>DEMAND/SS CHARGE</v>
          </cell>
          <cell r="C144">
            <v>27870.6</v>
          </cell>
          <cell r="D144">
            <v>0</v>
          </cell>
          <cell r="E144">
            <v>92902</v>
          </cell>
          <cell r="F144">
            <v>0</v>
          </cell>
          <cell r="G144">
            <v>0</v>
          </cell>
          <cell r="K144">
            <v>0</v>
          </cell>
        </row>
        <row r="145">
          <cell r="B145" t="str">
            <v>FIRST 20,000</v>
          </cell>
          <cell r="C145">
            <v>1731115.1410999999</v>
          </cell>
          <cell r="D145">
            <v>0.57793649238510825</v>
          </cell>
          <cell r="E145">
            <v>6175937</v>
          </cell>
          <cell r="F145">
            <v>2.41E-2</v>
          </cell>
          <cell r="G145">
            <v>148917</v>
          </cell>
          <cell r="H145">
            <v>0</v>
          </cell>
          <cell r="I145">
            <v>699221</v>
          </cell>
          <cell r="J145">
            <v>2.41E-2</v>
          </cell>
          <cell r="K145">
            <v>16851.2261</v>
          </cell>
        </row>
        <row r="146">
          <cell r="B146" t="str">
            <v>NEXT 80,000</v>
          </cell>
          <cell r="C146">
            <v>1049143.3581000001</v>
          </cell>
          <cell r="D146">
            <v>0.35025875402150491</v>
          </cell>
          <cell r="E146">
            <v>6943371</v>
          </cell>
          <cell r="F146">
            <v>1.2999999999999999E-2</v>
          </cell>
          <cell r="G146">
            <v>90251</v>
          </cell>
          <cell r="I146">
            <v>291587</v>
          </cell>
          <cell r="J146">
            <v>1.2999999999999999E-2</v>
          </cell>
          <cell r="K146">
            <v>3790.6309999999999</v>
          </cell>
        </row>
        <row r="147">
          <cell r="B147" t="str">
            <v>OVER 100,000</v>
          </cell>
          <cell r="C147">
            <v>215079.50750000001</v>
          </cell>
          <cell r="D147">
            <v>7.1804753593386852E-2</v>
          </cell>
          <cell r="E147">
            <v>1530815</v>
          </cell>
          <cell r="F147">
            <v>1.21E-2</v>
          </cell>
          <cell r="G147">
            <v>18502</v>
          </cell>
          <cell r="I147">
            <v>61299</v>
          </cell>
          <cell r="J147">
            <v>1.21E-2</v>
          </cell>
          <cell r="K147">
            <v>741.71789999999999</v>
          </cell>
        </row>
        <row r="148">
          <cell r="B148" t="str">
            <v>TOTAL</v>
          </cell>
          <cell r="C148">
            <v>2995338.0066999998</v>
          </cell>
          <cell r="D148">
            <v>1</v>
          </cell>
          <cell r="E148">
            <v>14650123</v>
          </cell>
          <cell r="G148">
            <v>257670</v>
          </cell>
        </row>
        <row r="149">
          <cell r="I149">
            <v>1052107</v>
          </cell>
          <cell r="K149">
            <v>21383.575000000001</v>
          </cell>
        </row>
        <row r="150">
          <cell r="B150" t="str">
            <v>INCREASE TO LGS / TS-2 REMAINING AFTER VOLUMETRIC INCREASE:</v>
          </cell>
          <cell r="G150">
            <v>-0.36188829102320597</v>
          </cell>
        </row>
        <row r="151">
          <cell r="J151" t="str">
            <v>LGS-2 Ind. Inc</v>
          </cell>
          <cell r="K151">
            <v>29783.575000000001</v>
          </cell>
        </row>
        <row r="152">
          <cell r="J152" t="str">
            <v>TS-2 Ind. Inc</v>
          </cell>
          <cell r="K152">
            <v>345486.06311170897</v>
          </cell>
        </row>
        <row r="153">
          <cell r="J153" t="str">
            <v>Total</v>
          </cell>
          <cell r="K153">
            <v>375269.63811170898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Sources"/>
      <sheetName val="Input"/>
      <sheetName val="Cover"/>
      <sheetName val="Table of Contents"/>
      <sheetName val="Sheet 1- Summary"/>
      <sheetName val="Pg. 2 - Composite"/>
      <sheetName val="Pg. 3 - Daily Demand"/>
      <sheetName val="Pg. 4 - Ann. Demand"/>
      <sheetName val="Pg. 5 - Commodity"/>
      <sheetName val="Pg. 6 - Comm. Rates &amp; Vol."/>
      <sheetName val="Pg. 7 - TCO&amp;CGT Rates"/>
      <sheetName val="Pg. 8 - Transco Rates"/>
      <sheetName val="Pg. 9 - Sales"/>
      <sheetName val="Pg. 10 - Banking"/>
      <sheetName val="Pg. 11 - Misc."/>
      <sheetName val="Pg. 12 PDS"/>
      <sheetName val="Pg. 13 - Balancing Charge"/>
      <sheetName val="Pg. 14 - Variable Storage"/>
      <sheetName val="Pg. 15 - Total Gas Cost"/>
      <sheetName val="Pg 16- Comm. Actual"/>
      <sheetName val="Pg. 17 - Dem Actual"/>
      <sheetName val="Pg. 18 - Alloc"/>
      <sheetName val="Pg. 19 - EBS"/>
      <sheetName val="Pg. 20 - SIS"/>
      <sheetName val="Tabs"/>
    </sheetNames>
    <sheetDataSet>
      <sheetData sheetId="0"/>
      <sheetData sheetId="1">
        <row r="11">
          <cell r="B11">
            <v>1.0379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9">
    <tabColor rgb="FF92D050"/>
  </sheetPr>
  <dimension ref="A1:I130"/>
  <sheetViews>
    <sheetView zoomScaleNormal="100" zoomScaleSheetLayoutView="100" workbookViewId="0">
      <selection activeCell="G42" sqref="G42"/>
    </sheetView>
  </sheetViews>
  <sheetFormatPr defaultColWidth="10" defaultRowHeight="11.25" x14ac:dyDescent="0.2"/>
  <cols>
    <col min="1" max="1" width="6" style="134" customWidth="1"/>
    <col min="2" max="2" width="52.796875" style="3" customWidth="1"/>
    <col min="3" max="4" width="17.59765625" style="3" bestFit="1" customWidth="1"/>
    <col min="5" max="5" width="17" style="3" customWidth="1"/>
    <col min="6" max="7" width="18" style="3" customWidth="1"/>
    <col min="8" max="8" width="28.796875" style="3" bestFit="1" customWidth="1"/>
    <col min="9" max="9" width="34.59765625" style="3" bestFit="1" customWidth="1"/>
    <col min="10" max="10" width="18.59765625" style="3" bestFit="1" customWidth="1"/>
    <col min="11" max="11" width="15.19921875" style="3" bestFit="1" customWidth="1"/>
    <col min="12" max="12" width="10" style="3"/>
    <col min="13" max="15" width="15.19921875" style="3" bestFit="1" customWidth="1"/>
    <col min="16" max="16384" width="10" style="3"/>
  </cols>
  <sheetData>
    <row r="1" spans="1:7" x14ac:dyDescent="0.2">
      <c r="A1" s="353" t="str">
        <f>coname</f>
        <v>Columbia Gas of Pennsylvania, Inc.</v>
      </c>
      <c r="B1" s="353"/>
      <c r="C1" s="353"/>
      <c r="D1" s="353"/>
      <c r="E1" s="353"/>
      <c r="F1" s="353"/>
      <c r="G1" s="2" t="str">
        <f>adjno</f>
        <v>Exhibit No. 103</v>
      </c>
    </row>
    <row r="2" spans="1:7" x14ac:dyDescent="0.2">
      <c r="A2" s="353" t="s">
        <v>188</v>
      </c>
      <c r="B2" s="353"/>
      <c r="C2" s="353"/>
      <c r="D2" s="353"/>
      <c r="E2" s="353"/>
      <c r="F2" s="353"/>
      <c r="G2" s="2" t="s">
        <v>444</v>
      </c>
    </row>
    <row r="3" spans="1:7" x14ac:dyDescent="0.2">
      <c r="A3" s="353" t="str">
        <f>TYDESC</f>
        <v>For the 12 Months Ended December 31, 2019</v>
      </c>
      <c r="B3" s="353"/>
      <c r="C3" s="353"/>
      <c r="D3" s="353"/>
      <c r="E3" s="353"/>
      <c r="F3" s="353"/>
      <c r="G3" s="4" t="str">
        <f>'Sch1'!$G$4</f>
        <v>Witness: D. Joe Mays</v>
      </c>
    </row>
    <row r="4" spans="1:7" x14ac:dyDescent="0.2">
      <c r="A4" s="219"/>
      <c r="B4" s="1"/>
      <c r="C4" s="6"/>
    </row>
    <row r="5" spans="1:7" x14ac:dyDescent="0.2">
      <c r="A5" s="219" t="s">
        <v>3</v>
      </c>
      <c r="B5" s="1"/>
      <c r="C5" s="1"/>
      <c r="D5" s="1"/>
      <c r="E5" s="1" t="s">
        <v>178</v>
      </c>
      <c r="F5" s="1" t="s">
        <v>180</v>
      </c>
      <c r="G5" s="1" t="s">
        <v>178</v>
      </c>
    </row>
    <row r="6" spans="1:7" x14ac:dyDescent="0.2">
      <c r="A6" s="172" t="s">
        <v>6</v>
      </c>
      <c r="B6" s="172" t="s">
        <v>7</v>
      </c>
      <c r="C6" s="7" t="s">
        <v>35</v>
      </c>
      <c r="D6" s="7" t="s">
        <v>40</v>
      </c>
      <c r="E6" s="7" t="s">
        <v>177</v>
      </c>
      <c r="F6" s="7" t="s">
        <v>22</v>
      </c>
      <c r="G6" s="7" t="s">
        <v>179</v>
      </c>
    </row>
    <row r="7" spans="1:7" x14ac:dyDescent="0.2">
      <c r="A7" s="219"/>
      <c r="B7" s="6"/>
      <c r="C7" s="1" t="s">
        <v>12</v>
      </c>
      <c r="D7" s="1" t="s">
        <v>13</v>
      </c>
      <c r="E7" s="1" t="s">
        <v>32</v>
      </c>
      <c r="F7" s="8" t="s">
        <v>185</v>
      </c>
      <c r="G7" s="1" t="s">
        <v>15</v>
      </c>
    </row>
    <row r="8" spans="1:7" x14ac:dyDescent="0.2">
      <c r="A8" s="219"/>
      <c r="B8" s="6"/>
      <c r="C8" s="6"/>
      <c r="D8" s="1" t="s">
        <v>254</v>
      </c>
      <c r="E8" s="1" t="s">
        <v>33</v>
      </c>
      <c r="F8" s="1" t="s">
        <v>33</v>
      </c>
      <c r="G8" s="1" t="s">
        <v>33</v>
      </c>
    </row>
    <row r="9" spans="1:7" x14ac:dyDescent="0.2">
      <c r="C9" s="9" t="s">
        <v>274</v>
      </c>
      <c r="D9" s="9" t="s">
        <v>274</v>
      </c>
      <c r="E9" s="9" t="s">
        <v>274</v>
      </c>
      <c r="G9" s="9" t="s">
        <v>338</v>
      </c>
    </row>
    <row r="10" spans="1:7" x14ac:dyDescent="0.2">
      <c r="C10" s="10"/>
      <c r="D10" s="11"/>
      <c r="E10" s="12"/>
      <c r="F10" s="12"/>
      <c r="G10" s="12"/>
    </row>
    <row r="11" spans="1:7" s="153" customFormat="1" x14ac:dyDescent="0.2">
      <c r="A11" s="134"/>
      <c r="B11" s="34" t="s">
        <v>411</v>
      </c>
      <c r="C11" s="10"/>
      <c r="D11" s="11"/>
      <c r="E11" s="154"/>
      <c r="F11" s="154"/>
      <c r="G11" s="154"/>
    </row>
    <row r="12" spans="1:7" s="153" customFormat="1" x14ac:dyDescent="0.2">
      <c r="A12" s="134"/>
      <c r="C12" s="10"/>
      <c r="D12" s="11"/>
      <c r="E12" s="154"/>
      <c r="F12" s="154"/>
      <c r="G12" s="154"/>
    </row>
    <row r="13" spans="1:7" x14ac:dyDescent="0.2">
      <c r="A13" s="134">
        <f>A11+1</f>
        <v>1</v>
      </c>
      <c r="B13" s="13" t="s">
        <v>120</v>
      </c>
      <c r="C13" s="12"/>
      <c r="D13" s="11"/>
      <c r="E13" s="12"/>
      <c r="F13" s="12"/>
      <c r="G13" s="12"/>
    </row>
    <row r="14" spans="1:7" x14ac:dyDescent="0.2">
      <c r="B14" s="14"/>
      <c r="C14" s="12"/>
      <c r="D14" s="11"/>
      <c r="E14" s="12"/>
      <c r="F14" s="12"/>
      <c r="G14" s="12"/>
    </row>
    <row r="15" spans="1:7" x14ac:dyDescent="0.2">
      <c r="A15" s="134">
        <f>A13+1</f>
        <v>2</v>
      </c>
      <c r="B15" s="165" t="s">
        <v>260</v>
      </c>
      <c r="C15" s="12">
        <f>'Sch1'!C26</f>
        <v>3633542</v>
      </c>
      <c r="D15" s="31">
        <f>'Sch1'!D26</f>
        <v>24988117.399999999</v>
      </c>
      <c r="E15" s="12">
        <f>'Sch1'!F26</f>
        <v>328157221</v>
      </c>
      <c r="F15" s="12">
        <f>G15-E15</f>
        <v>29563847</v>
      </c>
      <c r="G15" s="154">
        <f>'Sch 7'!F26</f>
        <v>357721068</v>
      </c>
    </row>
    <row r="16" spans="1:7" x14ac:dyDescent="0.2">
      <c r="B16" s="153"/>
      <c r="C16" s="12"/>
      <c r="D16" s="31"/>
      <c r="E16" s="12"/>
      <c r="F16" s="12"/>
      <c r="G16" s="154"/>
    </row>
    <row r="17" spans="1:7" x14ac:dyDescent="0.2">
      <c r="A17" s="134">
        <f>A15+1</f>
        <v>3</v>
      </c>
      <c r="B17" s="13" t="s">
        <v>400</v>
      </c>
      <c r="C17" s="12"/>
      <c r="D17" s="31"/>
      <c r="E17" s="12"/>
      <c r="F17" s="12"/>
      <c r="G17" s="154"/>
    </row>
    <row r="18" spans="1:7" x14ac:dyDescent="0.2">
      <c r="B18" s="13"/>
      <c r="C18" s="12"/>
      <c r="D18" s="31"/>
      <c r="E18" s="12"/>
      <c r="F18" s="12"/>
      <c r="G18" s="154"/>
    </row>
    <row r="19" spans="1:7" x14ac:dyDescent="0.2">
      <c r="A19" s="134">
        <f>A17+1</f>
        <v>4</v>
      </c>
      <c r="B19" s="165" t="s">
        <v>401</v>
      </c>
      <c r="C19" s="12">
        <f>'Sch1'!C39</f>
        <v>272190</v>
      </c>
      <c r="D19" s="31">
        <f>'Sch1'!D39</f>
        <v>2524483.6</v>
      </c>
      <c r="E19" s="12">
        <f>'Sch1'!F39</f>
        <v>29242574</v>
      </c>
      <c r="F19" s="12">
        <f>G19-E19</f>
        <v>0</v>
      </c>
      <c r="G19" s="154">
        <f>'Sch 7'!F40</f>
        <v>29242574</v>
      </c>
    </row>
    <row r="20" spans="1:7" x14ac:dyDescent="0.2">
      <c r="B20" s="14"/>
      <c r="C20" s="12"/>
      <c r="D20" s="31"/>
      <c r="E20" s="12"/>
      <c r="F20" s="12"/>
      <c r="G20" s="154"/>
    </row>
    <row r="21" spans="1:7" x14ac:dyDescent="0.2">
      <c r="A21" s="134">
        <f>A19+1</f>
        <v>5</v>
      </c>
      <c r="B21" s="13" t="s">
        <v>288</v>
      </c>
      <c r="C21" s="12"/>
      <c r="D21" s="31"/>
      <c r="E21" s="12"/>
      <c r="F21" s="12"/>
      <c r="G21" s="154"/>
    </row>
    <row r="22" spans="1:7" x14ac:dyDescent="0.2">
      <c r="B22" s="13"/>
      <c r="C22" s="12"/>
      <c r="D22" s="31"/>
      <c r="E22" s="12"/>
      <c r="F22" s="12"/>
      <c r="G22" s="154"/>
    </row>
    <row r="23" spans="1:7" x14ac:dyDescent="0.2">
      <c r="A23" s="134">
        <f>A21+1</f>
        <v>6</v>
      </c>
      <c r="B23" s="165" t="s">
        <v>399</v>
      </c>
      <c r="C23" s="12">
        <f>'Sch1'!C54+'Sch1'!C69</f>
        <v>318279</v>
      </c>
      <c r="D23" s="31">
        <f>'Sch1'!D54+'Sch1'!D69</f>
        <v>8867992.9000000004</v>
      </c>
      <c r="E23" s="12">
        <f>'Sch1'!F54+'Sch1'!F69</f>
        <v>79352495</v>
      </c>
      <c r="F23" s="12">
        <f>G23-E23</f>
        <v>2588798</v>
      </c>
      <c r="G23" s="154">
        <f>'Sch 7'!F55+'Sch 7'!F71</f>
        <v>81941293</v>
      </c>
    </row>
    <row r="24" spans="1:7" x14ac:dyDescent="0.2">
      <c r="B24" s="14"/>
      <c r="C24" s="12"/>
      <c r="D24" s="31"/>
      <c r="E24" s="12"/>
      <c r="F24" s="12"/>
      <c r="G24" s="154"/>
    </row>
    <row r="25" spans="1:7" x14ac:dyDescent="0.2">
      <c r="A25" s="134">
        <f>A23+1</f>
        <v>7</v>
      </c>
      <c r="B25" s="6" t="s">
        <v>219</v>
      </c>
      <c r="C25" s="12"/>
      <c r="D25" s="31"/>
      <c r="E25" s="12"/>
      <c r="F25" s="12"/>
      <c r="G25" s="154"/>
    </row>
    <row r="26" spans="1:7" x14ac:dyDescent="0.2">
      <c r="B26" s="14"/>
      <c r="C26" s="12"/>
      <c r="D26" s="31"/>
      <c r="E26" s="12"/>
      <c r="F26" s="12"/>
      <c r="G26" s="154"/>
    </row>
    <row r="27" spans="1:7" x14ac:dyDescent="0.2">
      <c r="A27" s="134">
        <f>A25+1</f>
        <v>8</v>
      </c>
      <c r="B27" s="174" t="s">
        <v>392</v>
      </c>
      <c r="C27" s="12">
        <f>'Sch1'!C93</f>
        <v>12</v>
      </c>
      <c r="D27" s="31">
        <f>'Sch1'!D93</f>
        <v>72700</v>
      </c>
      <c r="E27" s="12">
        <f>'Sch1'!F93</f>
        <v>288617</v>
      </c>
      <c r="F27" s="12">
        <f>G27-E27</f>
        <v>4218</v>
      </c>
      <c r="G27" s="154">
        <f>'Sch 7'!F95</f>
        <v>292835</v>
      </c>
    </row>
    <row r="28" spans="1:7" x14ac:dyDescent="0.2">
      <c r="B28" s="14"/>
      <c r="C28" s="12"/>
      <c r="D28" s="31"/>
      <c r="E28" s="12"/>
      <c r="F28" s="12"/>
      <c r="G28" s="154"/>
    </row>
    <row r="29" spans="1:7" x14ac:dyDescent="0.2">
      <c r="A29" s="134">
        <f>A27+1</f>
        <v>9</v>
      </c>
      <c r="B29" s="13" t="s">
        <v>121</v>
      </c>
      <c r="C29" s="12"/>
      <c r="D29" s="31"/>
      <c r="E29" s="12"/>
      <c r="F29" s="12"/>
      <c r="G29" s="154"/>
    </row>
    <row r="30" spans="1:7" x14ac:dyDescent="0.2">
      <c r="C30" s="12"/>
      <c r="D30" s="31"/>
      <c r="E30" s="12"/>
      <c r="F30" s="12"/>
      <c r="G30" s="154"/>
    </row>
    <row r="31" spans="1:7" x14ac:dyDescent="0.2">
      <c r="A31" s="134">
        <f>A29+1</f>
        <v>10</v>
      </c>
      <c r="B31" s="165" t="s">
        <v>398</v>
      </c>
      <c r="C31" s="12">
        <f>'Sch1'!C118</f>
        <v>818</v>
      </c>
      <c r="D31" s="31">
        <f>'Sch1'!D118</f>
        <v>766053.2</v>
      </c>
      <c r="E31" s="12">
        <f>'Sch1'!F118</f>
        <v>5272920</v>
      </c>
      <c r="F31" s="12">
        <f>G31-E31</f>
        <v>359308</v>
      </c>
      <c r="G31" s="154">
        <f>'Sch 7'!F125</f>
        <v>5632228</v>
      </c>
    </row>
    <row r="32" spans="1:7" x14ac:dyDescent="0.2">
      <c r="C32" s="12"/>
      <c r="D32" s="31"/>
      <c r="E32" s="12"/>
      <c r="F32" s="12"/>
      <c r="G32" s="12"/>
    </row>
    <row r="33" spans="1:7" s="153" customFormat="1" x14ac:dyDescent="0.2">
      <c r="A33" s="134"/>
      <c r="C33" s="154"/>
      <c r="D33" s="31"/>
      <c r="E33" s="154"/>
      <c r="F33" s="154"/>
      <c r="G33" s="154"/>
    </row>
    <row r="34" spans="1:7" s="153" customFormat="1" ht="12" thickBot="1" x14ac:dyDescent="0.25">
      <c r="A34" s="134"/>
      <c r="C34" s="154"/>
      <c r="D34" s="31"/>
      <c r="E34" s="154"/>
      <c r="F34" s="154"/>
      <c r="G34" s="154"/>
    </row>
    <row r="35" spans="1:7" x14ac:dyDescent="0.2">
      <c r="A35" s="221">
        <f>A31+1</f>
        <v>11</v>
      </c>
      <c r="B35" s="88" t="s">
        <v>397</v>
      </c>
      <c r="C35" s="16"/>
      <c r="D35" s="17"/>
      <c r="E35" s="16"/>
      <c r="F35" s="16"/>
      <c r="G35" s="101"/>
    </row>
    <row r="36" spans="1:7" x14ac:dyDescent="0.2">
      <c r="A36" s="222"/>
      <c r="B36" s="155"/>
      <c r="C36" s="20"/>
      <c r="D36" s="21"/>
      <c r="E36" s="20"/>
      <c r="F36" s="20"/>
      <c r="G36" s="102"/>
    </row>
    <row r="37" spans="1:7" x14ac:dyDescent="0.2">
      <c r="A37" s="222">
        <f>A35+1</f>
        <v>12</v>
      </c>
      <c r="B37" s="162" t="s">
        <v>396</v>
      </c>
      <c r="C37" s="20">
        <f>C15+C19</f>
        <v>3905732</v>
      </c>
      <c r="D37" s="97">
        <f>D15+D19</f>
        <v>27512601</v>
      </c>
      <c r="E37" s="20">
        <f>E15+E19</f>
        <v>357399795</v>
      </c>
      <c r="F37" s="20">
        <f>F15+F19</f>
        <v>29563847</v>
      </c>
      <c r="G37" s="102">
        <f>G15+G19</f>
        <v>386963642</v>
      </c>
    </row>
    <row r="38" spans="1:7" x14ac:dyDescent="0.2">
      <c r="A38" s="222"/>
      <c r="B38" s="162"/>
      <c r="C38" s="20"/>
      <c r="D38" s="21"/>
      <c r="E38" s="20"/>
      <c r="F38" s="20"/>
      <c r="G38" s="102"/>
    </row>
    <row r="39" spans="1:7" x14ac:dyDescent="0.2">
      <c r="A39" s="222">
        <f>A37+1</f>
        <v>13</v>
      </c>
      <c r="B39" s="162" t="s">
        <v>395</v>
      </c>
      <c r="C39" s="20">
        <f>C23</f>
        <v>318279</v>
      </c>
      <c r="D39" s="97">
        <f t="shared" ref="D39:G39" si="0">D23</f>
        <v>8867992.9000000004</v>
      </c>
      <c r="E39" s="20">
        <f t="shared" si="0"/>
        <v>79352495</v>
      </c>
      <c r="F39" s="20">
        <f t="shared" si="0"/>
        <v>2588798</v>
      </c>
      <c r="G39" s="102">
        <f t="shared" si="0"/>
        <v>81941293</v>
      </c>
    </row>
    <row r="40" spans="1:7" x14ac:dyDescent="0.2">
      <c r="A40" s="222"/>
      <c r="B40" s="162"/>
      <c r="C40" s="20"/>
      <c r="D40" s="97"/>
      <c r="E40" s="20"/>
      <c r="F40" s="20"/>
      <c r="G40" s="102"/>
    </row>
    <row r="41" spans="1:7" s="153" customFormat="1" x14ac:dyDescent="0.2">
      <c r="A41" s="222">
        <f>A39+1</f>
        <v>14</v>
      </c>
      <c r="B41" s="162" t="s">
        <v>394</v>
      </c>
      <c r="C41" s="20">
        <f>C27</f>
        <v>12</v>
      </c>
      <c r="D41" s="97">
        <f t="shared" ref="D41:G41" si="1">D27</f>
        <v>72700</v>
      </c>
      <c r="E41" s="20">
        <f t="shared" si="1"/>
        <v>288617</v>
      </c>
      <c r="F41" s="20">
        <f t="shared" si="1"/>
        <v>4218</v>
      </c>
      <c r="G41" s="102">
        <f t="shared" si="1"/>
        <v>292835</v>
      </c>
    </row>
    <row r="42" spans="1:7" s="153" customFormat="1" x14ac:dyDescent="0.2">
      <c r="A42" s="222"/>
      <c r="B42" s="162"/>
      <c r="C42" s="20"/>
      <c r="D42" s="97"/>
      <c r="E42" s="20"/>
      <c r="F42" s="20"/>
      <c r="G42" s="102"/>
    </row>
    <row r="43" spans="1:7" x14ac:dyDescent="0.2">
      <c r="A43" s="222">
        <f>A39+1</f>
        <v>14</v>
      </c>
      <c r="B43" s="162" t="s">
        <v>393</v>
      </c>
      <c r="C43" s="22">
        <f>C31</f>
        <v>818</v>
      </c>
      <c r="D43" s="196">
        <f t="shared" ref="D43:G43" si="2">D31</f>
        <v>766053.2</v>
      </c>
      <c r="E43" s="22">
        <f t="shared" si="2"/>
        <v>5272920</v>
      </c>
      <c r="F43" s="22">
        <f t="shared" si="2"/>
        <v>359308</v>
      </c>
      <c r="G43" s="178">
        <f t="shared" si="2"/>
        <v>5632228</v>
      </c>
    </row>
    <row r="44" spans="1:7" x14ac:dyDescent="0.2">
      <c r="A44" s="222"/>
      <c r="B44" s="155"/>
      <c r="C44" s="20"/>
      <c r="D44" s="21"/>
      <c r="E44" s="20"/>
      <c r="F44" s="20"/>
      <c r="G44" s="102"/>
    </row>
    <row r="45" spans="1:7" ht="12" thickBot="1" x14ac:dyDescent="0.25">
      <c r="A45" s="223">
        <f>A43+1</f>
        <v>15</v>
      </c>
      <c r="B45" s="24" t="s">
        <v>27</v>
      </c>
      <c r="C45" s="25">
        <f>SUM(C37:C43)</f>
        <v>4224841</v>
      </c>
      <c r="D45" s="26">
        <f>SUM(D37:D43)</f>
        <v>37219347.100000001</v>
      </c>
      <c r="E45" s="25">
        <f>SUM(E37:E43)</f>
        <v>442313827</v>
      </c>
      <c r="F45" s="25">
        <f>SUM(F37:F43)</f>
        <v>32516171</v>
      </c>
      <c r="G45" s="105">
        <f>SUM(G37:G43)</f>
        <v>474829998</v>
      </c>
    </row>
    <row r="46" spans="1:7" x14ac:dyDescent="0.2">
      <c r="C46" s="12"/>
      <c r="D46" s="11"/>
      <c r="E46" s="12"/>
      <c r="F46" s="12"/>
      <c r="G46" s="12"/>
    </row>
    <row r="47" spans="1:7" s="153" customFormat="1" x14ac:dyDescent="0.2">
      <c r="A47" s="134"/>
      <c r="C47" s="154"/>
      <c r="D47" s="11"/>
      <c r="E47" s="154"/>
      <c r="F47" s="154"/>
      <c r="G47" s="154"/>
    </row>
    <row r="48" spans="1:7" ht="11.45" customHeight="1" x14ac:dyDescent="0.2">
      <c r="C48" s="12"/>
      <c r="D48" s="11"/>
      <c r="E48" s="12"/>
      <c r="F48" s="12"/>
      <c r="G48" s="12"/>
    </row>
    <row r="49" spans="1:7" s="153" customFormat="1" ht="11.45" customHeight="1" x14ac:dyDescent="0.2">
      <c r="A49" s="134">
        <f>A45+1</f>
        <v>16</v>
      </c>
      <c r="B49" s="34" t="s">
        <v>451</v>
      </c>
      <c r="C49" s="154"/>
      <c r="D49" s="11"/>
      <c r="E49" s="154"/>
      <c r="F49" s="154"/>
      <c r="G49" s="154"/>
    </row>
    <row r="50" spans="1:7" x14ac:dyDescent="0.2">
      <c r="C50" s="12"/>
      <c r="D50" s="11"/>
      <c r="E50" s="12"/>
      <c r="F50" s="12"/>
      <c r="G50" s="12"/>
    </row>
    <row r="51" spans="1:7" x14ac:dyDescent="0.2">
      <c r="A51" s="134">
        <f>A49+1</f>
        <v>17</v>
      </c>
      <c r="B51" s="13" t="s">
        <v>113</v>
      </c>
      <c r="C51" s="12"/>
      <c r="D51" s="11"/>
      <c r="E51" s="12"/>
      <c r="F51" s="12"/>
      <c r="G51" s="12"/>
    </row>
    <row r="52" spans="1:7" x14ac:dyDescent="0.2">
      <c r="B52" s="13"/>
      <c r="C52" s="12"/>
      <c r="D52" s="11"/>
      <c r="E52" s="12"/>
      <c r="F52" s="12"/>
      <c r="G52" s="12"/>
    </row>
    <row r="53" spans="1:7" x14ac:dyDescent="0.2">
      <c r="A53" s="134">
        <f>A51+1</f>
        <v>18</v>
      </c>
      <c r="B53" s="165" t="s">
        <v>404</v>
      </c>
      <c r="C53" s="12">
        <f>'Sch1'!C174</f>
        <v>922450</v>
      </c>
      <c r="D53" s="31">
        <f>'Sch1'!D174</f>
        <v>6925000</v>
      </c>
      <c r="E53" s="12">
        <f>'Sch1'!F174</f>
        <v>66540226</v>
      </c>
      <c r="F53" s="12">
        <f>G53-E53</f>
        <v>8066300</v>
      </c>
      <c r="G53" s="154">
        <f>'Sch 7'!F185</f>
        <v>74606526</v>
      </c>
    </row>
    <row r="54" spans="1:7" x14ac:dyDescent="0.2">
      <c r="C54" s="12"/>
      <c r="D54" s="31"/>
      <c r="E54" s="12"/>
      <c r="F54" s="12"/>
      <c r="G54" s="154"/>
    </row>
    <row r="55" spans="1:7" x14ac:dyDescent="0.2">
      <c r="A55" s="134">
        <f>A53+1</f>
        <v>19</v>
      </c>
      <c r="B55" s="13" t="s">
        <v>123</v>
      </c>
      <c r="C55" s="12"/>
      <c r="D55" s="31"/>
      <c r="E55" s="12"/>
      <c r="F55" s="12"/>
      <c r="G55" s="154"/>
    </row>
    <row r="56" spans="1:7" x14ac:dyDescent="0.2">
      <c r="B56" s="13"/>
      <c r="C56" s="12"/>
      <c r="D56" s="31"/>
      <c r="E56" s="12"/>
      <c r="F56" s="12"/>
      <c r="G56" s="154"/>
    </row>
    <row r="57" spans="1:7" x14ac:dyDescent="0.2">
      <c r="A57" s="134">
        <f>A55+1</f>
        <v>20</v>
      </c>
      <c r="B57" s="165" t="s">
        <v>405</v>
      </c>
      <c r="C57" s="12">
        <f>'Sch1'!C187+'Sch1'!C200</f>
        <v>100779</v>
      </c>
      <c r="D57" s="31">
        <f>'Sch1'!D187+'Sch1'!D200</f>
        <v>2365979.6</v>
      </c>
      <c r="E57" s="12">
        <f>'Sch1'!F187+'Sch1'!F200</f>
        <v>13767912</v>
      </c>
      <c r="F57" s="12">
        <f>G57-E57</f>
        <v>750094</v>
      </c>
      <c r="G57" s="154">
        <f>'Sch 7'!F198+'Sch 7'!F212</f>
        <v>14518006</v>
      </c>
    </row>
    <row r="58" spans="1:7" x14ac:dyDescent="0.2">
      <c r="B58" s="14"/>
      <c r="C58" s="12"/>
      <c r="D58" s="31"/>
      <c r="E58" s="12"/>
      <c r="F58" s="12"/>
      <c r="G58" s="154"/>
    </row>
    <row r="59" spans="1:7" x14ac:dyDescent="0.2">
      <c r="A59" s="134">
        <f>A57+1</f>
        <v>21</v>
      </c>
      <c r="B59" s="13" t="s">
        <v>114</v>
      </c>
      <c r="C59" s="12"/>
      <c r="D59" s="31"/>
      <c r="E59" s="12"/>
      <c r="F59" s="12"/>
      <c r="G59" s="154"/>
    </row>
    <row r="60" spans="1:7" x14ac:dyDescent="0.2">
      <c r="B60" s="13"/>
      <c r="C60" s="12"/>
      <c r="D60" s="31"/>
      <c r="E60" s="12"/>
      <c r="F60" s="12"/>
      <c r="G60" s="154"/>
    </row>
    <row r="61" spans="1:7" x14ac:dyDescent="0.2">
      <c r="A61" s="134">
        <f>A59+1</f>
        <v>22</v>
      </c>
      <c r="B61" s="165" t="s">
        <v>407</v>
      </c>
      <c r="C61" s="12">
        <f>'Sch1'!C217+'Sch1'!C244</f>
        <v>30171</v>
      </c>
      <c r="D61" s="31">
        <f>'Sch1'!D217+'Sch1'!D244</f>
        <v>4058428.1999999997</v>
      </c>
      <c r="E61" s="12">
        <f>'Sch1'!F217+'Sch1'!F244</f>
        <v>16416979</v>
      </c>
      <c r="F61" s="12">
        <f>G61-E61</f>
        <v>1198444</v>
      </c>
      <c r="G61" s="154">
        <f>'Sch 7'!F229+'Sch 7'!F257</f>
        <v>17615423</v>
      </c>
    </row>
    <row r="62" spans="1:7" x14ac:dyDescent="0.2">
      <c r="A62" s="353" t="str">
        <f>coname</f>
        <v>Columbia Gas of Pennsylvania, Inc.</v>
      </c>
      <c r="B62" s="353"/>
      <c r="C62" s="353"/>
      <c r="D62" s="353"/>
      <c r="E62" s="353"/>
      <c r="F62" s="353"/>
      <c r="G62" s="2" t="str">
        <f>adjno</f>
        <v>Exhibit No. 103</v>
      </c>
    </row>
    <row r="63" spans="1:7" s="153" customFormat="1" x14ac:dyDescent="0.2">
      <c r="A63" s="353" t="s">
        <v>188</v>
      </c>
      <c r="B63" s="353"/>
      <c r="C63" s="353"/>
      <c r="D63" s="353"/>
      <c r="E63" s="353"/>
      <c r="F63" s="353"/>
      <c r="G63" s="2" t="s">
        <v>445</v>
      </c>
    </row>
    <row r="64" spans="1:7" s="153" customFormat="1" x14ac:dyDescent="0.2">
      <c r="A64" s="353" t="str">
        <f>TYDESC</f>
        <v>For the 12 Months Ended December 31, 2019</v>
      </c>
      <c r="B64" s="353"/>
      <c r="C64" s="353"/>
      <c r="D64" s="353"/>
      <c r="E64" s="353"/>
      <c r="F64" s="353"/>
      <c r="G64" s="4" t="str">
        <f>'Sch1'!$G$4</f>
        <v>Witness: D. Joe Mays</v>
      </c>
    </row>
    <row r="65" spans="1:7" s="153" customFormat="1" x14ac:dyDescent="0.2">
      <c r="A65" s="219"/>
      <c r="B65" s="1"/>
      <c r="C65" s="6"/>
      <c r="D65" s="3"/>
      <c r="E65" s="3"/>
      <c r="F65" s="3"/>
      <c r="G65" s="3"/>
    </row>
    <row r="66" spans="1:7" s="153" customFormat="1" x14ac:dyDescent="0.2">
      <c r="A66" s="219" t="s">
        <v>3</v>
      </c>
      <c r="B66" s="1"/>
      <c r="C66" s="1"/>
      <c r="D66" s="1"/>
      <c r="E66" s="1" t="s">
        <v>178</v>
      </c>
      <c r="F66" s="1" t="s">
        <v>180</v>
      </c>
      <c r="G66" s="1" t="s">
        <v>178</v>
      </c>
    </row>
    <row r="67" spans="1:7" s="153" customFormat="1" x14ac:dyDescent="0.2">
      <c r="A67" s="172" t="s">
        <v>6</v>
      </c>
      <c r="B67" s="172" t="s">
        <v>7</v>
      </c>
      <c r="C67" s="7" t="s">
        <v>35</v>
      </c>
      <c r="D67" s="7" t="s">
        <v>40</v>
      </c>
      <c r="E67" s="7" t="s">
        <v>177</v>
      </c>
      <c r="F67" s="7" t="s">
        <v>22</v>
      </c>
      <c r="G67" s="7" t="s">
        <v>179</v>
      </c>
    </row>
    <row r="68" spans="1:7" s="153" customFormat="1" x14ac:dyDescent="0.2">
      <c r="A68" s="219"/>
      <c r="B68" s="6"/>
      <c r="C68" s="1" t="s">
        <v>12</v>
      </c>
      <c r="D68" s="1" t="s">
        <v>13</v>
      </c>
      <c r="E68" s="1" t="s">
        <v>32</v>
      </c>
      <c r="F68" s="8" t="s">
        <v>185</v>
      </c>
      <c r="G68" s="1" t="s">
        <v>15</v>
      </c>
    </row>
    <row r="69" spans="1:7" s="153" customFormat="1" x14ac:dyDescent="0.2">
      <c r="A69" s="219"/>
      <c r="B69" s="6"/>
      <c r="C69" s="6"/>
      <c r="D69" s="1" t="s">
        <v>254</v>
      </c>
      <c r="E69" s="1" t="s">
        <v>33</v>
      </c>
      <c r="F69" s="1" t="s">
        <v>33</v>
      </c>
      <c r="G69" s="1" t="s">
        <v>33</v>
      </c>
    </row>
    <row r="70" spans="1:7" s="153" customFormat="1" x14ac:dyDescent="0.2">
      <c r="A70" s="134"/>
      <c r="B70" s="3"/>
      <c r="C70" s="9" t="s">
        <v>274</v>
      </c>
      <c r="D70" s="9" t="s">
        <v>274</v>
      </c>
      <c r="E70" s="9" t="s">
        <v>274</v>
      </c>
      <c r="F70" s="3"/>
      <c r="G70" s="9" t="s">
        <v>275</v>
      </c>
    </row>
    <row r="71" spans="1:7" s="153" customFormat="1" x14ac:dyDescent="0.2">
      <c r="A71" s="134"/>
      <c r="C71" s="154"/>
      <c r="D71" s="31"/>
      <c r="E71" s="154"/>
      <c r="F71" s="154"/>
      <c r="G71" s="154"/>
    </row>
    <row r="72" spans="1:7" x14ac:dyDescent="0.2">
      <c r="A72" s="134">
        <v>1</v>
      </c>
      <c r="B72" s="13" t="s">
        <v>115</v>
      </c>
      <c r="C72" s="12"/>
      <c r="D72" s="31"/>
      <c r="E72" s="12"/>
      <c r="F72" s="12"/>
      <c r="G72" s="12"/>
    </row>
    <row r="73" spans="1:7" x14ac:dyDescent="0.2">
      <c r="B73" s="13"/>
      <c r="C73" s="12"/>
      <c r="D73" s="31"/>
      <c r="E73" s="12"/>
      <c r="F73" s="12"/>
      <c r="G73" s="12"/>
    </row>
    <row r="74" spans="1:7" x14ac:dyDescent="0.2">
      <c r="A74" s="134">
        <f>A72+1</f>
        <v>2</v>
      </c>
      <c r="B74" s="165" t="s">
        <v>406</v>
      </c>
      <c r="C74" s="12">
        <f>'Sch1'!C257</f>
        <v>4350</v>
      </c>
      <c r="D74" s="31">
        <f>'Sch1'!D257</f>
        <v>6235631.5</v>
      </c>
      <c r="E74" s="12">
        <f>'Sch1'!F257</f>
        <v>15635794</v>
      </c>
      <c r="F74" s="12">
        <f>G74-E74</f>
        <v>2140887</v>
      </c>
      <c r="G74" s="154">
        <f>'Sch 7'!F271</f>
        <v>17776681</v>
      </c>
    </row>
    <row r="75" spans="1:7" x14ac:dyDescent="0.2">
      <c r="B75" s="14"/>
      <c r="C75" s="12"/>
      <c r="D75" s="31"/>
      <c r="E75" s="12"/>
      <c r="F75" s="12"/>
      <c r="G75" s="154"/>
    </row>
    <row r="76" spans="1:7" x14ac:dyDescent="0.2">
      <c r="A76" s="134">
        <f>A74+1</f>
        <v>3</v>
      </c>
      <c r="B76" s="13" t="s">
        <v>116</v>
      </c>
      <c r="C76" s="12"/>
      <c r="D76" s="31"/>
      <c r="E76" s="12"/>
      <c r="F76" s="12"/>
      <c r="G76" s="154"/>
    </row>
    <row r="77" spans="1:7" x14ac:dyDescent="0.2">
      <c r="B77" s="13"/>
      <c r="C77" s="12"/>
      <c r="D77" s="31"/>
      <c r="E77" s="12"/>
      <c r="F77" s="12"/>
      <c r="G77" s="154"/>
    </row>
    <row r="78" spans="1:7" x14ac:dyDescent="0.2">
      <c r="A78" s="134">
        <f>A76+1</f>
        <v>4</v>
      </c>
      <c r="B78" s="165" t="s">
        <v>408</v>
      </c>
      <c r="C78" s="12">
        <f>'Sch1'!C276</f>
        <v>1082</v>
      </c>
      <c r="D78" s="31">
        <f>'Sch1'!D276</f>
        <v>20651944</v>
      </c>
      <c r="E78" s="12">
        <f>'Sch1'!F276</f>
        <v>17899205</v>
      </c>
      <c r="F78" s="12">
        <f>G78-E78</f>
        <v>2125502</v>
      </c>
      <c r="G78" s="154">
        <f>'Sch 7'!F291</f>
        <v>20024707</v>
      </c>
    </row>
    <row r="79" spans="1:7" x14ac:dyDescent="0.2">
      <c r="G79" s="153"/>
    </row>
    <row r="80" spans="1:7" x14ac:dyDescent="0.2">
      <c r="A80" s="134">
        <f>A78+1</f>
        <v>5</v>
      </c>
      <c r="B80" s="13" t="s">
        <v>143</v>
      </c>
      <c r="C80" s="12"/>
      <c r="D80" s="31"/>
      <c r="E80" s="12"/>
      <c r="F80" s="12"/>
      <c r="G80" s="154"/>
    </row>
    <row r="81" spans="1:7" x14ac:dyDescent="0.2">
      <c r="B81" s="13"/>
      <c r="C81" s="12"/>
      <c r="D81" s="31"/>
      <c r="E81" s="12"/>
      <c r="F81" s="12"/>
      <c r="G81" s="154"/>
    </row>
    <row r="82" spans="1:7" x14ac:dyDescent="0.2">
      <c r="A82" s="134">
        <f>A80+1</f>
        <v>6</v>
      </c>
      <c r="B82" s="165" t="s">
        <v>409</v>
      </c>
      <c r="C82" s="12">
        <f>'Sch1'!C292</f>
        <v>74</v>
      </c>
      <c r="D82" s="31">
        <f>'Sch1'!D292</f>
        <v>2424000</v>
      </c>
      <c r="E82" s="12">
        <f>'Sch1'!F292</f>
        <v>399245</v>
      </c>
      <c r="F82" s="12">
        <f>G82-E82</f>
        <v>25309</v>
      </c>
      <c r="G82" s="154">
        <f>'Sch 7'!F307</f>
        <v>424554</v>
      </c>
    </row>
    <row r="83" spans="1:7" x14ac:dyDescent="0.2">
      <c r="B83" s="14"/>
      <c r="C83" s="12"/>
      <c r="D83" s="31"/>
      <c r="E83" s="12"/>
      <c r="F83" s="12"/>
      <c r="G83" s="154"/>
    </row>
    <row r="84" spans="1:7" x14ac:dyDescent="0.2">
      <c r="A84" s="134">
        <f>A82+1</f>
        <v>7</v>
      </c>
      <c r="B84" s="13" t="s">
        <v>147</v>
      </c>
      <c r="C84" s="12"/>
      <c r="D84" s="31"/>
      <c r="E84" s="12"/>
      <c r="F84" s="12"/>
      <c r="G84" s="154"/>
    </row>
    <row r="85" spans="1:7" x14ac:dyDescent="0.2">
      <c r="C85" s="12"/>
      <c r="D85" s="31"/>
      <c r="E85" s="12"/>
      <c r="F85" s="12"/>
      <c r="G85" s="154"/>
    </row>
    <row r="86" spans="1:7" x14ac:dyDescent="0.2">
      <c r="A86" s="134">
        <f>A84+1</f>
        <v>8</v>
      </c>
      <c r="B86" s="165" t="s">
        <v>410</v>
      </c>
      <c r="C86" s="12">
        <f>'Sch1'!C319</f>
        <v>48</v>
      </c>
      <c r="D86" s="31">
        <f>'Sch1'!D319</f>
        <v>2239000</v>
      </c>
      <c r="E86" s="12">
        <f>'Sch1'!F319</f>
        <v>784207</v>
      </c>
      <c r="F86" s="12">
        <f>G86-E86</f>
        <v>12655</v>
      </c>
      <c r="G86" s="154">
        <f>'Sch 7'!F335</f>
        <v>796862</v>
      </c>
    </row>
    <row r="87" spans="1:7" ht="12" thickBot="1" x14ac:dyDescent="0.25">
      <c r="C87" s="12"/>
      <c r="D87" s="11"/>
      <c r="E87" s="12"/>
      <c r="F87" s="12"/>
      <c r="G87" s="12"/>
    </row>
    <row r="88" spans="1:7" x14ac:dyDescent="0.2">
      <c r="A88" s="221">
        <f>A86+1</f>
        <v>9</v>
      </c>
      <c r="B88" s="88" t="s">
        <v>403</v>
      </c>
      <c r="C88" s="16"/>
      <c r="D88" s="17"/>
      <c r="E88" s="16"/>
      <c r="F88" s="16"/>
      <c r="G88" s="101"/>
    </row>
    <row r="89" spans="1:7" x14ac:dyDescent="0.2">
      <c r="A89" s="222"/>
      <c r="B89" s="155"/>
      <c r="C89" s="20"/>
      <c r="D89" s="21"/>
      <c r="E89" s="20"/>
      <c r="F89" s="20"/>
      <c r="G89" s="102"/>
    </row>
    <row r="90" spans="1:7" x14ac:dyDescent="0.2">
      <c r="A90" s="222">
        <f>A88+1</f>
        <v>10</v>
      </c>
      <c r="B90" s="162" t="s">
        <v>362</v>
      </c>
      <c r="C90" s="20">
        <f>C53</f>
        <v>922450</v>
      </c>
      <c r="D90" s="97">
        <f>D53</f>
        <v>6925000</v>
      </c>
      <c r="E90" s="20">
        <f>E53</f>
        <v>66540226</v>
      </c>
      <c r="F90" s="20">
        <f>F53</f>
        <v>8066300</v>
      </c>
      <c r="G90" s="102">
        <f>G53</f>
        <v>74606526</v>
      </c>
    </row>
    <row r="91" spans="1:7" x14ac:dyDescent="0.2">
      <c r="A91" s="222"/>
      <c r="B91" s="155"/>
      <c r="C91" s="20"/>
      <c r="D91" s="21"/>
      <c r="E91" s="20"/>
      <c r="F91" s="20"/>
      <c r="G91" s="102"/>
    </row>
    <row r="92" spans="1:7" x14ac:dyDescent="0.2">
      <c r="A92" s="222">
        <f>A90+1</f>
        <v>11</v>
      </c>
      <c r="B92" s="162" t="s">
        <v>364</v>
      </c>
      <c r="C92" s="20">
        <f>C57+C61+C74</f>
        <v>135300</v>
      </c>
      <c r="D92" s="97">
        <f>D57+D61+D74</f>
        <v>12660039.300000001</v>
      </c>
      <c r="E92" s="20">
        <f>E57+E61+E74</f>
        <v>45820685</v>
      </c>
      <c r="F92" s="20">
        <f>F57+F61+F74</f>
        <v>4089425</v>
      </c>
      <c r="G92" s="102">
        <f>G57+G61+G74</f>
        <v>49910110</v>
      </c>
    </row>
    <row r="93" spans="1:7" x14ac:dyDescent="0.2">
      <c r="A93" s="222"/>
      <c r="B93" s="155"/>
      <c r="C93" s="20"/>
      <c r="D93" s="21"/>
      <c r="E93" s="20"/>
      <c r="F93" s="20"/>
      <c r="G93" s="102"/>
    </row>
    <row r="94" spans="1:7" x14ac:dyDescent="0.2">
      <c r="A94" s="222">
        <f>A92+1</f>
        <v>12</v>
      </c>
      <c r="B94" s="162" t="s">
        <v>370</v>
      </c>
      <c r="C94" s="20">
        <f>C78</f>
        <v>1082</v>
      </c>
      <c r="D94" s="97">
        <f t="shared" ref="D94:G94" si="3">D78</f>
        <v>20651944</v>
      </c>
      <c r="E94" s="20">
        <f t="shared" si="3"/>
        <v>17899205</v>
      </c>
      <c r="F94" s="20">
        <f t="shared" si="3"/>
        <v>2125502</v>
      </c>
      <c r="G94" s="102">
        <f t="shared" si="3"/>
        <v>20024707</v>
      </c>
    </row>
    <row r="95" spans="1:7" s="153" customFormat="1" x14ac:dyDescent="0.2">
      <c r="A95" s="222"/>
      <c r="B95" s="155"/>
      <c r="C95" s="22"/>
      <c r="D95" s="23"/>
      <c r="E95" s="22"/>
      <c r="F95" s="22"/>
      <c r="G95" s="178"/>
    </row>
    <row r="96" spans="1:7" s="153" customFormat="1" x14ac:dyDescent="0.2">
      <c r="A96" s="222">
        <f>A94+1</f>
        <v>13</v>
      </c>
      <c r="B96" s="162" t="s">
        <v>366</v>
      </c>
      <c r="C96" s="22">
        <f>C82+C86</f>
        <v>122</v>
      </c>
      <c r="D96" s="196">
        <f t="shared" ref="D96:G96" si="4">D82+D86</f>
        <v>4663000</v>
      </c>
      <c r="E96" s="22">
        <f t="shared" si="4"/>
        <v>1183452</v>
      </c>
      <c r="F96" s="22">
        <f t="shared" si="4"/>
        <v>37964</v>
      </c>
      <c r="G96" s="178">
        <f t="shared" si="4"/>
        <v>1221416</v>
      </c>
    </row>
    <row r="97" spans="1:9" x14ac:dyDescent="0.2">
      <c r="A97" s="222"/>
      <c r="B97" s="155"/>
      <c r="C97" s="20"/>
      <c r="D97" s="21"/>
      <c r="E97" s="20"/>
      <c r="F97" s="20"/>
      <c r="G97" s="102"/>
    </row>
    <row r="98" spans="1:9" ht="12" thickBot="1" x14ac:dyDescent="0.25">
      <c r="A98" s="223">
        <f>A96+1</f>
        <v>14</v>
      </c>
      <c r="B98" s="24" t="s">
        <v>363</v>
      </c>
      <c r="C98" s="25">
        <f>SUM(C90:C96)</f>
        <v>1058954</v>
      </c>
      <c r="D98" s="197">
        <f t="shared" ref="D98:F98" si="5">SUM(D90:D96)</f>
        <v>44899983.299999997</v>
      </c>
      <c r="E98" s="25">
        <f t="shared" si="5"/>
        <v>131443568</v>
      </c>
      <c r="F98" s="25">
        <f t="shared" si="5"/>
        <v>14319191</v>
      </c>
      <c r="G98" s="105">
        <f>SUM(G90:G96)</f>
        <v>145762759</v>
      </c>
    </row>
    <row r="100" spans="1:9" ht="12" thickBot="1" x14ac:dyDescent="0.25">
      <c r="A100" s="77"/>
      <c r="B100" s="155"/>
      <c r="C100" s="20"/>
      <c r="D100" s="21"/>
      <c r="E100" s="20"/>
      <c r="F100" s="20"/>
      <c r="G100" s="20"/>
    </row>
    <row r="101" spans="1:9" x14ac:dyDescent="0.2">
      <c r="A101" s="221">
        <f>A98+1</f>
        <v>15</v>
      </c>
      <c r="B101" s="88" t="s">
        <v>402</v>
      </c>
      <c r="C101" s="16"/>
      <c r="D101" s="17"/>
      <c r="E101" s="16"/>
      <c r="F101" s="16"/>
      <c r="G101" s="101"/>
    </row>
    <row r="102" spans="1:9" x14ac:dyDescent="0.2">
      <c r="A102" s="222"/>
      <c r="B102" s="155"/>
      <c r="C102" s="20"/>
      <c r="D102" s="21"/>
      <c r="E102" s="20"/>
      <c r="F102" s="20"/>
      <c r="G102" s="102"/>
    </row>
    <row r="103" spans="1:9" x14ac:dyDescent="0.2">
      <c r="A103" s="222">
        <f>A101+1</f>
        <v>16</v>
      </c>
      <c r="B103" s="162" t="s">
        <v>181</v>
      </c>
      <c r="C103" s="20">
        <f>C37+C90</f>
        <v>4828182</v>
      </c>
      <c r="D103" s="21">
        <f>D37+D90</f>
        <v>34437601</v>
      </c>
      <c r="E103" s="20">
        <f>E37+E90</f>
        <v>423940021</v>
      </c>
      <c r="F103" s="20">
        <f>F37+F90</f>
        <v>37630147</v>
      </c>
      <c r="G103" s="102">
        <f>G37+G90</f>
        <v>461570168</v>
      </c>
    </row>
    <row r="104" spans="1:9" x14ac:dyDescent="0.2">
      <c r="A104" s="222"/>
      <c r="B104" s="162"/>
      <c r="C104" s="20"/>
      <c r="D104" s="21"/>
      <c r="E104" s="20"/>
      <c r="F104" s="20"/>
      <c r="G104" s="102"/>
    </row>
    <row r="105" spans="1:9" x14ac:dyDescent="0.2">
      <c r="A105" s="222">
        <f>A103+1</f>
        <v>17</v>
      </c>
      <c r="B105" s="162" t="s">
        <v>412</v>
      </c>
      <c r="C105" s="20">
        <f>C39+C92</f>
        <v>453579</v>
      </c>
      <c r="D105" s="21">
        <f>D39+D92</f>
        <v>21528032.200000003</v>
      </c>
      <c r="E105" s="20">
        <f>E39+E92</f>
        <v>125173180</v>
      </c>
      <c r="F105" s="20">
        <f>F39+F92</f>
        <v>6678223</v>
      </c>
      <c r="G105" s="102">
        <f>G39+G92</f>
        <v>131851403</v>
      </c>
    </row>
    <row r="106" spans="1:9" x14ac:dyDescent="0.2">
      <c r="A106" s="222"/>
      <c r="B106" s="162"/>
      <c r="C106" s="20"/>
      <c r="D106" s="21"/>
      <c r="E106" s="20"/>
      <c r="F106" s="20"/>
      <c r="G106" s="102"/>
    </row>
    <row r="107" spans="1:9" x14ac:dyDescent="0.2">
      <c r="A107" s="222">
        <f>A105+1</f>
        <v>18</v>
      </c>
      <c r="B107" s="162" t="s">
        <v>413</v>
      </c>
      <c r="C107" s="22">
        <f>C43+C94+C96+C41</f>
        <v>2034</v>
      </c>
      <c r="D107" s="196">
        <f>D43+D94+D96+D41</f>
        <v>26153697.199999999</v>
      </c>
      <c r="E107" s="22">
        <f>E43+E94+E96+E41</f>
        <v>24644194</v>
      </c>
      <c r="F107" s="22">
        <f>F43+F94+F96+F41</f>
        <v>2526992</v>
      </c>
      <c r="G107" s="178">
        <f>G43+G94+G96+G41</f>
        <v>27171186</v>
      </c>
    </row>
    <row r="108" spans="1:9" x14ac:dyDescent="0.2">
      <c r="A108" s="222"/>
      <c r="B108" s="155"/>
      <c r="C108" s="20"/>
      <c r="D108" s="21"/>
      <c r="E108" s="20"/>
      <c r="F108" s="20"/>
      <c r="G108" s="102"/>
    </row>
    <row r="109" spans="1:9" ht="12" thickBot="1" x14ac:dyDescent="0.25">
      <c r="A109" s="223">
        <f>A107+1</f>
        <v>19</v>
      </c>
      <c r="B109" s="24" t="s">
        <v>184</v>
      </c>
      <c r="C109" s="25">
        <f>SUM(C103:C107)</f>
        <v>5283795</v>
      </c>
      <c r="D109" s="26">
        <f>SUM(D103:D107)</f>
        <v>82119330.400000006</v>
      </c>
      <c r="E109" s="25">
        <f>SUM(E103:E107)</f>
        <v>573757395</v>
      </c>
      <c r="F109" s="25">
        <f>SUM(F103:F107)</f>
        <v>46835362</v>
      </c>
      <c r="G109" s="105">
        <f>SUM(G103:G107)</f>
        <v>620592757</v>
      </c>
      <c r="I109" s="154">
        <f>G109-'Sch 7'!F374</f>
        <v>0</v>
      </c>
    </row>
    <row r="110" spans="1:9" x14ac:dyDescent="0.2">
      <c r="A110" s="77"/>
      <c r="B110" s="155"/>
      <c r="C110" s="20"/>
      <c r="D110" s="21"/>
      <c r="E110" s="20"/>
      <c r="F110" s="20"/>
      <c r="G110" s="20"/>
    </row>
    <row r="112" spans="1:9" x14ac:dyDescent="0.2">
      <c r="A112" s="134">
        <f>A109+1</f>
        <v>20</v>
      </c>
      <c r="B112" s="6" t="s">
        <v>209</v>
      </c>
    </row>
    <row r="114" spans="1:7" x14ac:dyDescent="0.2">
      <c r="A114" s="134">
        <f>A112+1</f>
        <v>21</v>
      </c>
      <c r="B114" s="174" t="s">
        <v>201</v>
      </c>
      <c r="C114" s="35"/>
      <c r="D114" s="35"/>
      <c r="E114" s="36">
        <f>'Sch1'!F353</f>
        <v>1246120</v>
      </c>
      <c r="F114" s="12">
        <f>G114-E114</f>
        <v>101720</v>
      </c>
      <c r="G114" s="36">
        <f>'Sch 7'!F379</f>
        <v>1347840</v>
      </c>
    </row>
    <row r="115" spans="1:7" x14ac:dyDescent="0.2">
      <c r="B115" s="165"/>
      <c r="C115" s="35"/>
      <c r="D115" s="35"/>
      <c r="E115" s="36"/>
      <c r="F115" s="12"/>
      <c r="G115" s="36"/>
    </row>
    <row r="116" spans="1:7" x14ac:dyDescent="0.2">
      <c r="A116" s="134">
        <f>A114+1</f>
        <v>22</v>
      </c>
      <c r="B116" s="174" t="s">
        <v>202</v>
      </c>
      <c r="C116" s="35"/>
      <c r="D116" s="35"/>
      <c r="E116" s="36">
        <f>'Sch1'!F354</f>
        <v>105936.41</v>
      </c>
      <c r="F116" s="12">
        <f>G116-E116</f>
        <v>0</v>
      </c>
      <c r="G116" s="36">
        <f>'Sch 7'!F380</f>
        <v>105936.41</v>
      </c>
    </row>
    <row r="117" spans="1:7" x14ac:dyDescent="0.2">
      <c r="B117" s="165"/>
      <c r="C117" s="35"/>
      <c r="D117" s="35"/>
      <c r="E117" s="36"/>
      <c r="F117" s="12"/>
      <c r="G117" s="36"/>
    </row>
    <row r="118" spans="1:7" x14ac:dyDescent="0.2">
      <c r="A118" s="134">
        <f>A116+1</f>
        <v>23</v>
      </c>
      <c r="B118" s="174" t="s">
        <v>203</v>
      </c>
      <c r="C118" s="35"/>
      <c r="D118" s="35"/>
      <c r="E118" s="36">
        <f>'Sch1'!F355</f>
        <v>9600</v>
      </c>
      <c r="F118" s="12">
        <f>G118-E118</f>
        <v>0</v>
      </c>
      <c r="G118" s="36">
        <f>'Sch 7'!F381</f>
        <v>9600</v>
      </c>
    </row>
    <row r="119" spans="1:7" x14ac:dyDescent="0.2">
      <c r="B119" s="165"/>
      <c r="C119" s="35"/>
      <c r="D119" s="35"/>
      <c r="E119" s="36"/>
      <c r="F119" s="12"/>
      <c r="G119" s="36"/>
    </row>
    <row r="120" spans="1:7" x14ac:dyDescent="0.2">
      <c r="A120" s="134">
        <f>A118+1</f>
        <v>24</v>
      </c>
      <c r="B120" s="174" t="s">
        <v>204</v>
      </c>
      <c r="C120" s="35"/>
      <c r="D120" s="35"/>
      <c r="E120" s="36">
        <f>'Sch1'!F356</f>
        <v>0</v>
      </c>
      <c r="F120" s="12">
        <f>G120-E120</f>
        <v>0</v>
      </c>
      <c r="G120" s="36">
        <f>'Sch 7'!F382</f>
        <v>0</v>
      </c>
    </row>
    <row r="121" spans="1:7" x14ac:dyDescent="0.2">
      <c r="B121" s="165"/>
      <c r="C121" s="35"/>
      <c r="D121" s="35"/>
      <c r="E121" s="36"/>
      <c r="F121" s="12"/>
      <c r="G121" s="36"/>
    </row>
    <row r="122" spans="1:7" x14ac:dyDescent="0.2">
      <c r="A122" s="134">
        <f>A120+1</f>
        <v>25</v>
      </c>
      <c r="B122" s="174" t="s">
        <v>205</v>
      </c>
      <c r="C122" s="35"/>
      <c r="D122" s="35"/>
      <c r="E122" s="36">
        <f>'Sch1'!F357</f>
        <v>0</v>
      </c>
      <c r="F122" s="12">
        <f>G122-E122</f>
        <v>0</v>
      </c>
      <c r="G122" s="36">
        <f>'Sch 7'!F383</f>
        <v>0</v>
      </c>
    </row>
    <row r="123" spans="1:7" x14ac:dyDescent="0.2">
      <c r="B123" s="165"/>
      <c r="C123" s="35"/>
      <c r="D123" s="35"/>
      <c r="E123" s="36"/>
      <c r="F123" s="12"/>
      <c r="G123" s="36"/>
    </row>
    <row r="124" spans="1:7" x14ac:dyDescent="0.2">
      <c r="A124" s="134">
        <f>A122+1</f>
        <v>26</v>
      </c>
      <c r="B124" s="174" t="s">
        <v>206</v>
      </c>
      <c r="C124" s="35"/>
      <c r="D124" s="35"/>
      <c r="E124" s="36">
        <f>'Sch1'!F358</f>
        <v>229067.91</v>
      </c>
      <c r="F124" s="12">
        <f>G124-E124</f>
        <v>0</v>
      </c>
      <c r="G124" s="36">
        <f>'Sch 7'!F384</f>
        <v>229067.91</v>
      </c>
    </row>
    <row r="125" spans="1:7" x14ac:dyDescent="0.2">
      <c r="B125" s="165"/>
      <c r="C125" s="35"/>
      <c r="D125" s="35"/>
      <c r="E125" s="36"/>
      <c r="F125" s="12"/>
      <c r="G125" s="36"/>
    </row>
    <row r="126" spans="1:7" x14ac:dyDescent="0.2">
      <c r="A126" s="134">
        <f>A124+1</f>
        <v>27</v>
      </c>
      <c r="B126" s="174" t="s">
        <v>207</v>
      </c>
      <c r="C126" s="87"/>
      <c r="D126" s="87"/>
      <c r="E126" s="39">
        <f>'Sch1'!F359</f>
        <v>0</v>
      </c>
      <c r="F126" s="28">
        <f>G126-E126</f>
        <v>0</v>
      </c>
      <c r="G126" s="39">
        <f>'Sch 7'!F385</f>
        <v>0</v>
      </c>
    </row>
    <row r="127" spans="1:7" x14ac:dyDescent="0.2">
      <c r="C127" s="87"/>
      <c r="D127" s="87"/>
      <c r="E127" s="87"/>
      <c r="F127" s="39"/>
      <c r="G127" s="87"/>
    </row>
    <row r="128" spans="1:7" x14ac:dyDescent="0.2">
      <c r="A128" s="134">
        <f>A126+1</f>
        <v>28</v>
      </c>
      <c r="B128" s="6" t="s">
        <v>210</v>
      </c>
      <c r="C128" s="36"/>
      <c r="D128" s="36"/>
      <c r="E128" s="36">
        <f>SUM(E114:E126)</f>
        <v>1590724.3199999998</v>
      </c>
      <c r="F128" s="36">
        <f>SUM(F114:F126)</f>
        <v>101720</v>
      </c>
      <c r="G128" s="36">
        <f>SUM(G114:G126)</f>
        <v>1692444.3199999998</v>
      </c>
    </row>
    <row r="129" spans="1:7" ht="12" thickBot="1" x14ac:dyDescent="0.25"/>
    <row r="130" spans="1:7" ht="12" thickBot="1" x14ac:dyDescent="0.25">
      <c r="A130" s="224">
        <f>A128+1</f>
        <v>29</v>
      </c>
      <c r="B130" s="179" t="s">
        <v>208</v>
      </c>
      <c r="C130" s="180"/>
      <c r="D130" s="181"/>
      <c r="E130" s="180">
        <f>E109+E128</f>
        <v>575348119.32000005</v>
      </c>
      <c r="F130" s="180">
        <f>F109+F128</f>
        <v>46937082</v>
      </c>
      <c r="G130" s="182">
        <f>G109+G128</f>
        <v>622285201.32000005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818D6814-8976-4390-B9DF-A301351E9DE9}" showPageBreaks="1" printArea="1" showRuler="0" topLeftCell="A151">
      <selection activeCell="I154" sqref="I154"/>
      <rowBreaks count="2" manualBreakCount="2">
        <brk id="63" max="16383" man="1"/>
        <brk id="128" max="16383" man="1"/>
      </rowBreaks>
      <pageMargins left="0.25" right="0.25" top="0.5" bottom="0.25" header="0" footer="0"/>
      <printOptions horizontalCentered="1"/>
      <pageSetup scale="95" orientation="portrait" r:id="rId1"/>
      <headerFooter alignWithMargins="0"/>
    </customSheetView>
  </customSheetViews>
  <mergeCells count="6">
    <mergeCell ref="A64:F64"/>
    <mergeCell ref="A62:F62"/>
    <mergeCell ref="A63:F63"/>
    <mergeCell ref="A1:F1"/>
    <mergeCell ref="A2:F2"/>
    <mergeCell ref="A3:F3"/>
  </mergeCells>
  <phoneticPr fontId="0" type="noConversion"/>
  <printOptions horizontalCentered="1"/>
  <pageMargins left="0.5" right="0.25" top="0.5" bottom="0.25" header="0" footer="0"/>
  <pageSetup scale="90" orientation="portrait" r:id="rId2"/>
  <headerFooter alignWithMargins="0"/>
  <rowBreaks count="1" manualBreakCount="1">
    <brk id="61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F77"/>
  <sheetViews>
    <sheetView zoomScaleNormal="100" workbookViewId="0">
      <selection activeCell="F31" sqref="F31"/>
    </sheetView>
  </sheetViews>
  <sheetFormatPr defaultRowHeight="10.5" x14ac:dyDescent="0.15"/>
  <cols>
    <col min="1" max="1" width="6" style="228" customWidth="1"/>
    <col min="2" max="2" width="101.19921875" bestFit="1" customWidth="1"/>
    <col min="3" max="3" width="19.19921875" customWidth="1"/>
    <col min="4" max="4" width="20" bestFit="1" customWidth="1"/>
    <col min="251" max="251" width="6" customWidth="1"/>
    <col min="252" max="252" width="4" customWidth="1"/>
    <col min="253" max="253" width="3.59765625" customWidth="1"/>
    <col min="254" max="254" width="53.19921875" customWidth="1"/>
    <col min="255" max="255" width="19.19921875" customWidth="1"/>
    <col min="256" max="256" width="13.59765625" customWidth="1"/>
    <col min="257" max="257" width="15.796875" customWidth="1"/>
    <col min="258" max="258" width="4" customWidth="1"/>
    <col min="259" max="259" width="10.19921875" customWidth="1"/>
    <col min="260" max="260" width="17" customWidth="1"/>
    <col min="507" max="507" width="6" customWidth="1"/>
    <col min="508" max="508" width="4" customWidth="1"/>
    <col min="509" max="509" width="3.59765625" customWidth="1"/>
    <col min="510" max="510" width="53.19921875" customWidth="1"/>
    <col min="511" max="511" width="19.19921875" customWidth="1"/>
    <col min="512" max="512" width="13.59765625" customWidth="1"/>
    <col min="513" max="513" width="15.796875" customWidth="1"/>
    <col min="514" max="514" width="4" customWidth="1"/>
    <col min="515" max="515" width="10.19921875" customWidth="1"/>
    <col min="516" max="516" width="17" customWidth="1"/>
    <col min="763" max="763" width="6" customWidth="1"/>
    <col min="764" max="764" width="4" customWidth="1"/>
    <col min="765" max="765" width="3.59765625" customWidth="1"/>
    <col min="766" max="766" width="53.19921875" customWidth="1"/>
    <col min="767" max="767" width="19.19921875" customWidth="1"/>
    <col min="768" max="768" width="13.59765625" customWidth="1"/>
    <col min="769" max="769" width="15.796875" customWidth="1"/>
    <col min="770" max="770" width="4" customWidth="1"/>
    <col min="771" max="771" width="10.19921875" customWidth="1"/>
    <col min="772" max="772" width="17" customWidth="1"/>
    <col min="1019" max="1019" width="6" customWidth="1"/>
    <col min="1020" max="1020" width="4" customWidth="1"/>
    <col min="1021" max="1021" width="3.59765625" customWidth="1"/>
    <col min="1022" max="1022" width="53.19921875" customWidth="1"/>
    <col min="1023" max="1023" width="19.19921875" customWidth="1"/>
    <col min="1024" max="1024" width="13.59765625" customWidth="1"/>
    <col min="1025" max="1025" width="15.796875" customWidth="1"/>
    <col min="1026" max="1026" width="4" customWidth="1"/>
    <col min="1027" max="1027" width="10.19921875" customWidth="1"/>
    <col min="1028" max="1028" width="17" customWidth="1"/>
    <col min="1275" max="1275" width="6" customWidth="1"/>
    <col min="1276" max="1276" width="4" customWidth="1"/>
    <col min="1277" max="1277" width="3.59765625" customWidth="1"/>
    <col min="1278" max="1278" width="53.19921875" customWidth="1"/>
    <col min="1279" max="1279" width="19.19921875" customWidth="1"/>
    <col min="1280" max="1280" width="13.59765625" customWidth="1"/>
    <col min="1281" max="1281" width="15.796875" customWidth="1"/>
    <col min="1282" max="1282" width="4" customWidth="1"/>
    <col min="1283" max="1283" width="10.19921875" customWidth="1"/>
    <col min="1284" max="1284" width="17" customWidth="1"/>
    <col min="1531" max="1531" width="6" customWidth="1"/>
    <col min="1532" max="1532" width="4" customWidth="1"/>
    <col min="1533" max="1533" width="3.59765625" customWidth="1"/>
    <col min="1534" max="1534" width="53.19921875" customWidth="1"/>
    <col min="1535" max="1535" width="19.19921875" customWidth="1"/>
    <col min="1536" max="1536" width="13.59765625" customWidth="1"/>
    <col min="1537" max="1537" width="15.796875" customWidth="1"/>
    <col min="1538" max="1538" width="4" customWidth="1"/>
    <col min="1539" max="1539" width="10.19921875" customWidth="1"/>
    <col min="1540" max="1540" width="17" customWidth="1"/>
    <col min="1787" max="1787" width="6" customWidth="1"/>
    <col min="1788" max="1788" width="4" customWidth="1"/>
    <col min="1789" max="1789" width="3.59765625" customWidth="1"/>
    <col min="1790" max="1790" width="53.19921875" customWidth="1"/>
    <col min="1791" max="1791" width="19.19921875" customWidth="1"/>
    <col min="1792" max="1792" width="13.59765625" customWidth="1"/>
    <col min="1793" max="1793" width="15.796875" customWidth="1"/>
    <col min="1794" max="1794" width="4" customWidth="1"/>
    <col min="1795" max="1795" width="10.19921875" customWidth="1"/>
    <col min="1796" max="1796" width="17" customWidth="1"/>
    <col min="2043" max="2043" width="6" customWidth="1"/>
    <col min="2044" max="2044" width="4" customWidth="1"/>
    <col min="2045" max="2045" width="3.59765625" customWidth="1"/>
    <col min="2046" max="2046" width="53.19921875" customWidth="1"/>
    <col min="2047" max="2047" width="19.19921875" customWidth="1"/>
    <col min="2048" max="2048" width="13.59765625" customWidth="1"/>
    <col min="2049" max="2049" width="15.796875" customWidth="1"/>
    <col min="2050" max="2050" width="4" customWidth="1"/>
    <col min="2051" max="2051" width="10.19921875" customWidth="1"/>
    <col min="2052" max="2052" width="17" customWidth="1"/>
    <col min="2299" max="2299" width="6" customWidth="1"/>
    <col min="2300" max="2300" width="4" customWidth="1"/>
    <col min="2301" max="2301" width="3.59765625" customWidth="1"/>
    <col min="2302" max="2302" width="53.19921875" customWidth="1"/>
    <col min="2303" max="2303" width="19.19921875" customWidth="1"/>
    <col min="2304" max="2304" width="13.59765625" customWidth="1"/>
    <col min="2305" max="2305" width="15.796875" customWidth="1"/>
    <col min="2306" max="2306" width="4" customWidth="1"/>
    <col min="2307" max="2307" width="10.19921875" customWidth="1"/>
    <col min="2308" max="2308" width="17" customWidth="1"/>
    <col min="2555" max="2555" width="6" customWidth="1"/>
    <col min="2556" max="2556" width="4" customWidth="1"/>
    <col min="2557" max="2557" width="3.59765625" customWidth="1"/>
    <col min="2558" max="2558" width="53.19921875" customWidth="1"/>
    <col min="2559" max="2559" width="19.19921875" customWidth="1"/>
    <col min="2560" max="2560" width="13.59765625" customWidth="1"/>
    <col min="2561" max="2561" width="15.796875" customWidth="1"/>
    <col min="2562" max="2562" width="4" customWidth="1"/>
    <col min="2563" max="2563" width="10.19921875" customWidth="1"/>
    <col min="2564" max="2564" width="17" customWidth="1"/>
    <col min="2811" max="2811" width="6" customWidth="1"/>
    <col min="2812" max="2812" width="4" customWidth="1"/>
    <col min="2813" max="2813" width="3.59765625" customWidth="1"/>
    <col min="2814" max="2814" width="53.19921875" customWidth="1"/>
    <col min="2815" max="2815" width="19.19921875" customWidth="1"/>
    <col min="2816" max="2816" width="13.59765625" customWidth="1"/>
    <col min="2817" max="2817" width="15.796875" customWidth="1"/>
    <col min="2818" max="2818" width="4" customWidth="1"/>
    <col min="2819" max="2819" width="10.19921875" customWidth="1"/>
    <col min="2820" max="2820" width="17" customWidth="1"/>
    <col min="3067" max="3067" width="6" customWidth="1"/>
    <col min="3068" max="3068" width="4" customWidth="1"/>
    <col min="3069" max="3069" width="3.59765625" customWidth="1"/>
    <col min="3070" max="3070" width="53.19921875" customWidth="1"/>
    <col min="3071" max="3071" width="19.19921875" customWidth="1"/>
    <col min="3072" max="3072" width="13.59765625" customWidth="1"/>
    <col min="3073" max="3073" width="15.796875" customWidth="1"/>
    <col min="3074" max="3074" width="4" customWidth="1"/>
    <col min="3075" max="3075" width="10.19921875" customWidth="1"/>
    <col min="3076" max="3076" width="17" customWidth="1"/>
    <col min="3323" max="3323" width="6" customWidth="1"/>
    <col min="3324" max="3324" width="4" customWidth="1"/>
    <col min="3325" max="3325" width="3.59765625" customWidth="1"/>
    <col min="3326" max="3326" width="53.19921875" customWidth="1"/>
    <col min="3327" max="3327" width="19.19921875" customWidth="1"/>
    <col min="3328" max="3328" width="13.59765625" customWidth="1"/>
    <col min="3329" max="3329" width="15.796875" customWidth="1"/>
    <col min="3330" max="3330" width="4" customWidth="1"/>
    <col min="3331" max="3331" width="10.19921875" customWidth="1"/>
    <col min="3332" max="3332" width="17" customWidth="1"/>
    <col min="3579" max="3579" width="6" customWidth="1"/>
    <col min="3580" max="3580" width="4" customWidth="1"/>
    <col min="3581" max="3581" width="3.59765625" customWidth="1"/>
    <col min="3582" max="3582" width="53.19921875" customWidth="1"/>
    <col min="3583" max="3583" width="19.19921875" customWidth="1"/>
    <col min="3584" max="3584" width="13.59765625" customWidth="1"/>
    <col min="3585" max="3585" width="15.796875" customWidth="1"/>
    <col min="3586" max="3586" width="4" customWidth="1"/>
    <col min="3587" max="3587" width="10.19921875" customWidth="1"/>
    <col min="3588" max="3588" width="17" customWidth="1"/>
    <col min="3835" max="3835" width="6" customWidth="1"/>
    <col min="3836" max="3836" width="4" customWidth="1"/>
    <col min="3837" max="3837" width="3.59765625" customWidth="1"/>
    <col min="3838" max="3838" width="53.19921875" customWidth="1"/>
    <col min="3839" max="3839" width="19.19921875" customWidth="1"/>
    <col min="3840" max="3840" width="13.59765625" customWidth="1"/>
    <col min="3841" max="3841" width="15.796875" customWidth="1"/>
    <col min="3842" max="3842" width="4" customWidth="1"/>
    <col min="3843" max="3843" width="10.19921875" customWidth="1"/>
    <col min="3844" max="3844" width="17" customWidth="1"/>
    <col min="4091" max="4091" width="6" customWidth="1"/>
    <col min="4092" max="4092" width="4" customWidth="1"/>
    <col min="4093" max="4093" width="3.59765625" customWidth="1"/>
    <col min="4094" max="4094" width="53.19921875" customWidth="1"/>
    <col min="4095" max="4095" width="19.19921875" customWidth="1"/>
    <col min="4096" max="4096" width="13.59765625" customWidth="1"/>
    <col min="4097" max="4097" width="15.796875" customWidth="1"/>
    <col min="4098" max="4098" width="4" customWidth="1"/>
    <col min="4099" max="4099" width="10.19921875" customWidth="1"/>
    <col min="4100" max="4100" width="17" customWidth="1"/>
    <col min="4347" max="4347" width="6" customWidth="1"/>
    <col min="4348" max="4348" width="4" customWidth="1"/>
    <col min="4349" max="4349" width="3.59765625" customWidth="1"/>
    <col min="4350" max="4350" width="53.19921875" customWidth="1"/>
    <col min="4351" max="4351" width="19.19921875" customWidth="1"/>
    <col min="4352" max="4352" width="13.59765625" customWidth="1"/>
    <col min="4353" max="4353" width="15.796875" customWidth="1"/>
    <col min="4354" max="4354" width="4" customWidth="1"/>
    <col min="4355" max="4355" width="10.19921875" customWidth="1"/>
    <col min="4356" max="4356" width="17" customWidth="1"/>
    <col min="4603" max="4603" width="6" customWidth="1"/>
    <col min="4604" max="4604" width="4" customWidth="1"/>
    <col min="4605" max="4605" width="3.59765625" customWidth="1"/>
    <col min="4606" max="4606" width="53.19921875" customWidth="1"/>
    <col min="4607" max="4607" width="19.19921875" customWidth="1"/>
    <col min="4608" max="4608" width="13.59765625" customWidth="1"/>
    <col min="4609" max="4609" width="15.796875" customWidth="1"/>
    <col min="4610" max="4610" width="4" customWidth="1"/>
    <col min="4611" max="4611" width="10.19921875" customWidth="1"/>
    <col min="4612" max="4612" width="17" customWidth="1"/>
    <col min="4859" max="4859" width="6" customWidth="1"/>
    <col min="4860" max="4860" width="4" customWidth="1"/>
    <col min="4861" max="4861" width="3.59765625" customWidth="1"/>
    <col min="4862" max="4862" width="53.19921875" customWidth="1"/>
    <col min="4863" max="4863" width="19.19921875" customWidth="1"/>
    <col min="4864" max="4864" width="13.59765625" customWidth="1"/>
    <col min="4865" max="4865" width="15.796875" customWidth="1"/>
    <col min="4866" max="4866" width="4" customWidth="1"/>
    <col min="4867" max="4867" width="10.19921875" customWidth="1"/>
    <col min="4868" max="4868" width="17" customWidth="1"/>
    <col min="5115" max="5115" width="6" customWidth="1"/>
    <col min="5116" max="5116" width="4" customWidth="1"/>
    <col min="5117" max="5117" width="3.59765625" customWidth="1"/>
    <col min="5118" max="5118" width="53.19921875" customWidth="1"/>
    <col min="5119" max="5119" width="19.19921875" customWidth="1"/>
    <col min="5120" max="5120" width="13.59765625" customWidth="1"/>
    <col min="5121" max="5121" width="15.796875" customWidth="1"/>
    <col min="5122" max="5122" width="4" customWidth="1"/>
    <col min="5123" max="5123" width="10.19921875" customWidth="1"/>
    <col min="5124" max="5124" width="17" customWidth="1"/>
    <col min="5371" max="5371" width="6" customWidth="1"/>
    <col min="5372" max="5372" width="4" customWidth="1"/>
    <col min="5373" max="5373" width="3.59765625" customWidth="1"/>
    <col min="5374" max="5374" width="53.19921875" customWidth="1"/>
    <col min="5375" max="5375" width="19.19921875" customWidth="1"/>
    <col min="5376" max="5376" width="13.59765625" customWidth="1"/>
    <col min="5377" max="5377" width="15.796875" customWidth="1"/>
    <col min="5378" max="5378" width="4" customWidth="1"/>
    <col min="5379" max="5379" width="10.19921875" customWidth="1"/>
    <col min="5380" max="5380" width="17" customWidth="1"/>
    <col min="5627" max="5627" width="6" customWidth="1"/>
    <col min="5628" max="5628" width="4" customWidth="1"/>
    <col min="5629" max="5629" width="3.59765625" customWidth="1"/>
    <col min="5630" max="5630" width="53.19921875" customWidth="1"/>
    <col min="5631" max="5631" width="19.19921875" customWidth="1"/>
    <col min="5632" max="5632" width="13.59765625" customWidth="1"/>
    <col min="5633" max="5633" width="15.796875" customWidth="1"/>
    <col min="5634" max="5634" width="4" customWidth="1"/>
    <col min="5635" max="5635" width="10.19921875" customWidth="1"/>
    <col min="5636" max="5636" width="17" customWidth="1"/>
    <col min="5883" max="5883" width="6" customWidth="1"/>
    <col min="5884" max="5884" width="4" customWidth="1"/>
    <col min="5885" max="5885" width="3.59765625" customWidth="1"/>
    <col min="5886" max="5886" width="53.19921875" customWidth="1"/>
    <col min="5887" max="5887" width="19.19921875" customWidth="1"/>
    <col min="5888" max="5888" width="13.59765625" customWidth="1"/>
    <col min="5889" max="5889" width="15.796875" customWidth="1"/>
    <col min="5890" max="5890" width="4" customWidth="1"/>
    <col min="5891" max="5891" width="10.19921875" customWidth="1"/>
    <col min="5892" max="5892" width="17" customWidth="1"/>
    <col min="6139" max="6139" width="6" customWidth="1"/>
    <col min="6140" max="6140" width="4" customWidth="1"/>
    <col min="6141" max="6141" width="3.59765625" customWidth="1"/>
    <col min="6142" max="6142" width="53.19921875" customWidth="1"/>
    <col min="6143" max="6143" width="19.19921875" customWidth="1"/>
    <col min="6144" max="6144" width="13.59765625" customWidth="1"/>
    <col min="6145" max="6145" width="15.796875" customWidth="1"/>
    <col min="6146" max="6146" width="4" customWidth="1"/>
    <col min="6147" max="6147" width="10.19921875" customWidth="1"/>
    <col min="6148" max="6148" width="17" customWidth="1"/>
    <col min="6395" max="6395" width="6" customWidth="1"/>
    <col min="6396" max="6396" width="4" customWidth="1"/>
    <col min="6397" max="6397" width="3.59765625" customWidth="1"/>
    <col min="6398" max="6398" width="53.19921875" customWidth="1"/>
    <col min="6399" max="6399" width="19.19921875" customWidth="1"/>
    <col min="6400" max="6400" width="13.59765625" customWidth="1"/>
    <col min="6401" max="6401" width="15.796875" customWidth="1"/>
    <col min="6402" max="6402" width="4" customWidth="1"/>
    <col min="6403" max="6403" width="10.19921875" customWidth="1"/>
    <col min="6404" max="6404" width="17" customWidth="1"/>
    <col min="6651" max="6651" width="6" customWidth="1"/>
    <col min="6652" max="6652" width="4" customWidth="1"/>
    <col min="6653" max="6653" width="3.59765625" customWidth="1"/>
    <col min="6654" max="6654" width="53.19921875" customWidth="1"/>
    <col min="6655" max="6655" width="19.19921875" customWidth="1"/>
    <col min="6656" max="6656" width="13.59765625" customWidth="1"/>
    <col min="6657" max="6657" width="15.796875" customWidth="1"/>
    <col min="6658" max="6658" width="4" customWidth="1"/>
    <col min="6659" max="6659" width="10.19921875" customWidth="1"/>
    <col min="6660" max="6660" width="17" customWidth="1"/>
    <col min="6907" max="6907" width="6" customWidth="1"/>
    <col min="6908" max="6908" width="4" customWidth="1"/>
    <col min="6909" max="6909" width="3.59765625" customWidth="1"/>
    <col min="6910" max="6910" width="53.19921875" customWidth="1"/>
    <col min="6911" max="6911" width="19.19921875" customWidth="1"/>
    <col min="6912" max="6912" width="13.59765625" customWidth="1"/>
    <col min="6913" max="6913" width="15.796875" customWidth="1"/>
    <col min="6914" max="6914" width="4" customWidth="1"/>
    <col min="6915" max="6915" width="10.19921875" customWidth="1"/>
    <col min="6916" max="6916" width="17" customWidth="1"/>
    <col min="7163" max="7163" width="6" customWidth="1"/>
    <col min="7164" max="7164" width="4" customWidth="1"/>
    <col min="7165" max="7165" width="3.59765625" customWidth="1"/>
    <col min="7166" max="7166" width="53.19921875" customWidth="1"/>
    <col min="7167" max="7167" width="19.19921875" customWidth="1"/>
    <col min="7168" max="7168" width="13.59765625" customWidth="1"/>
    <col min="7169" max="7169" width="15.796875" customWidth="1"/>
    <col min="7170" max="7170" width="4" customWidth="1"/>
    <col min="7171" max="7171" width="10.19921875" customWidth="1"/>
    <col min="7172" max="7172" width="17" customWidth="1"/>
    <col min="7419" max="7419" width="6" customWidth="1"/>
    <col min="7420" max="7420" width="4" customWidth="1"/>
    <col min="7421" max="7421" width="3.59765625" customWidth="1"/>
    <col min="7422" max="7422" width="53.19921875" customWidth="1"/>
    <col min="7423" max="7423" width="19.19921875" customWidth="1"/>
    <col min="7424" max="7424" width="13.59765625" customWidth="1"/>
    <col min="7425" max="7425" width="15.796875" customWidth="1"/>
    <col min="7426" max="7426" width="4" customWidth="1"/>
    <col min="7427" max="7427" width="10.19921875" customWidth="1"/>
    <col min="7428" max="7428" width="17" customWidth="1"/>
    <col min="7675" max="7675" width="6" customWidth="1"/>
    <col min="7676" max="7676" width="4" customWidth="1"/>
    <col min="7677" max="7677" width="3.59765625" customWidth="1"/>
    <col min="7678" max="7678" width="53.19921875" customWidth="1"/>
    <col min="7679" max="7679" width="19.19921875" customWidth="1"/>
    <col min="7680" max="7680" width="13.59765625" customWidth="1"/>
    <col min="7681" max="7681" width="15.796875" customWidth="1"/>
    <col min="7682" max="7682" width="4" customWidth="1"/>
    <col min="7683" max="7683" width="10.19921875" customWidth="1"/>
    <col min="7684" max="7684" width="17" customWidth="1"/>
    <col min="7931" max="7931" width="6" customWidth="1"/>
    <col min="7932" max="7932" width="4" customWidth="1"/>
    <col min="7933" max="7933" width="3.59765625" customWidth="1"/>
    <col min="7934" max="7934" width="53.19921875" customWidth="1"/>
    <col min="7935" max="7935" width="19.19921875" customWidth="1"/>
    <col min="7936" max="7936" width="13.59765625" customWidth="1"/>
    <col min="7937" max="7937" width="15.796875" customWidth="1"/>
    <col min="7938" max="7938" width="4" customWidth="1"/>
    <col min="7939" max="7939" width="10.19921875" customWidth="1"/>
    <col min="7940" max="7940" width="17" customWidth="1"/>
    <col min="8187" max="8187" width="6" customWidth="1"/>
    <col min="8188" max="8188" width="4" customWidth="1"/>
    <col min="8189" max="8189" width="3.59765625" customWidth="1"/>
    <col min="8190" max="8190" width="53.19921875" customWidth="1"/>
    <col min="8191" max="8191" width="19.19921875" customWidth="1"/>
    <col min="8192" max="8192" width="13.59765625" customWidth="1"/>
    <col min="8193" max="8193" width="15.796875" customWidth="1"/>
    <col min="8194" max="8194" width="4" customWidth="1"/>
    <col min="8195" max="8195" width="10.19921875" customWidth="1"/>
    <col min="8196" max="8196" width="17" customWidth="1"/>
    <col min="8443" max="8443" width="6" customWidth="1"/>
    <col min="8444" max="8444" width="4" customWidth="1"/>
    <col min="8445" max="8445" width="3.59765625" customWidth="1"/>
    <col min="8446" max="8446" width="53.19921875" customWidth="1"/>
    <col min="8447" max="8447" width="19.19921875" customWidth="1"/>
    <col min="8448" max="8448" width="13.59765625" customWidth="1"/>
    <col min="8449" max="8449" width="15.796875" customWidth="1"/>
    <col min="8450" max="8450" width="4" customWidth="1"/>
    <col min="8451" max="8451" width="10.19921875" customWidth="1"/>
    <col min="8452" max="8452" width="17" customWidth="1"/>
    <col min="8699" max="8699" width="6" customWidth="1"/>
    <col min="8700" max="8700" width="4" customWidth="1"/>
    <col min="8701" max="8701" width="3.59765625" customWidth="1"/>
    <col min="8702" max="8702" width="53.19921875" customWidth="1"/>
    <col min="8703" max="8703" width="19.19921875" customWidth="1"/>
    <col min="8704" max="8704" width="13.59765625" customWidth="1"/>
    <col min="8705" max="8705" width="15.796875" customWidth="1"/>
    <col min="8706" max="8706" width="4" customWidth="1"/>
    <col min="8707" max="8707" width="10.19921875" customWidth="1"/>
    <col min="8708" max="8708" width="17" customWidth="1"/>
    <col min="8955" max="8955" width="6" customWidth="1"/>
    <col min="8956" max="8956" width="4" customWidth="1"/>
    <col min="8957" max="8957" width="3.59765625" customWidth="1"/>
    <col min="8958" max="8958" width="53.19921875" customWidth="1"/>
    <col min="8959" max="8959" width="19.19921875" customWidth="1"/>
    <col min="8960" max="8960" width="13.59765625" customWidth="1"/>
    <col min="8961" max="8961" width="15.796875" customWidth="1"/>
    <col min="8962" max="8962" width="4" customWidth="1"/>
    <col min="8963" max="8963" width="10.19921875" customWidth="1"/>
    <col min="8964" max="8964" width="17" customWidth="1"/>
    <col min="9211" max="9211" width="6" customWidth="1"/>
    <col min="9212" max="9212" width="4" customWidth="1"/>
    <col min="9213" max="9213" width="3.59765625" customWidth="1"/>
    <col min="9214" max="9214" width="53.19921875" customWidth="1"/>
    <col min="9215" max="9215" width="19.19921875" customWidth="1"/>
    <col min="9216" max="9216" width="13.59765625" customWidth="1"/>
    <col min="9217" max="9217" width="15.796875" customWidth="1"/>
    <col min="9218" max="9218" width="4" customWidth="1"/>
    <col min="9219" max="9219" width="10.19921875" customWidth="1"/>
    <col min="9220" max="9220" width="17" customWidth="1"/>
    <col min="9467" max="9467" width="6" customWidth="1"/>
    <col min="9468" max="9468" width="4" customWidth="1"/>
    <col min="9469" max="9469" width="3.59765625" customWidth="1"/>
    <col min="9470" max="9470" width="53.19921875" customWidth="1"/>
    <col min="9471" max="9471" width="19.19921875" customWidth="1"/>
    <col min="9472" max="9472" width="13.59765625" customWidth="1"/>
    <col min="9473" max="9473" width="15.796875" customWidth="1"/>
    <col min="9474" max="9474" width="4" customWidth="1"/>
    <col min="9475" max="9475" width="10.19921875" customWidth="1"/>
    <col min="9476" max="9476" width="17" customWidth="1"/>
    <col min="9723" max="9723" width="6" customWidth="1"/>
    <col min="9724" max="9724" width="4" customWidth="1"/>
    <col min="9725" max="9725" width="3.59765625" customWidth="1"/>
    <col min="9726" max="9726" width="53.19921875" customWidth="1"/>
    <col min="9727" max="9727" width="19.19921875" customWidth="1"/>
    <col min="9728" max="9728" width="13.59765625" customWidth="1"/>
    <col min="9729" max="9729" width="15.796875" customWidth="1"/>
    <col min="9730" max="9730" width="4" customWidth="1"/>
    <col min="9731" max="9731" width="10.19921875" customWidth="1"/>
    <col min="9732" max="9732" width="17" customWidth="1"/>
    <col min="9979" max="9979" width="6" customWidth="1"/>
    <col min="9980" max="9980" width="4" customWidth="1"/>
    <col min="9981" max="9981" width="3.59765625" customWidth="1"/>
    <col min="9982" max="9982" width="53.19921875" customWidth="1"/>
    <col min="9983" max="9983" width="19.19921875" customWidth="1"/>
    <col min="9984" max="9984" width="13.59765625" customWidth="1"/>
    <col min="9985" max="9985" width="15.796875" customWidth="1"/>
    <col min="9986" max="9986" width="4" customWidth="1"/>
    <col min="9987" max="9987" width="10.19921875" customWidth="1"/>
    <col min="9988" max="9988" width="17" customWidth="1"/>
    <col min="10235" max="10235" width="6" customWidth="1"/>
    <col min="10236" max="10236" width="4" customWidth="1"/>
    <col min="10237" max="10237" width="3.59765625" customWidth="1"/>
    <col min="10238" max="10238" width="53.19921875" customWidth="1"/>
    <col min="10239" max="10239" width="19.19921875" customWidth="1"/>
    <col min="10240" max="10240" width="13.59765625" customWidth="1"/>
    <col min="10241" max="10241" width="15.796875" customWidth="1"/>
    <col min="10242" max="10242" width="4" customWidth="1"/>
    <col min="10243" max="10243" width="10.19921875" customWidth="1"/>
    <col min="10244" max="10244" width="17" customWidth="1"/>
    <col min="10491" max="10491" width="6" customWidth="1"/>
    <col min="10492" max="10492" width="4" customWidth="1"/>
    <col min="10493" max="10493" width="3.59765625" customWidth="1"/>
    <col min="10494" max="10494" width="53.19921875" customWidth="1"/>
    <col min="10495" max="10495" width="19.19921875" customWidth="1"/>
    <col min="10496" max="10496" width="13.59765625" customWidth="1"/>
    <col min="10497" max="10497" width="15.796875" customWidth="1"/>
    <col min="10498" max="10498" width="4" customWidth="1"/>
    <col min="10499" max="10499" width="10.19921875" customWidth="1"/>
    <col min="10500" max="10500" width="17" customWidth="1"/>
    <col min="10747" max="10747" width="6" customWidth="1"/>
    <col min="10748" max="10748" width="4" customWidth="1"/>
    <col min="10749" max="10749" width="3.59765625" customWidth="1"/>
    <col min="10750" max="10750" width="53.19921875" customWidth="1"/>
    <col min="10751" max="10751" width="19.19921875" customWidth="1"/>
    <col min="10752" max="10752" width="13.59765625" customWidth="1"/>
    <col min="10753" max="10753" width="15.796875" customWidth="1"/>
    <col min="10754" max="10754" width="4" customWidth="1"/>
    <col min="10755" max="10755" width="10.19921875" customWidth="1"/>
    <col min="10756" max="10756" width="17" customWidth="1"/>
    <col min="11003" max="11003" width="6" customWidth="1"/>
    <col min="11004" max="11004" width="4" customWidth="1"/>
    <col min="11005" max="11005" width="3.59765625" customWidth="1"/>
    <col min="11006" max="11006" width="53.19921875" customWidth="1"/>
    <col min="11007" max="11007" width="19.19921875" customWidth="1"/>
    <col min="11008" max="11008" width="13.59765625" customWidth="1"/>
    <col min="11009" max="11009" width="15.796875" customWidth="1"/>
    <col min="11010" max="11010" width="4" customWidth="1"/>
    <col min="11011" max="11011" width="10.19921875" customWidth="1"/>
    <col min="11012" max="11012" width="17" customWidth="1"/>
    <col min="11259" max="11259" width="6" customWidth="1"/>
    <col min="11260" max="11260" width="4" customWidth="1"/>
    <col min="11261" max="11261" width="3.59765625" customWidth="1"/>
    <col min="11262" max="11262" width="53.19921875" customWidth="1"/>
    <col min="11263" max="11263" width="19.19921875" customWidth="1"/>
    <col min="11264" max="11264" width="13.59765625" customWidth="1"/>
    <col min="11265" max="11265" width="15.796875" customWidth="1"/>
    <col min="11266" max="11266" width="4" customWidth="1"/>
    <col min="11267" max="11267" width="10.19921875" customWidth="1"/>
    <col min="11268" max="11268" width="17" customWidth="1"/>
    <col min="11515" max="11515" width="6" customWidth="1"/>
    <col min="11516" max="11516" width="4" customWidth="1"/>
    <col min="11517" max="11517" width="3.59765625" customWidth="1"/>
    <col min="11518" max="11518" width="53.19921875" customWidth="1"/>
    <col min="11519" max="11519" width="19.19921875" customWidth="1"/>
    <col min="11520" max="11520" width="13.59765625" customWidth="1"/>
    <col min="11521" max="11521" width="15.796875" customWidth="1"/>
    <col min="11522" max="11522" width="4" customWidth="1"/>
    <col min="11523" max="11523" width="10.19921875" customWidth="1"/>
    <col min="11524" max="11524" width="17" customWidth="1"/>
    <col min="11771" max="11771" width="6" customWidth="1"/>
    <col min="11772" max="11772" width="4" customWidth="1"/>
    <col min="11773" max="11773" width="3.59765625" customWidth="1"/>
    <col min="11774" max="11774" width="53.19921875" customWidth="1"/>
    <col min="11775" max="11775" width="19.19921875" customWidth="1"/>
    <col min="11776" max="11776" width="13.59765625" customWidth="1"/>
    <col min="11777" max="11777" width="15.796875" customWidth="1"/>
    <col min="11778" max="11778" width="4" customWidth="1"/>
    <col min="11779" max="11779" width="10.19921875" customWidth="1"/>
    <col min="11780" max="11780" width="17" customWidth="1"/>
    <col min="12027" max="12027" width="6" customWidth="1"/>
    <col min="12028" max="12028" width="4" customWidth="1"/>
    <col min="12029" max="12029" width="3.59765625" customWidth="1"/>
    <col min="12030" max="12030" width="53.19921875" customWidth="1"/>
    <col min="12031" max="12031" width="19.19921875" customWidth="1"/>
    <col min="12032" max="12032" width="13.59765625" customWidth="1"/>
    <col min="12033" max="12033" width="15.796875" customWidth="1"/>
    <col min="12034" max="12034" width="4" customWidth="1"/>
    <col min="12035" max="12035" width="10.19921875" customWidth="1"/>
    <col min="12036" max="12036" width="17" customWidth="1"/>
    <col min="12283" max="12283" width="6" customWidth="1"/>
    <col min="12284" max="12284" width="4" customWidth="1"/>
    <col min="12285" max="12285" width="3.59765625" customWidth="1"/>
    <col min="12286" max="12286" width="53.19921875" customWidth="1"/>
    <col min="12287" max="12287" width="19.19921875" customWidth="1"/>
    <col min="12288" max="12288" width="13.59765625" customWidth="1"/>
    <col min="12289" max="12289" width="15.796875" customWidth="1"/>
    <col min="12290" max="12290" width="4" customWidth="1"/>
    <col min="12291" max="12291" width="10.19921875" customWidth="1"/>
    <col min="12292" max="12292" width="17" customWidth="1"/>
    <col min="12539" max="12539" width="6" customWidth="1"/>
    <col min="12540" max="12540" width="4" customWidth="1"/>
    <col min="12541" max="12541" width="3.59765625" customWidth="1"/>
    <col min="12542" max="12542" width="53.19921875" customWidth="1"/>
    <col min="12543" max="12543" width="19.19921875" customWidth="1"/>
    <col min="12544" max="12544" width="13.59765625" customWidth="1"/>
    <col min="12545" max="12545" width="15.796875" customWidth="1"/>
    <col min="12546" max="12546" width="4" customWidth="1"/>
    <col min="12547" max="12547" width="10.19921875" customWidth="1"/>
    <col min="12548" max="12548" width="17" customWidth="1"/>
    <col min="12795" max="12795" width="6" customWidth="1"/>
    <col min="12796" max="12796" width="4" customWidth="1"/>
    <col min="12797" max="12797" width="3.59765625" customWidth="1"/>
    <col min="12798" max="12798" width="53.19921875" customWidth="1"/>
    <col min="12799" max="12799" width="19.19921875" customWidth="1"/>
    <col min="12800" max="12800" width="13.59765625" customWidth="1"/>
    <col min="12801" max="12801" width="15.796875" customWidth="1"/>
    <col min="12802" max="12802" width="4" customWidth="1"/>
    <col min="12803" max="12803" width="10.19921875" customWidth="1"/>
    <col min="12804" max="12804" width="17" customWidth="1"/>
    <col min="13051" max="13051" width="6" customWidth="1"/>
    <col min="13052" max="13052" width="4" customWidth="1"/>
    <col min="13053" max="13053" width="3.59765625" customWidth="1"/>
    <col min="13054" max="13054" width="53.19921875" customWidth="1"/>
    <col min="13055" max="13055" width="19.19921875" customWidth="1"/>
    <col min="13056" max="13056" width="13.59765625" customWidth="1"/>
    <col min="13057" max="13057" width="15.796875" customWidth="1"/>
    <col min="13058" max="13058" width="4" customWidth="1"/>
    <col min="13059" max="13059" width="10.19921875" customWidth="1"/>
    <col min="13060" max="13060" width="17" customWidth="1"/>
    <col min="13307" max="13307" width="6" customWidth="1"/>
    <col min="13308" max="13308" width="4" customWidth="1"/>
    <col min="13309" max="13309" width="3.59765625" customWidth="1"/>
    <col min="13310" max="13310" width="53.19921875" customWidth="1"/>
    <col min="13311" max="13311" width="19.19921875" customWidth="1"/>
    <col min="13312" max="13312" width="13.59765625" customWidth="1"/>
    <col min="13313" max="13313" width="15.796875" customWidth="1"/>
    <col min="13314" max="13314" width="4" customWidth="1"/>
    <col min="13315" max="13315" width="10.19921875" customWidth="1"/>
    <col min="13316" max="13316" width="17" customWidth="1"/>
    <col min="13563" max="13563" width="6" customWidth="1"/>
    <col min="13564" max="13564" width="4" customWidth="1"/>
    <col min="13565" max="13565" width="3.59765625" customWidth="1"/>
    <col min="13566" max="13566" width="53.19921875" customWidth="1"/>
    <col min="13567" max="13567" width="19.19921875" customWidth="1"/>
    <col min="13568" max="13568" width="13.59765625" customWidth="1"/>
    <col min="13569" max="13569" width="15.796875" customWidth="1"/>
    <col min="13570" max="13570" width="4" customWidth="1"/>
    <col min="13571" max="13571" width="10.19921875" customWidth="1"/>
    <col min="13572" max="13572" width="17" customWidth="1"/>
    <col min="13819" max="13819" width="6" customWidth="1"/>
    <col min="13820" max="13820" width="4" customWidth="1"/>
    <col min="13821" max="13821" width="3.59765625" customWidth="1"/>
    <col min="13822" max="13822" width="53.19921875" customWidth="1"/>
    <col min="13823" max="13823" width="19.19921875" customWidth="1"/>
    <col min="13824" max="13824" width="13.59765625" customWidth="1"/>
    <col min="13825" max="13825" width="15.796875" customWidth="1"/>
    <col min="13826" max="13826" width="4" customWidth="1"/>
    <col min="13827" max="13827" width="10.19921875" customWidth="1"/>
    <col min="13828" max="13828" width="17" customWidth="1"/>
    <col min="14075" max="14075" width="6" customWidth="1"/>
    <col min="14076" max="14076" width="4" customWidth="1"/>
    <col min="14077" max="14077" width="3.59765625" customWidth="1"/>
    <col min="14078" max="14078" width="53.19921875" customWidth="1"/>
    <col min="14079" max="14079" width="19.19921875" customWidth="1"/>
    <col min="14080" max="14080" width="13.59765625" customWidth="1"/>
    <col min="14081" max="14081" width="15.796875" customWidth="1"/>
    <col min="14082" max="14082" width="4" customWidth="1"/>
    <col min="14083" max="14083" width="10.19921875" customWidth="1"/>
    <col min="14084" max="14084" width="17" customWidth="1"/>
    <col min="14331" max="14331" width="6" customWidth="1"/>
    <col min="14332" max="14332" width="4" customWidth="1"/>
    <col min="14333" max="14333" width="3.59765625" customWidth="1"/>
    <col min="14334" max="14334" width="53.19921875" customWidth="1"/>
    <col min="14335" max="14335" width="19.19921875" customWidth="1"/>
    <col min="14336" max="14336" width="13.59765625" customWidth="1"/>
    <col min="14337" max="14337" width="15.796875" customWidth="1"/>
    <col min="14338" max="14338" width="4" customWidth="1"/>
    <col min="14339" max="14339" width="10.19921875" customWidth="1"/>
    <col min="14340" max="14340" width="17" customWidth="1"/>
    <col min="14587" max="14587" width="6" customWidth="1"/>
    <col min="14588" max="14588" width="4" customWidth="1"/>
    <col min="14589" max="14589" width="3.59765625" customWidth="1"/>
    <col min="14590" max="14590" width="53.19921875" customWidth="1"/>
    <col min="14591" max="14591" width="19.19921875" customWidth="1"/>
    <col min="14592" max="14592" width="13.59765625" customWidth="1"/>
    <col min="14593" max="14593" width="15.796875" customWidth="1"/>
    <col min="14594" max="14594" width="4" customWidth="1"/>
    <col min="14595" max="14595" width="10.19921875" customWidth="1"/>
    <col min="14596" max="14596" width="17" customWidth="1"/>
    <col min="14843" max="14843" width="6" customWidth="1"/>
    <col min="14844" max="14844" width="4" customWidth="1"/>
    <col min="14845" max="14845" width="3.59765625" customWidth="1"/>
    <col min="14846" max="14846" width="53.19921875" customWidth="1"/>
    <col min="14847" max="14847" width="19.19921875" customWidth="1"/>
    <col min="14848" max="14848" width="13.59765625" customWidth="1"/>
    <col min="14849" max="14849" width="15.796875" customWidth="1"/>
    <col min="14850" max="14850" width="4" customWidth="1"/>
    <col min="14851" max="14851" width="10.19921875" customWidth="1"/>
    <col min="14852" max="14852" width="17" customWidth="1"/>
    <col min="15099" max="15099" width="6" customWidth="1"/>
    <col min="15100" max="15100" width="4" customWidth="1"/>
    <col min="15101" max="15101" width="3.59765625" customWidth="1"/>
    <col min="15102" max="15102" width="53.19921875" customWidth="1"/>
    <col min="15103" max="15103" width="19.19921875" customWidth="1"/>
    <col min="15104" max="15104" width="13.59765625" customWidth="1"/>
    <col min="15105" max="15105" width="15.796875" customWidth="1"/>
    <col min="15106" max="15106" width="4" customWidth="1"/>
    <col min="15107" max="15107" width="10.19921875" customWidth="1"/>
    <col min="15108" max="15108" width="17" customWidth="1"/>
    <col min="15355" max="15355" width="6" customWidth="1"/>
    <col min="15356" max="15356" width="4" customWidth="1"/>
    <col min="15357" max="15357" width="3.59765625" customWidth="1"/>
    <col min="15358" max="15358" width="53.19921875" customWidth="1"/>
    <col min="15359" max="15359" width="19.19921875" customWidth="1"/>
    <col min="15360" max="15360" width="13.59765625" customWidth="1"/>
    <col min="15361" max="15361" width="15.796875" customWidth="1"/>
    <col min="15362" max="15362" width="4" customWidth="1"/>
    <col min="15363" max="15363" width="10.19921875" customWidth="1"/>
    <col min="15364" max="15364" width="17" customWidth="1"/>
    <col min="15611" max="15611" width="6" customWidth="1"/>
    <col min="15612" max="15612" width="4" customWidth="1"/>
    <col min="15613" max="15613" width="3.59765625" customWidth="1"/>
    <col min="15614" max="15614" width="53.19921875" customWidth="1"/>
    <col min="15615" max="15615" width="19.19921875" customWidth="1"/>
    <col min="15616" max="15616" width="13.59765625" customWidth="1"/>
    <col min="15617" max="15617" width="15.796875" customWidth="1"/>
    <col min="15618" max="15618" width="4" customWidth="1"/>
    <col min="15619" max="15619" width="10.19921875" customWidth="1"/>
    <col min="15620" max="15620" width="17" customWidth="1"/>
    <col min="15867" max="15867" width="6" customWidth="1"/>
    <col min="15868" max="15868" width="4" customWidth="1"/>
    <col min="15869" max="15869" width="3.59765625" customWidth="1"/>
    <col min="15870" max="15870" width="53.19921875" customWidth="1"/>
    <col min="15871" max="15871" width="19.19921875" customWidth="1"/>
    <col min="15872" max="15872" width="13.59765625" customWidth="1"/>
    <col min="15873" max="15873" width="15.796875" customWidth="1"/>
    <col min="15874" max="15874" width="4" customWidth="1"/>
    <col min="15875" max="15875" width="10.19921875" customWidth="1"/>
    <col min="15876" max="15876" width="17" customWidth="1"/>
    <col min="16123" max="16123" width="6" customWidth="1"/>
    <col min="16124" max="16124" width="4" customWidth="1"/>
    <col min="16125" max="16125" width="3.59765625" customWidth="1"/>
    <col min="16126" max="16126" width="53.19921875" customWidth="1"/>
    <col min="16127" max="16127" width="19.19921875" customWidth="1"/>
    <col min="16128" max="16128" width="13.59765625" customWidth="1"/>
    <col min="16129" max="16129" width="15.796875" customWidth="1"/>
    <col min="16130" max="16130" width="4" customWidth="1"/>
    <col min="16131" max="16131" width="10.19921875" customWidth="1"/>
    <col min="16132" max="16132" width="17" customWidth="1"/>
  </cols>
  <sheetData>
    <row r="1" spans="1:6" ht="11.25" x14ac:dyDescent="0.2">
      <c r="A1" s="219"/>
      <c r="B1" s="171"/>
      <c r="C1" s="2" t="str">
        <f>adjno</f>
        <v>Exhibit No. 103</v>
      </c>
      <c r="F1" s="136"/>
    </row>
    <row r="2" spans="1:6" ht="11.25" x14ac:dyDescent="0.2">
      <c r="A2" s="353" t="str">
        <f>coname</f>
        <v>Columbia Gas of Pennsylvania, Inc.</v>
      </c>
      <c r="B2" s="353"/>
      <c r="C2" s="137" t="s">
        <v>197</v>
      </c>
      <c r="F2" s="136"/>
    </row>
    <row r="3" spans="1:6" ht="12" customHeight="1" x14ac:dyDescent="0.2">
      <c r="A3" s="353" t="s">
        <v>510</v>
      </c>
      <c r="B3" s="353"/>
      <c r="C3" s="2" t="s">
        <v>289</v>
      </c>
      <c r="F3" s="136"/>
    </row>
    <row r="4" spans="1:6" ht="12" customHeight="1" x14ac:dyDescent="0.2">
      <c r="A4" s="353" t="s">
        <v>531</v>
      </c>
      <c r="B4" s="353"/>
      <c r="C4" s="2"/>
      <c r="F4" s="136"/>
    </row>
    <row r="5" spans="1:6" ht="11.25" x14ac:dyDescent="0.2">
      <c r="A5" s="353" t="str">
        <f>'Sch1'!A4:F4</f>
        <v>For the 12 Months Ended December 31, 2019</v>
      </c>
      <c r="B5" s="353"/>
      <c r="C5" s="4" t="str">
        <f>Witness</f>
        <v>Witness: D. Joe Mays</v>
      </c>
      <c r="F5" s="136"/>
    </row>
    <row r="6" spans="1:6" ht="11.25" x14ac:dyDescent="0.2">
      <c r="A6" s="219"/>
      <c r="B6" s="131"/>
      <c r="C6" s="3"/>
      <c r="D6" s="136"/>
      <c r="E6" s="136"/>
      <c r="F6" s="136"/>
    </row>
    <row r="7" spans="1:6" ht="11.25" x14ac:dyDescent="0.2">
      <c r="A7" s="219" t="s">
        <v>3</v>
      </c>
      <c r="B7" s="131"/>
      <c r="C7" s="6"/>
      <c r="D7" s="136"/>
      <c r="E7" s="136"/>
      <c r="F7" s="136"/>
    </row>
    <row r="8" spans="1:6" ht="11.25" x14ac:dyDescent="0.2">
      <c r="A8" s="172" t="s">
        <v>6</v>
      </c>
      <c r="B8" s="132"/>
      <c r="C8" s="132" t="s">
        <v>31</v>
      </c>
      <c r="D8" s="136"/>
      <c r="E8" s="136"/>
      <c r="F8" s="136"/>
    </row>
    <row r="9" spans="1:6" ht="11.25" x14ac:dyDescent="0.2">
      <c r="A9" s="219"/>
      <c r="B9" s="6"/>
      <c r="C9" s="131" t="s">
        <v>33</v>
      </c>
      <c r="D9" s="136"/>
      <c r="E9" s="136"/>
      <c r="F9" s="136"/>
    </row>
    <row r="10" spans="1:6" ht="11.25" x14ac:dyDescent="0.2">
      <c r="A10" s="134"/>
      <c r="B10" s="3"/>
      <c r="C10" s="3"/>
      <c r="D10" s="136"/>
      <c r="E10" s="136"/>
      <c r="F10" s="136"/>
    </row>
    <row r="11" spans="1:6" ht="11.25" x14ac:dyDescent="0.2">
      <c r="A11" s="134">
        <v>1</v>
      </c>
      <c r="B11" s="42" t="s">
        <v>260</v>
      </c>
      <c r="C11" s="3"/>
      <c r="D11" s="136"/>
      <c r="E11" s="136"/>
      <c r="F11" s="136"/>
    </row>
    <row r="12" spans="1:6" ht="11.25" x14ac:dyDescent="0.2">
      <c r="A12" s="134"/>
      <c r="B12" s="3"/>
      <c r="C12" s="3"/>
      <c r="D12" s="136"/>
      <c r="E12" s="136"/>
      <c r="F12" s="136"/>
    </row>
    <row r="13" spans="1:6" ht="11.25" x14ac:dyDescent="0.2">
      <c r="A13" s="134">
        <f>A11+1</f>
        <v>2</v>
      </c>
      <c r="B13" s="165" t="s">
        <v>224</v>
      </c>
      <c r="C13" s="209">
        <v>22847467</v>
      </c>
      <c r="D13" s="136"/>
      <c r="E13" s="136"/>
      <c r="F13" s="136"/>
    </row>
    <row r="14" spans="1:6" ht="11.25" x14ac:dyDescent="0.2">
      <c r="A14" s="134">
        <f>A13+1</f>
        <v>3</v>
      </c>
      <c r="B14" s="165" t="s">
        <v>323</v>
      </c>
      <c r="C14" s="209">
        <v>1134084</v>
      </c>
      <c r="D14" s="136"/>
      <c r="E14" s="136"/>
      <c r="F14" s="136"/>
    </row>
    <row r="15" spans="1:6" ht="11.25" x14ac:dyDescent="0.2">
      <c r="A15" s="134">
        <f>A14+1</f>
        <v>4</v>
      </c>
      <c r="B15" s="165" t="s">
        <v>292</v>
      </c>
      <c r="C15" s="151">
        <v>1903837</v>
      </c>
      <c r="D15" s="136"/>
      <c r="E15" s="136"/>
      <c r="F15" s="136"/>
    </row>
    <row r="16" spans="1:6" ht="11.25" x14ac:dyDescent="0.2">
      <c r="A16" s="134">
        <f>A15+1</f>
        <v>5</v>
      </c>
      <c r="B16" s="165" t="s">
        <v>503</v>
      </c>
      <c r="C16" s="151">
        <v>24880</v>
      </c>
      <c r="D16" s="136"/>
      <c r="E16" s="136"/>
      <c r="F16" s="136"/>
    </row>
    <row r="17" spans="1:6" ht="11.25" x14ac:dyDescent="0.2">
      <c r="A17" s="134"/>
      <c r="B17" s="153"/>
      <c r="C17" s="231"/>
      <c r="D17" s="136"/>
      <c r="E17" s="136"/>
      <c r="F17" s="136"/>
    </row>
    <row r="18" spans="1:6" ht="11.25" x14ac:dyDescent="0.2">
      <c r="A18" s="134">
        <f>A16+1</f>
        <v>6</v>
      </c>
      <c r="B18" s="42" t="s">
        <v>504</v>
      </c>
      <c r="C18" s="231"/>
      <c r="D18" s="136"/>
      <c r="E18" s="136"/>
      <c r="F18" s="136"/>
    </row>
    <row r="19" spans="1:6" ht="11.25" x14ac:dyDescent="0.2">
      <c r="A19" s="134"/>
      <c r="B19" s="153"/>
      <c r="C19" s="231"/>
      <c r="D19" s="136"/>
      <c r="E19" s="136"/>
      <c r="F19" s="136"/>
    </row>
    <row r="20" spans="1:6" ht="11.25" x14ac:dyDescent="0.2">
      <c r="A20" s="134">
        <f>A18+1</f>
        <v>7</v>
      </c>
      <c r="B20" s="165" t="s">
        <v>323</v>
      </c>
      <c r="C20" s="209">
        <v>75139</v>
      </c>
      <c r="D20" s="136"/>
      <c r="E20" s="136"/>
      <c r="F20" s="136"/>
    </row>
    <row r="21" spans="1:6" ht="11.25" x14ac:dyDescent="0.2">
      <c r="A21" s="134">
        <f>A20+1</f>
        <v>8</v>
      </c>
      <c r="B21" s="165" t="s">
        <v>292</v>
      </c>
      <c r="C21" s="151">
        <v>652366</v>
      </c>
      <c r="D21" s="136"/>
      <c r="E21" s="136"/>
      <c r="F21" s="136"/>
    </row>
    <row r="22" spans="1:6" ht="11.25" x14ac:dyDescent="0.2">
      <c r="A22" s="134">
        <f>A21+1</f>
        <v>9</v>
      </c>
      <c r="B22" s="165" t="s">
        <v>503</v>
      </c>
      <c r="C22" s="151">
        <v>8637</v>
      </c>
      <c r="D22" s="136"/>
      <c r="E22" s="136"/>
      <c r="F22" s="136"/>
    </row>
    <row r="23" spans="1:6" ht="12" thickBot="1" x14ac:dyDescent="0.25">
      <c r="A23" s="134"/>
      <c r="B23" s="153"/>
      <c r="C23" s="12"/>
      <c r="D23" s="136"/>
      <c r="E23" s="136"/>
      <c r="F23" s="136"/>
    </row>
    <row r="24" spans="1:6" ht="11.25" x14ac:dyDescent="0.2">
      <c r="A24" s="221">
        <f>A22+1</f>
        <v>10</v>
      </c>
      <c r="B24" s="88" t="s">
        <v>384</v>
      </c>
      <c r="C24" s="101"/>
      <c r="D24" s="136"/>
      <c r="E24" s="136"/>
      <c r="F24" s="136"/>
    </row>
    <row r="25" spans="1:6" ht="11.25" x14ac:dyDescent="0.2">
      <c r="A25" s="222"/>
      <c r="B25" s="155"/>
      <c r="C25" s="102"/>
      <c r="D25" s="136"/>
      <c r="E25" s="136"/>
      <c r="F25" s="136"/>
    </row>
    <row r="26" spans="1:6" ht="11.25" x14ac:dyDescent="0.2">
      <c r="A26" s="222">
        <f>A24+1</f>
        <v>11</v>
      </c>
      <c r="B26" s="162" t="s">
        <v>233</v>
      </c>
      <c r="C26" s="102">
        <f>C13</f>
        <v>22847467</v>
      </c>
      <c r="D26" s="136"/>
      <c r="E26" s="136"/>
      <c r="F26" s="136"/>
    </row>
    <row r="27" spans="1:6" ht="11.25" x14ac:dyDescent="0.2">
      <c r="A27" s="222">
        <f>A26+1</f>
        <v>12</v>
      </c>
      <c r="B27" s="162" t="s">
        <v>336</v>
      </c>
      <c r="C27" s="102">
        <f>C14</f>
        <v>1134084</v>
      </c>
      <c r="D27" s="136"/>
      <c r="E27" s="136"/>
      <c r="F27" s="136"/>
    </row>
    <row r="28" spans="1:6" ht="11.25" x14ac:dyDescent="0.2">
      <c r="A28" s="222">
        <f>A27+1</f>
        <v>13</v>
      </c>
      <c r="B28" s="162" t="s">
        <v>502</v>
      </c>
      <c r="C28" s="102">
        <f>C15</f>
        <v>1903837</v>
      </c>
      <c r="D28" s="136"/>
      <c r="E28" s="136"/>
      <c r="F28" s="136"/>
    </row>
    <row r="29" spans="1:6" ht="11.25" x14ac:dyDescent="0.2">
      <c r="A29" s="222">
        <f>A28+1</f>
        <v>14</v>
      </c>
      <c r="B29" s="162" t="s">
        <v>505</v>
      </c>
      <c r="C29" s="102">
        <f>C16</f>
        <v>24880</v>
      </c>
      <c r="D29" s="136"/>
      <c r="E29" s="136"/>
      <c r="F29" s="136"/>
    </row>
    <row r="30" spans="1:6" ht="11.25" x14ac:dyDescent="0.2">
      <c r="A30" s="222"/>
      <c r="B30" s="155"/>
      <c r="C30" s="102"/>
      <c r="D30" s="136"/>
      <c r="E30" s="136"/>
      <c r="F30" s="136"/>
    </row>
    <row r="31" spans="1:6" ht="11.25" x14ac:dyDescent="0.2">
      <c r="A31" s="222">
        <f>A29+1</f>
        <v>15</v>
      </c>
      <c r="B31" s="162" t="s">
        <v>385</v>
      </c>
      <c r="C31" s="102">
        <f>C20</f>
        <v>75139</v>
      </c>
      <c r="D31" s="136"/>
      <c r="E31" s="136"/>
      <c r="F31" s="136"/>
    </row>
    <row r="32" spans="1:6" ht="11.25" x14ac:dyDescent="0.2">
      <c r="A32" s="222">
        <f>A31+1</f>
        <v>16</v>
      </c>
      <c r="B32" s="162" t="s">
        <v>386</v>
      </c>
      <c r="C32" s="102">
        <f>C21</f>
        <v>652366</v>
      </c>
      <c r="D32" s="136"/>
      <c r="E32" s="136"/>
      <c r="F32" s="136"/>
    </row>
    <row r="33" spans="1:6" ht="11.25" x14ac:dyDescent="0.2">
      <c r="A33" s="222">
        <f>A32+1</f>
        <v>17</v>
      </c>
      <c r="B33" s="162" t="s">
        <v>506</v>
      </c>
      <c r="C33" s="102">
        <f>C22</f>
        <v>8637</v>
      </c>
      <c r="D33" s="136"/>
      <c r="E33" s="136"/>
      <c r="F33" s="136"/>
    </row>
    <row r="34" spans="1:6" ht="11.25" x14ac:dyDescent="0.2">
      <c r="A34" s="222"/>
      <c r="B34" s="155"/>
      <c r="C34" s="102"/>
      <c r="D34" s="136"/>
      <c r="E34" s="136"/>
      <c r="F34" s="136"/>
    </row>
    <row r="35" spans="1:6" ht="11.25" x14ac:dyDescent="0.2">
      <c r="A35" s="222">
        <f>A33+1</f>
        <v>18</v>
      </c>
      <c r="B35" s="19" t="s">
        <v>261</v>
      </c>
      <c r="C35" s="176">
        <f>C26</f>
        <v>22847467</v>
      </c>
      <c r="D35" s="136"/>
      <c r="E35" s="136"/>
      <c r="F35" s="136"/>
    </row>
    <row r="36" spans="1:6" ht="11.25" x14ac:dyDescent="0.2">
      <c r="A36" s="222">
        <f>A35+1</f>
        <v>19</v>
      </c>
      <c r="B36" s="19" t="s">
        <v>337</v>
      </c>
      <c r="C36" s="176">
        <f>C27+C31</f>
        <v>1209223</v>
      </c>
      <c r="D36" s="136"/>
      <c r="E36" s="136"/>
      <c r="F36" s="136"/>
    </row>
    <row r="37" spans="1:6" ht="11.25" x14ac:dyDescent="0.2">
      <c r="A37" s="222">
        <f>A36+1</f>
        <v>20</v>
      </c>
      <c r="B37" s="19" t="s">
        <v>387</v>
      </c>
      <c r="C37" s="176">
        <f>C28+C32</f>
        <v>2556203</v>
      </c>
      <c r="D37" s="136"/>
      <c r="E37" s="136"/>
      <c r="F37" s="136"/>
    </row>
    <row r="38" spans="1:6" ht="12" thickBot="1" x14ac:dyDescent="0.25">
      <c r="A38" s="223">
        <f>A37+1</f>
        <v>21</v>
      </c>
      <c r="B38" s="48" t="s">
        <v>507</v>
      </c>
      <c r="C38" s="177">
        <f>C29+C33</f>
        <v>33517</v>
      </c>
      <c r="D38" s="136"/>
      <c r="E38" s="136"/>
      <c r="F38" s="136"/>
    </row>
    <row r="39" spans="1:6" ht="11.25" x14ac:dyDescent="0.2">
      <c r="A39" s="77"/>
      <c r="B39" s="155"/>
      <c r="C39" s="20"/>
      <c r="D39" s="136"/>
      <c r="E39" s="136"/>
      <c r="F39" s="136"/>
    </row>
    <row r="40" spans="1:6" ht="11.25" x14ac:dyDescent="0.2">
      <c r="A40" s="134">
        <f>A38+1</f>
        <v>22</v>
      </c>
      <c r="B40" s="42" t="s">
        <v>262</v>
      </c>
      <c r="C40" s="12"/>
      <c r="D40" s="136"/>
      <c r="E40" s="136"/>
      <c r="F40" s="136"/>
    </row>
    <row r="41" spans="1:6" ht="11.25" x14ac:dyDescent="0.2">
      <c r="A41" s="134"/>
      <c r="B41" s="153"/>
      <c r="C41" s="12"/>
      <c r="D41" s="136"/>
      <c r="E41" s="136"/>
      <c r="F41" s="136"/>
    </row>
    <row r="42" spans="1:6" ht="11.25" x14ac:dyDescent="0.2">
      <c r="A42" s="134">
        <f t="shared" ref="A42" si="0">A40+1</f>
        <v>23</v>
      </c>
      <c r="B42" s="165" t="str">
        <f>B13</f>
        <v>Rider USP</v>
      </c>
      <c r="C42" s="209">
        <v>6329842</v>
      </c>
      <c r="D42" s="136"/>
      <c r="E42" s="136"/>
      <c r="F42" s="136"/>
    </row>
    <row r="43" spans="1:6" ht="11.25" x14ac:dyDescent="0.2">
      <c r="A43" s="134">
        <f>A42+1</f>
        <v>24</v>
      </c>
      <c r="B43" s="165" t="str">
        <f>B16</f>
        <v>Customer Choice</v>
      </c>
      <c r="C43" s="209">
        <v>6893</v>
      </c>
      <c r="D43" s="136"/>
      <c r="E43" s="136"/>
      <c r="F43" s="136"/>
    </row>
    <row r="44" spans="1:6" ht="11.25" x14ac:dyDescent="0.2">
      <c r="A44" s="134"/>
      <c r="B44" s="165"/>
      <c r="C44" s="209"/>
      <c r="D44" s="136"/>
      <c r="E44" s="136"/>
      <c r="F44" s="136"/>
    </row>
    <row r="45" spans="1:6" ht="11.25" x14ac:dyDescent="0.2">
      <c r="A45" s="134">
        <f>A43+1</f>
        <v>25</v>
      </c>
      <c r="B45" s="42" t="s">
        <v>508</v>
      </c>
      <c r="C45" s="209"/>
      <c r="D45" s="136"/>
      <c r="E45" s="136"/>
      <c r="F45" s="136"/>
    </row>
    <row r="46" spans="1:6" ht="11.25" x14ac:dyDescent="0.2">
      <c r="A46" s="134"/>
      <c r="B46" s="42"/>
      <c r="C46" s="209"/>
      <c r="D46" s="136"/>
      <c r="E46" s="136"/>
      <c r="F46" s="136"/>
    </row>
    <row r="47" spans="1:6" ht="11.25" x14ac:dyDescent="0.2">
      <c r="A47" s="134">
        <f>A45+1</f>
        <v>26</v>
      </c>
      <c r="B47" s="165" t="str">
        <f>B22</f>
        <v>Customer Choice</v>
      </c>
      <c r="C47" s="209">
        <v>6304</v>
      </c>
      <c r="D47" s="136"/>
      <c r="E47" s="136"/>
      <c r="F47" s="136"/>
    </row>
    <row r="48" spans="1:6" ht="12" thickBot="1" x14ac:dyDescent="0.25">
      <c r="A48" s="134"/>
      <c r="B48" s="153"/>
      <c r="C48" s="209"/>
      <c r="D48" s="136"/>
      <c r="E48" s="136"/>
      <c r="F48" s="136"/>
    </row>
    <row r="49" spans="1:6" ht="11.25" x14ac:dyDescent="0.2">
      <c r="A49" s="221">
        <f>A47+1</f>
        <v>27</v>
      </c>
      <c r="B49" s="88" t="s">
        <v>263</v>
      </c>
      <c r="C49" s="101"/>
      <c r="D49" s="233"/>
      <c r="E49" s="136"/>
      <c r="F49" s="136"/>
    </row>
    <row r="50" spans="1:6" ht="11.25" x14ac:dyDescent="0.2">
      <c r="A50" s="222"/>
      <c r="B50" s="155"/>
      <c r="C50" s="102"/>
      <c r="D50" s="233"/>
      <c r="E50" s="136"/>
      <c r="F50" s="136"/>
    </row>
    <row r="51" spans="1:6" ht="11.25" x14ac:dyDescent="0.2">
      <c r="A51" s="222">
        <f>A49+1</f>
        <v>28</v>
      </c>
      <c r="B51" s="162" t="s">
        <v>233</v>
      </c>
      <c r="C51" s="102">
        <f>C42</f>
        <v>6329842</v>
      </c>
      <c r="D51" s="233"/>
      <c r="E51" s="136"/>
      <c r="F51" s="136"/>
    </row>
    <row r="52" spans="1:6" ht="11.25" x14ac:dyDescent="0.2">
      <c r="A52" s="222">
        <f>A51+1</f>
        <v>29</v>
      </c>
      <c r="B52" s="162" t="s">
        <v>505</v>
      </c>
      <c r="C52" s="102">
        <f>C43</f>
        <v>6893</v>
      </c>
      <c r="D52" s="233"/>
      <c r="E52" s="136"/>
      <c r="F52" s="136"/>
    </row>
    <row r="53" spans="1:6" ht="11.25" x14ac:dyDescent="0.2">
      <c r="A53" s="222"/>
      <c r="B53" s="162"/>
      <c r="C53" s="102"/>
      <c r="D53" s="233"/>
      <c r="E53" s="136"/>
      <c r="F53" s="136"/>
    </row>
    <row r="54" spans="1:6" ht="11.25" x14ac:dyDescent="0.2">
      <c r="A54" s="222">
        <f>A52+1</f>
        <v>30</v>
      </c>
      <c r="B54" s="162" t="s">
        <v>506</v>
      </c>
      <c r="C54" s="102">
        <f>C47</f>
        <v>6304</v>
      </c>
      <c r="D54" s="233"/>
      <c r="E54" s="136"/>
      <c r="F54" s="136"/>
    </row>
    <row r="55" spans="1:6" ht="11.25" x14ac:dyDescent="0.2">
      <c r="A55" s="222"/>
      <c r="B55" s="155"/>
      <c r="C55" s="102"/>
      <c r="D55" s="233"/>
      <c r="E55" s="136"/>
      <c r="F55" s="136"/>
    </row>
    <row r="56" spans="1:6" ht="11.25" x14ac:dyDescent="0.2">
      <c r="A56" s="236">
        <f>A54+1</f>
        <v>31</v>
      </c>
      <c r="B56" s="19" t="s">
        <v>234</v>
      </c>
      <c r="C56" s="176">
        <f>C51</f>
        <v>6329842</v>
      </c>
      <c r="D56" s="233"/>
      <c r="E56" s="136"/>
      <c r="F56" s="136"/>
    </row>
    <row r="57" spans="1:6" ht="12" thickBot="1" x14ac:dyDescent="0.25">
      <c r="A57" s="226">
        <f>A56+1</f>
        <v>32</v>
      </c>
      <c r="B57" s="48" t="s">
        <v>509</v>
      </c>
      <c r="C57" s="177">
        <f>C52+C54</f>
        <v>13197</v>
      </c>
      <c r="D57" s="233"/>
      <c r="E57" s="136"/>
      <c r="F57" s="136"/>
    </row>
    <row r="58" spans="1:6" ht="11.25" x14ac:dyDescent="0.2">
      <c r="A58" s="235"/>
      <c r="B58" s="233"/>
      <c r="C58" s="234"/>
      <c r="D58" s="233"/>
      <c r="E58" s="136"/>
      <c r="F58" s="136"/>
    </row>
    <row r="59" spans="1:6" x14ac:dyDescent="0.15">
      <c r="A59" s="227"/>
      <c r="B59" s="136"/>
      <c r="C59" s="233"/>
      <c r="D59" s="136"/>
      <c r="E59" s="136"/>
      <c r="F59" s="136"/>
    </row>
    <row r="60" spans="1:6" x14ac:dyDescent="0.15">
      <c r="A60" s="227"/>
      <c r="B60" s="136"/>
      <c r="C60" s="233"/>
      <c r="D60" s="136"/>
      <c r="E60" s="136"/>
      <c r="F60" s="136"/>
    </row>
    <row r="61" spans="1:6" x14ac:dyDescent="0.15">
      <c r="A61" s="227"/>
      <c r="B61" s="136"/>
      <c r="C61" s="136"/>
      <c r="D61" s="136"/>
      <c r="E61" s="136"/>
      <c r="F61" s="136"/>
    </row>
    <row r="62" spans="1:6" x14ac:dyDescent="0.15">
      <c r="A62" s="227"/>
      <c r="B62" s="136"/>
      <c r="C62" s="136"/>
      <c r="D62" s="136"/>
      <c r="E62" s="136"/>
      <c r="F62" s="136"/>
    </row>
    <row r="63" spans="1:6" x14ac:dyDescent="0.15">
      <c r="C63" s="136"/>
    </row>
    <row r="64" spans="1:6" x14ac:dyDescent="0.15">
      <c r="C64" s="136"/>
    </row>
    <row r="65" spans="3:3" x14ac:dyDescent="0.15">
      <c r="C65" s="136"/>
    </row>
    <row r="66" spans="3:3" x14ac:dyDescent="0.15">
      <c r="C66" s="136"/>
    </row>
    <row r="67" spans="3:3" x14ac:dyDescent="0.15">
      <c r="C67" s="136"/>
    </row>
    <row r="68" spans="3:3" x14ac:dyDescent="0.15">
      <c r="C68" s="136"/>
    </row>
    <row r="69" spans="3:3" x14ac:dyDescent="0.15">
      <c r="C69" s="136"/>
    </row>
    <row r="70" spans="3:3" x14ac:dyDescent="0.15">
      <c r="C70" s="136"/>
    </row>
    <row r="71" spans="3:3" x14ac:dyDescent="0.15">
      <c r="C71" s="136"/>
    </row>
    <row r="72" spans="3:3" x14ac:dyDescent="0.15">
      <c r="C72" s="136"/>
    </row>
    <row r="73" spans="3:3" x14ac:dyDescent="0.15">
      <c r="C73" s="136"/>
    </row>
    <row r="74" spans="3:3" x14ac:dyDescent="0.15">
      <c r="C74" s="136"/>
    </row>
    <row r="75" spans="3:3" x14ac:dyDescent="0.15">
      <c r="C75" s="136"/>
    </row>
    <row r="76" spans="3:3" x14ac:dyDescent="0.15">
      <c r="C76" s="136"/>
    </row>
    <row r="77" spans="3:3" x14ac:dyDescent="0.15">
      <c r="C77" s="136"/>
    </row>
  </sheetData>
  <mergeCells count="4">
    <mergeCell ref="A2:B2"/>
    <mergeCell ref="A3:B3"/>
    <mergeCell ref="A5:B5"/>
    <mergeCell ref="A4:B4"/>
  </mergeCells>
  <pageMargins left="1.0900000000000001" right="0.25" top="0.56999999999999995" bottom="1" header="0.5" footer="0.5"/>
  <pageSetup scale="86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6">
    <tabColor rgb="FF92D050"/>
  </sheetPr>
  <dimension ref="A1:N391"/>
  <sheetViews>
    <sheetView zoomScale="130" zoomScaleNormal="130" zoomScaleSheetLayoutView="100" workbookViewId="0">
      <selection activeCell="F15" sqref="F15"/>
    </sheetView>
  </sheetViews>
  <sheetFormatPr defaultColWidth="10" defaultRowHeight="11.25" x14ac:dyDescent="0.2"/>
  <cols>
    <col min="1" max="1" width="6" style="134" customWidth="1"/>
    <col min="2" max="2" width="51.19921875" style="153" customWidth="1"/>
    <col min="3" max="3" width="17.59765625" style="153" customWidth="1"/>
    <col min="4" max="4" width="17" style="153" customWidth="1"/>
    <col min="5" max="5" width="13.19921875" style="153" customWidth="1"/>
    <col min="6" max="6" width="17.796875" style="153" customWidth="1"/>
    <col min="7" max="7" width="20" style="153" bestFit="1" customWidth="1"/>
    <col min="8" max="8" width="16.3984375" style="153" customWidth="1"/>
    <col min="9" max="9" width="4" style="153" customWidth="1"/>
    <col min="10" max="10" width="15.19921875" style="153" customWidth="1"/>
    <col min="11" max="11" width="65.19921875" style="153" bestFit="1" customWidth="1"/>
    <col min="12" max="12" width="10" style="153"/>
    <col min="13" max="13" width="10.796875" style="153" bestFit="1" customWidth="1"/>
    <col min="14" max="14" width="46" style="153" bestFit="1" customWidth="1"/>
    <col min="15" max="16384" width="10" style="153"/>
  </cols>
  <sheetData>
    <row r="1" spans="1:14" x14ac:dyDescent="0.2">
      <c r="G1" s="2" t="str">
        <f>adjno</f>
        <v>Exhibit No. 103</v>
      </c>
      <c r="J1" s="328" t="s">
        <v>151</v>
      </c>
      <c r="K1" s="155"/>
    </row>
    <row r="2" spans="1:14" x14ac:dyDescent="0.2">
      <c r="A2" s="353" t="str">
        <f>coname</f>
        <v>Columbia Gas of Pennsylvania, Inc.</v>
      </c>
      <c r="B2" s="353"/>
      <c r="C2" s="353"/>
      <c r="D2" s="353"/>
      <c r="E2" s="353"/>
      <c r="F2" s="353"/>
      <c r="G2" s="137" t="s">
        <v>198</v>
      </c>
      <c r="J2" s="329">
        <v>0</v>
      </c>
      <c r="K2" s="155"/>
      <c r="M2" s="330" t="s">
        <v>221</v>
      </c>
      <c r="N2" s="331"/>
    </row>
    <row r="3" spans="1:14" x14ac:dyDescent="0.2">
      <c r="A3" s="353" t="s">
        <v>264</v>
      </c>
      <c r="B3" s="353"/>
      <c r="C3" s="353"/>
      <c r="D3" s="353"/>
      <c r="E3" s="353"/>
      <c r="F3" s="353"/>
      <c r="G3" s="2" t="s">
        <v>610</v>
      </c>
      <c r="J3" s="155"/>
      <c r="K3" s="155"/>
      <c r="M3" s="332">
        <f>J9</f>
        <v>1.4229000000000001</v>
      </c>
      <c r="N3" s="91" t="s">
        <v>613</v>
      </c>
    </row>
    <row r="4" spans="1:14" x14ac:dyDescent="0.2">
      <c r="A4" s="353" t="str">
        <f>TYDESC</f>
        <v>For the 12 Months Ended December 31, 2019</v>
      </c>
      <c r="B4" s="353"/>
      <c r="C4" s="353"/>
      <c r="D4" s="353"/>
      <c r="E4" s="353"/>
      <c r="F4" s="353"/>
      <c r="G4" s="4" t="str">
        <f>Witness</f>
        <v>Witness: D. Joe Mays</v>
      </c>
      <c r="J4" s="77"/>
      <c r="K4" s="155"/>
      <c r="M4" s="334">
        <f>J10</f>
        <v>-0.18559999999999999</v>
      </c>
      <c r="N4" s="91" t="s">
        <v>614</v>
      </c>
    </row>
    <row r="5" spans="1:14" x14ac:dyDescent="0.2">
      <c r="A5" s="275"/>
      <c r="B5" s="275"/>
      <c r="C5" s="6"/>
      <c r="J5" s="330" t="s">
        <v>211</v>
      </c>
      <c r="K5" s="331"/>
      <c r="M5" s="218">
        <f>SUM(M3:M4)</f>
        <v>1.2373000000000001</v>
      </c>
      <c r="N5" s="93" t="s">
        <v>189</v>
      </c>
    </row>
    <row r="6" spans="1:14" x14ac:dyDescent="0.2">
      <c r="A6" s="275" t="s">
        <v>3</v>
      </c>
      <c r="B6" s="275"/>
      <c r="C6" s="6"/>
      <c r="D6" s="6"/>
      <c r="E6" s="6"/>
      <c r="F6" s="6"/>
      <c r="G6" s="275"/>
      <c r="J6" s="332">
        <f>'Sch1'!J6</f>
        <v>2.9502999999999999</v>
      </c>
      <c r="K6" s="333" t="s">
        <v>242</v>
      </c>
    </row>
    <row r="7" spans="1:14" x14ac:dyDescent="0.2">
      <c r="A7" s="172" t="s">
        <v>6</v>
      </c>
      <c r="B7" s="172" t="s">
        <v>7</v>
      </c>
      <c r="C7" s="172" t="s">
        <v>35</v>
      </c>
      <c r="D7" s="172" t="s">
        <v>40</v>
      </c>
      <c r="E7" s="172" t="s">
        <v>30</v>
      </c>
      <c r="F7" s="172" t="s">
        <v>31</v>
      </c>
      <c r="G7" s="172" t="s">
        <v>192</v>
      </c>
      <c r="J7" s="332">
        <f>'Sch1'!J7</f>
        <v>0</v>
      </c>
      <c r="K7" s="333" t="s">
        <v>170</v>
      </c>
    </row>
    <row r="8" spans="1:14" x14ac:dyDescent="0.2">
      <c r="A8" s="275"/>
      <c r="B8" s="6"/>
      <c r="C8" s="275" t="s">
        <v>12</v>
      </c>
      <c r="D8" s="275" t="s">
        <v>13</v>
      </c>
      <c r="E8" s="275" t="s">
        <v>32</v>
      </c>
      <c r="F8" s="275" t="s">
        <v>14</v>
      </c>
      <c r="G8" s="275" t="s">
        <v>15</v>
      </c>
      <c r="J8" s="332">
        <f>'Sch1'!J8</f>
        <v>-5.2499999999999998E-2</v>
      </c>
      <c r="K8" s="333" t="s">
        <v>243</v>
      </c>
    </row>
    <row r="9" spans="1:14" x14ac:dyDescent="0.2">
      <c r="A9" s="275"/>
      <c r="B9" s="6"/>
      <c r="C9" s="6"/>
      <c r="D9" s="275" t="s">
        <v>254</v>
      </c>
      <c r="E9" s="275" t="s">
        <v>255</v>
      </c>
      <c r="F9" s="275" t="s">
        <v>33</v>
      </c>
      <c r="G9" s="275" t="s">
        <v>255</v>
      </c>
      <c r="J9" s="332">
        <f>'Sch1'!J9</f>
        <v>1.4229000000000001</v>
      </c>
      <c r="K9" s="333" t="s">
        <v>244</v>
      </c>
    </row>
    <row r="10" spans="1:14" x14ac:dyDescent="0.2">
      <c r="C10" s="9" t="s">
        <v>277</v>
      </c>
      <c r="D10" s="9" t="s">
        <v>278</v>
      </c>
      <c r="J10" s="334">
        <f>'Sch1'!J10</f>
        <v>-0.18559999999999999</v>
      </c>
      <c r="K10" s="333" t="s">
        <v>171</v>
      </c>
    </row>
    <row r="11" spans="1:14" x14ac:dyDescent="0.2">
      <c r="C11" s="9"/>
      <c r="D11" s="9"/>
      <c r="J11" s="218">
        <f>SUM(J6:J10)</f>
        <v>4.1350999999999996</v>
      </c>
      <c r="K11" s="327" t="s">
        <v>172</v>
      </c>
    </row>
    <row r="12" spans="1:14" x14ac:dyDescent="0.2">
      <c r="C12" s="10"/>
      <c r="D12" s="10"/>
      <c r="J12" s="94"/>
      <c r="K12" s="155"/>
    </row>
    <row r="13" spans="1:14" x14ac:dyDescent="0.2">
      <c r="A13" s="134">
        <v>1</v>
      </c>
      <c r="B13" s="42" t="s">
        <v>120</v>
      </c>
      <c r="D13" s="11"/>
      <c r="E13" s="37"/>
      <c r="G13" s="158"/>
      <c r="J13" s="330" t="s">
        <v>212</v>
      </c>
      <c r="K13" s="331"/>
    </row>
    <row r="14" spans="1:14" x14ac:dyDescent="0.2">
      <c r="B14" s="14"/>
      <c r="D14" s="11"/>
      <c r="E14" s="37"/>
      <c r="G14" s="158"/>
      <c r="J14" s="218">
        <f>'Sch1'!J14</f>
        <v>0.92659999999999998</v>
      </c>
      <c r="K14" s="327" t="s">
        <v>245</v>
      </c>
    </row>
    <row r="15" spans="1:14" x14ac:dyDescent="0.2">
      <c r="A15" s="134">
        <f>A13+1</f>
        <v>2</v>
      </c>
      <c r="B15" s="153" t="s">
        <v>62</v>
      </c>
      <c r="C15" s="154">
        <f>'Sch2'!I17</f>
        <v>3633542</v>
      </c>
      <c r="D15" s="11"/>
      <c r="E15" s="66">
        <f>' SCH 8 - Rate Design'!F270</f>
        <v>18.25</v>
      </c>
      <c r="F15" s="154">
        <f>ROUND(C15*E15,0)</f>
        <v>66312142</v>
      </c>
      <c r="G15" s="158"/>
    </row>
    <row r="16" spans="1:14" x14ac:dyDescent="0.2">
      <c r="A16" s="134">
        <f t="shared" ref="A16:A26" si="0">A15+1</f>
        <v>3</v>
      </c>
      <c r="B16" s="153" t="s">
        <v>63</v>
      </c>
      <c r="C16" s="154"/>
      <c r="D16" s="11"/>
      <c r="E16" s="213"/>
      <c r="F16" s="154"/>
      <c r="G16" s="158"/>
    </row>
    <row r="17" spans="1:13" x14ac:dyDescent="0.2">
      <c r="A17" s="134">
        <f t="shared" si="0"/>
        <v>4</v>
      </c>
      <c r="B17" s="164" t="s">
        <v>41</v>
      </c>
      <c r="C17" s="154"/>
      <c r="D17" s="11">
        <f>'Sch3'!H14</f>
        <v>24988117.399999999</v>
      </c>
      <c r="E17" s="158">
        <f>' SCH 8 - Rate Design'!F273</f>
        <v>6.4139999999999997</v>
      </c>
      <c r="F17" s="154">
        <f>ROUND(D17*E17,0)</f>
        <v>160273785</v>
      </c>
      <c r="G17" s="158"/>
    </row>
    <row r="18" spans="1:13" x14ac:dyDescent="0.2">
      <c r="A18" s="134">
        <f t="shared" si="0"/>
        <v>5</v>
      </c>
      <c r="B18" s="164" t="s">
        <v>228</v>
      </c>
      <c r="C18" s="154"/>
      <c r="D18" s="11">
        <f>SUM(D17:D17)</f>
        <v>24988117.399999999</v>
      </c>
      <c r="E18" s="158">
        <f>' SCH 8 - Rate Design'!F280</f>
        <v>1.0008999999999999</v>
      </c>
      <c r="F18" s="154">
        <f>ROUND(D18*E18,0)</f>
        <v>25010607</v>
      </c>
      <c r="G18" s="158"/>
    </row>
    <row r="19" spans="1:13" x14ac:dyDescent="0.2">
      <c r="A19" s="134">
        <f t="shared" si="0"/>
        <v>6</v>
      </c>
      <c r="B19" s="164" t="s">
        <v>441</v>
      </c>
      <c r="C19" s="154"/>
      <c r="D19" s="11">
        <f>D17</f>
        <v>24988117.399999999</v>
      </c>
      <c r="E19" s="206">
        <v>1E-3</v>
      </c>
      <c r="F19" s="154">
        <f>ROUND(D19*E19,0)</f>
        <v>24988</v>
      </c>
      <c r="G19" s="158"/>
    </row>
    <row r="20" spans="1:13" x14ac:dyDescent="0.2">
      <c r="A20" s="134">
        <f t="shared" si="0"/>
        <v>7</v>
      </c>
      <c r="B20" s="164" t="s">
        <v>292</v>
      </c>
      <c r="C20" s="154"/>
      <c r="D20" s="11">
        <f>D17</f>
        <v>24988117.399999999</v>
      </c>
      <c r="E20" s="206">
        <v>6.9500000000000006E-2</v>
      </c>
      <c r="F20" s="156">
        <f t="shared" ref="F20" si="1">ROUND(D20*E20,0)</f>
        <v>1736674</v>
      </c>
      <c r="G20" s="158"/>
    </row>
    <row r="21" spans="1:13" x14ac:dyDescent="0.2">
      <c r="A21" s="134">
        <f t="shared" si="0"/>
        <v>8</v>
      </c>
      <c r="B21" s="27" t="s">
        <v>65</v>
      </c>
      <c r="C21" s="154"/>
      <c r="D21" s="11"/>
      <c r="E21" s="157"/>
      <c r="F21" s="154">
        <f>SUM(F15:F20)</f>
        <v>253358196</v>
      </c>
      <c r="G21" s="158"/>
    </row>
    <row r="22" spans="1:13" x14ac:dyDescent="0.2">
      <c r="A22" s="134">
        <f t="shared" si="0"/>
        <v>9</v>
      </c>
      <c r="B22" s="164" t="s">
        <v>151</v>
      </c>
      <c r="C22" s="154"/>
      <c r="D22" s="11"/>
      <c r="E22" s="157"/>
      <c r="F22" s="156">
        <f>ROUND((F21)*$J$2,0)</f>
        <v>0</v>
      </c>
      <c r="G22" s="158"/>
    </row>
    <row r="23" spans="1:13" x14ac:dyDescent="0.2">
      <c r="A23" s="134">
        <f t="shared" si="0"/>
        <v>10</v>
      </c>
      <c r="B23" s="153" t="s">
        <v>152</v>
      </c>
      <c r="C23" s="154"/>
      <c r="D23" s="11"/>
      <c r="E23" s="157"/>
      <c r="F23" s="154">
        <f>SUM(F21:F22)</f>
        <v>253358196</v>
      </c>
      <c r="G23" s="158"/>
    </row>
    <row r="24" spans="1:13" x14ac:dyDescent="0.2">
      <c r="A24" s="134">
        <f t="shared" si="0"/>
        <v>11</v>
      </c>
      <c r="B24" s="164" t="s">
        <v>66</v>
      </c>
      <c r="C24" s="154"/>
      <c r="D24" s="11">
        <f>D18</f>
        <v>24988117.399999999</v>
      </c>
      <c r="E24" s="158">
        <f>$J$11</f>
        <v>4.1350999999999996</v>
      </c>
      <c r="F24" s="154">
        <f>ROUND(D24*E24,0)</f>
        <v>103328364</v>
      </c>
      <c r="G24" s="158"/>
      <c r="J24" s="155"/>
      <c r="K24" s="155"/>
      <c r="L24" s="155"/>
      <c r="M24" s="155"/>
    </row>
    <row r="25" spans="1:13" x14ac:dyDescent="0.2">
      <c r="A25" s="134">
        <f t="shared" si="0"/>
        <v>12</v>
      </c>
      <c r="B25" s="164" t="s">
        <v>323</v>
      </c>
      <c r="C25" s="154"/>
      <c r="D25" s="11">
        <f>D24</f>
        <v>24988117.399999999</v>
      </c>
      <c r="E25" s="158">
        <f>'Sch1'!E25</f>
        <v>4.1399999999999999E-2</v>
      </c>
      <c r="F25" s="156">
        <f>ROUND(D25*E25,0)</f>
        <v>1034508</v>
      </c>
      <c r="G25" s="158"/>
      <c r="J25" s="155"/>
      <c r="K25" s="155"/>
      <c r="L25" s="155"/>
      <c r="M25" s="155"/>
    </row>
    <row r="26" spans="1:13" x14ac:dyDescent="0.2">
      <c r="A26" s="134">
        <f t="shared" si="0"/>
        <v>13</v>
      </c>
      <c r="B26" s="14" t="s">
        <v>129</v>
      </c>
      <c r="C26" s="154">
        <f>C15</f>
        <v>3633542</v>
      </c>
      <c r="D26" s="11">
        <f>D17</f>
        <v>24988117.399999999</v>
      </c>
      <c r="E26" s="157"/>
      <c r="F26" s="154">
        <f>SUM(F23:F25)</f>
        <v>357721068</v>
      </c>
      <c r="G26" s="158">
        <f>ROUND(F26/D26,4)</f>
        <v>14.3156</v>
      </c>
    </row>
    <row r="27" spans="1:13" x14ac:dyDescent="0.2">
      <c r="C27" s="154"/>
      <c r="D27" s="11"/>
      <c r="E27" s="157"/>
      <c r="F27" s="154"/>
      <c r="G27" s="158"/>
      <c r="J27" s="107"/>
      <c r="K27" s="155"/>
      <c r="L27" s="155"/>
      <c r="M27" s="155"/>
    </row>
    <row r="28" spans="1:13" x14ac:dyDescent="0.2">
      <c r="A28" s="134">
        <f>A26+1</f>
        <v>14</v>
      </c>
      <c r="B28" s="42" t="s">
        <v>618</v>
      </c>
      <c r="C28" s="154"/>
      <c r="D28" s="11"/>
      <c r="E28" s="157"/>
      <c r="F28" s="154"/>
      <c r="G28" s="158"/>
      <c r="J28" s="46"/>
      <c r="K28" s="155"/>
      <c r="L28" s="155"/>
      <c r="M28" s="155"/>
    </row>
    <row r="29" spans="1:13" x14ac:dyDescent="0.2">
      <c r="B29" s="13"/>
      <c r="C29" s="154"/>
      <c r="D29" s="11"/>
      <c r="E29" s="157"/>
      <c r="F29" s="154"/>
      <c r="G29" s="158"/>
    </row>
    <row r="30" spans="1:13" x14ac:dyDescent="0.2">
      <c r="A30" s="134">
        <f>A28+1</f>
        <v>15</v>
      </c>
      <c r="B30" s="27" t="str">
        <f>$B$15</f>
        <v>Customer Charge</v>
      </c>
      <c r="C30" s="154">
        <f>'Sch2'!I23</f>
        <v>272190</v>
      </c>
      <c r="D30" s="11"/>
      <c r="E30" s="66">
        <f>$E$15</f>
        <v>18.25</v>
      </c>
      <c r="F30" s="154">
        <f>ROUND(C30*E30,0)</f>
        <v>4967468</v>
      </c>
      <c r="G30" s="158"/>
    </row>
    <row r="31" spans="1:13" x14ac:dyDescent="0.2">
      <c r="A31" s="134">
        <f t="shared" ref="A31:A40" si="2">A30+1</f>
        <v>16</v>
      </c>
      <c r="B31" s="27" t="str">
        <f>$B$16</f>
        <v>Commodity Charge:</v>
      </c>
      <c r="C31" s="154"/>
      <c r="D31" s="11"/>
      <c r="E31" s="157"/>
      <c r="F31" s="154"/>
      <c r="G31" s="158"/>
    </row>
    <row r="32" spans="1:13" x14ac:dyDescent="0.2">
      <c r="A32" s="134">
        <f t="shared" si="2"/>
        <v>17</v>
      </c>
      <c r="B32" s="164" t="s">
        <v>41</v>
      </c>
      <c r="C32" s="154"/>
      <c r="D32" s="11">
        <f>'Sch3'!H19</f>
        <v>2524483.6</v>
      </c>
      <c r="E32" s="158">
        <f>E17</f>
        <v>6.4139999999999997</v>
      </c>
      <c r="F32" s="154">
        <f>ROUND(D32*E32,0)</f>
        <v>16192038</v>
      </c>
      <c r="G32" s="158"/>
    </row>
    <row r="33" spans="1:8" x14ac:dyDescent="0.2">
      <c r="A33" s="134">
        <f t="shared" si="2"/>
        <v>18</v>
      </c>
      <c r="B33" s="164" t="s">
        <v>223</v>
      </c>
      <c r="C33" s="154"/>
      <c r="D33" s="11"/>
      <c r="E33" s="158"/>
      <c r="F33" s="346">
        <f>('Sch1'!F30+'Sch1'!F32)-F30-F32</f>
        <v>-2635890</v>
      </c>
      <c r="G33" s="158"/>
    </row>
    <row r="34" spans="1:8" x14ac:dyDescent="0.2">
      <c r="A34" s="134">
        <f t="shared" si="2"/>
        <v>19</v>
      </c>
      <c r="B34" s="164" t="s">
        <v>292</v>
      </c>
      <c r="C34" s="154"/>
      <c r="D34" s="11">
        <f>D32</f>
        <v>2524483.6</v>
      </c>
      <c r="E34" s="158">
        <f>E20</f>
        <v>6.9500000000000006E-2</v>
      </c>
      <c r="F34" s="156">
        <f>ROUND(D34*E34,0)</f>
        <v>175452</v>
      </c>
      <c r="G34" s="158"/>
    </row>
    <row r="35" spans="1:8" x14ac:dyDescent="0.2">
      <c r="A35" s="134">
        <f t="shared" si="2"/>
        <v>20</v>
      </c>
      <c r="B35" s="27" t="str">
        <f>$B$21</f>
        <v>Subtotal</v>
      </c>
      <c r="C35" s="154"/>
      <c r="D35" s="11"/>
      <c r="E35" s="157"/>
      <c r="F35" s="154">
        <f>SUM(F30:F34)</f>
        <v>18699068</v>
      </c>
      <c r="G35" s="158"/>
    </row>
    <row r="36" spans="1:8" x14ac:dyDescent="0.2">
      <c r="A36" s="134">
        <f t="shared" si="2"/>
        <v>21</v>
      </c>
      <c r="B36" s="164" t="str">
        <f>$B$22</f>
        <v>STAS</v>
      </c>
      <c r="C36" s="154"/>
      <c r="D36" s="11"/>
      <c r="E36" s="157"/>
      <c r="F36" s="156">
        <f>ROUND((F35)*$J$2,0)</f>
        <v>0</v>
      </c>
      <c r="G36" s="158"/>
    </row>
    <row r="37" spans="1:8" x14ac:dyDescent="0.2">
      <c r="A37" s="134">
        <f t="shared" si="2"/>
        <v>22</v>
      </c>
      <c r="B37" s="153" t="str">
        <f>$B$23</f>
        <v>Base Rate Revenue</v>
      </c>
      <c r="C37" s="154"/>
      <c r="D37" s="11"/>
      <c r="E37" s="157"/>
      <c r="F37" s="154">
        <f>SUM(F35:F36)</f>
        <v>18699068</v>
      </c>
      <c r="G37" s="158"/>
    </row>
    <row r="38" spans="1:8" x14ac:dyDescent="0.2">
      <c r="A38" s="134">
        <f t="shared" si="2"/>
        <v>23</v>
      </c>
      <c r="B38" s="164" t="str">
        <f>$B$24</f>
        <v>Gas Cost</v>
      </c>
      <c r="C38" s="154"/>
      <c r="D38" s="11">
        <f>D32</f>
        <v>2524483.6</v>
      </c>
      <c r="E38" s="158">
        <f>$J$11</f>
        <v>4.1350999999999996</v>
      </c>
      <c r="F38" s="154">
        <f>ROUND(D38*E38,0)</f>
        <v>10438992</v>
      </c>
      <c r="G38" s="158"/>
    </row>
    <row r="39" spans="1:8" x14ac:dyDescent="0.2">
      <c r="A39" s="134">
        <f t="shared" si="2"/>
        <v>24</v>
      </c>
      <c r="B39" s="164" t="str">
        <f>B25</f>
        <v>Merchant Function Charge</v>
      </c>
      <c r="C39" s="154"/>
      <c r="D39" s="11">
        <f>D38</f>
        <v>2524483.6</v>
      </c>
      <c r="E39" s="158">
        <f>$E$25</f>
        <v>4.1399999999999999E-2</v>
      </c>
      <c r="F39" s="156">
        <f>ROUND(D39*E39,0)</f>
        <v>104514</v>
      </c>
      <c r="G39" s="158"/>
    </row>
    <row r="40" spans="1:8" x14ac:dyDescent="0.2">
      <c r="A40" s="134">
        <f t="shared" si="2"/>
        <v>25</v>
      </c>
      <c r="B40" s="14" t="s">
        <v>619</v>
      </c>
      <c r="C40" s="154">
        <f>C30</f>
        <v>272190</v>
      </c>
      <c r="D40" s="11">
        <f>D32</f>
        <v>2524483.6</v>
      </c>
      <c r="E40" s="157"/>
      <c r="F40" s="154">
        <f>SUM(F37:F39)</f>
        <v>29242574</v>
      </c>
      <c r="G40" s="158">
        <f>ROUND(F40/D40,4)</f>
        <v>11.583600000000001</v>
      </c>
    </row>
    <row r="41" spans="1:8" x14ac:dyDescent="0.2">
      <c r="B41" s="14"/>
      <c r="C41" s="154"/>
      <c r="D41" s="11"/>
      <c r="E41" s="157"/>
      <c r="F41" s="154"/>
      <c r="G41" s="158"/>
    </row>
    <row r="42" spans="1:8" x14ac:dyDescent="0.2">
      <c r="A42" s="134">
        <f>A40+1</f>
        <v>26</v>
      </c>
      <c r="B42" s="34" t="s">
        <v>548</v>
      </c>
      <c r="C42" s="154"/>
      <c r="D42" s="11"/>
      <c r="E42" s="157"/>
      <c r="F42" s="154"/>
      <c r="G42" s="158"/>
    </row>
    <row r="43" spans="1:8" x14ac:dyDescent="0.2">
      <c r="B43" s="13"/>
      <c r="C43" s="154"/>
      <c r="D43" s="11"/>
      <c r="E43" s="157"/>
      <c r="F43" s="154"/>
      <c r="G43" s="158"/>
    </row>
    <row r="44" spans="1:8" x14ac:dyDescent="0.2">
      <c r="A44" s="134">
        <f>A42+1</f>
        <v>27</v>
      </c>
      <c r="B44" s="27" t="s">
        <v>64</v>
      </c>
      <c r="G44" s="158"/>
    </row>
    <row r="45" spans="1:8" x14ac:dyDescent="0.2">
      <c r="A45" s="134">
        <f>A44+1</f>
        <v>28</v>
      </c>
      <c r="B45" s="166" t="s">
        <v>419</v>
      </c>
      <c r="C45" s="154">
        <f>'Sch2'!I29+'Sch2'!I33</f>
        <v>287206</v>
      </c>
      <c r="D45" s="11"/>
      <c r="E45" s="66">
        <f>' SCH 8 - Rate Design'!F304</f>
        <v>22.75</v>
      </c>
      <c r="F45" s="154">
        <f>ROUND(C45*E45,0)</f>
        <v>6533937</v>
      </c>
      <c r="G45" s="158"/>
      <c r="H45" s="154"/>
    </row>
    <row r="46" spans="1:8" x14ac:dyDescent="0.2">
      <c r="A46" s="134">
        <f t="shared" ref="A46:A55" si="3">A45+1</f>
        <v>29</v>
      </c>
      <c r="B46" s="27" t="str">
        <f>$B$16</f>
        <v>Commodity Charge:</v>
      </c>
      <c r="C46" s="154"/>
      <c r="D46" s="11"/>
      <c r="E46" s="213"/>
      <c r="F46" s="154"/>
      <c r="G46" s="158"/>
    </row>
    <row r="47" spans="1:8" x14ac:dyDescent="0.2">
      <c r="A47" s="134">
        <f t="shared" si="3"/>
        <v>30</v>
      </c>
      <c r="B47" s="164" t="str">
        <f>B45</f>
        <v>≤ 6,440 Therms Annually</v>
      </c>
      <c r="C47" s="154"/>
      <c r="D47" s="11">
        <f>'Sch3'!H26+'Sch3'!H30</f>
        <v>4812979.1000000006</v>
      </c>
      <c r="E47" s="158">
        <f>' SCH 8 - Rate Design'!F314</f>
        <v>4.3643000000000001</v>
      </c>
      <c r="F47" s="154">
        <f>ROUND(D47*E47,0)</f>
        <v>21005285</v>
      </c>
      <c r="G47" s="158"/>
    </row>
    <row r="48" spans="1:8" x14ac:dyDescent="0.2">
      <c r="A48" s="134">
        <f t="shared" si="3"/>
        <v>31</v>
      </c>
      <c r="B48" s="164" t="s">
        <v>441</v>
      </c>
      <c r="C48" s="154"/>
      <c r="D48" s="11">
        <f>D47</f>
        <v>4812979.1000000006</v>
      </c>
      <c r="E48" s="158">
        <f>E19</f>
        <v>1E-3</v>
      </c>
      <c r="F48" s="154">
        <f>ROUND(D48*E48,0)</f>
        <v>4813</v>
      </c>
      <c r="G48" s="158"/>
    </row>
    <row r="49" spans="1:7" x14ac:dyDescent="0.2">
      <c r="A49" s="134">
        <f t="shared" si="3"/>
        <v>32</v>
      </c>
      <c r="B49" s="164" t="s">
        <v>292</v>
      </c>
      <c r="C49" s="154"/>
      <c r="D49" s="11">
        <f>D48</f>
        <v>4812979.1000000006</v>
      </c>
      <c r="E49" s="158">
        <f>E34</f>
        <v>6.9500000000000006E-2</v>
      </c>
      <c r="F49" s="156">
        <f>ROUND(D49*E49,0)</f>
        <v>334502</v>
      </c>
      <c r="G49" s="158"/>
    </row>
    <row r="50" spans="1:7" x14ac:dyDescent="0.2">
      <c r="A50" s="134">
        <f t="shared" si="3"/>
        <v>33</v>
      </c>
      <c r="B50" s="27" t="str">
        <f>$B$21</f>
        <v>Subtotal</v>
      </c>
      <c r="C50" s="154"/>
      <c r="D50" s="11"/>
      <c r="E50" s="157"/>
      <c r="F50" s="154">
        <f>SUM(F45:F49)</f>
        <v>27878537</v>
      </c>
      <c r="G50" s="158"/>
    </row>
    <row r="51" spans="1:7" x14ac:dyDescent="0.2">
      <c r="A51" s="134">
        <f t="shared" si="3"/>
        <v>34</v>
      </c>
      <c r="B51" s="164" t="str">
        <f>$B$22</f>
        <v>STAS</v>
      </c>
      <c r="C51" s="154"/>
      <c r="D51" s="11"/>
      <c r="E51" s="157"/>
      <c r="F51" s="156">
        <f>ROUND((F50)*$J$2,0)</f>
        <v>0</v>
      </c>
      <c r="G51" s="158"/>
    </row>
    <row r="52" spans="1:7" x14ac:dyDescent="0.2">
      <c r="A52" s="134">
        <f t="shared" si="3"/>
        <v>35</v>
      </c>
      <c r="B52" s="153" t="str">
        <f>$B$23</f>
        <v>Base Rate Revenue</v>
      </c>
      <c r="C52" s="154"/>
      <c r="D52" s="11"/>
      <c r="E52" s="157"/>
      <c r="F52" s="154">
        <f>SUM(F50:F51)</f>
        <v>27878537</v>
      </c>
      <c r="G52" s="158"/>
    </row>
    <row r="53" spans="1:7" x14ac:dyDescent="0.2">
      <c r="A53" s="134">
        <f t="shared" si="3"/>
        <v>36</v>
      </c>
      <c r="B53" s="164" t="str">
        <f>$B$24</f>
        <v>Gas Cost</v>
      </c>
      <c r="C53" s="154"/>
      <c r="D53" s="11">
        <f>D49</f>
        <v>4812979.1000000006</v>
      </c>
      <c r="E53" s="158">
        <f>$J$11</f>
        <v>4.1350999999999996</v>
      </c>
      <c r="F53" s="154">
        <f>ROUND(D53*E53,0)</f>
        <v>19902150</v>
      </c>
      <c r="G53" s="158"/>
    </row>
    <row r="54" spans="1:7" x14ac:dyDescent="0.2">
      <c r="A54" s="134">
        <f t="shared" si="3"/>
        <v>37</v>
      </c>
      <c r="B54" s="164" t="str">
        <f>B25</f>
        <v>Merchant Function Charge</v>
      </c>
      <c r="C54" s="154"/>
      <c r="D54" s="11">
        <f>D49</f>
        <v>4812979.1000000006</v>
      </c>
      <c r="E54" s="158">
        <f>'Sch1'!E53</f>
        <v>8.6999999999999994E-3</v>
      </c>
      <c r="F54" s="156">
        <f>ROUND(D54*E54,0)</f>
        <v>41873</v>
      </c>
      <c r="G54" s="158"/>
    </row>
    <row r="55" spans="1:7" x14ac:dyDescent="0.2">
      <c r="A55" s="134">
        <f t="shared" si="3"/>
        <v>38</v>
      </c>
      <c r="B55" s="14" t="s">
        <v>122</v>
      </c>
      <c r="C55" s="154">
        <f>C45</f>
        <v>287206</v>
      </c>
      <c r="D55" s="31">
        <f>D49</f>
        <v>4812979.1000000006</v>
      </c>
      <c r="E55" s="157"/>
      <c r="F55" s="154">
        <f>SUM(F52:F54)</f>
        <v>47822560</v>
      </c>
      <c r="G55" s="158">
        <f>ROUND(F55/D55,4)</f>
        <v>9.9361999999999995</v>
      </c>
    </row>
    <row r="56" spans="1:7" x14ac:dyDescent="0.2">
      <c r="B56" s="166"/>
      <c r="C56" s="154"/>
      <c r="D56" s="11"/>
      <c r="E56" s="66"/>
      <c r="F56" s="154"/>
      <c r="G56" s="158"/>
    </row>
    <row r="57" spans="1:7" x14ac:dyDescent="0.2">
      <c r="A57" s="134">
        <f>A55+1</f>
        <v>39</v>
      </c>
      <c r="B57" s="34" t="s">
        <v>547</v>
      </c>
      <c r="C57" s="154"/>
      <c r="D57" s="11"/>
      <c r="E57" s="66"/>
      <c r="F57" s="154"/>
      <c r="G57" s="158"/>
    </row>
    <row r="58" spans="1:7" x14ac:dyDescent="0.2">
      <c r="B58" s="166"/>
      <c r="C58" s="154"/>
      <c r="D58" s="11"/>
      <c r="E58" s="66"/>
      <c r="F58" s="154"/>
      <c r="G58" s="158"/>
    </row>
    <row r="59" spans="1:7" x14ac:dyDescent="0.2">
      <c r="A59" s="134">
        <f>A57+1</f>
        <v>40</v>
      </c>
      <c r="B59" s="27" t="s">
        <v>64</v>
      </c>
      <c r="D59" s="11"/>
      <c r="E59" s="66"/>
      <c r="F59" s="154"/>
      <c r="G59" s="158"/>
    </row>
    <row r="60" spans="1:7" x14ac:dyDescent="0.2">
      <c r="A60" s="134">
        <f>A59+1</f>
        <v>41</v>
      </c>
      <c r="B60" s="167" t="s">
        <v>414</v>
      </c>
      <c r="C60" s="154">
        <f>'Sch2'!I41+'Sch2'!I45</f>
        <v>31073</v>
      </c>
      <c r="D60" s="11"/>
      <c r="E60" s="66">
        <f>' SCH 8 - Rate Design'!F343</f>
        <v>48</v>
      </c>
      <c r="F60" s="154">
        <f>ROUND(C60*E60,0)</f>
        <v>1491504</v>
      </c>
      <c r="G60" s="158"/>
    </row>
    <row r="61" spans="1:7" x14ac:dyDescent="0.2">
      <c r="A61" s="134">
        <f t="shared" ref="A61:A71" si="4">A60+1</f>
        <v>42</v>
      </c>
      <c r="B61" s="27" t="str">
        <f>$B$16</f>
        <v>Commodity Charge:</v>
      </c>
      <c r="G61" s="158"/>
    </row>
    <row r="62" spans="1:7" x14ac:dyDescent="0.2">
      <c r="A62" s="134">
        <f t="shared" si="4"/>
        <v>43</v>
      </c>
      <c r="B62" s="164" t="str">
        <f>B60</f>
        <v>&gt; 6,440 to ≤ 64,400 Therms Annually</v>
      </c>
      <c r="C62" s="154"/>
      <c r="D62" s="29">
        <f>'Sch3'!H38+'Sch3'!H42</f>
        <v>4055013.8000000003</v>
      </c>
      <c r="E62" s="158">
        <f>' SCH 8 - Rate Design'!F353</f>
        <v>3.8081999999999998</v>
      </c>
      <c r="F62" s="154">
        <f>ROUND(D62*E62,0)</f>
        <v>15442304</v>
      </c>
      <c r="G62" s="158"/>
    </row>
    <row r="63" spans="1:7" x14ac:dyDescent="0.2">
      <c r="A63" s="134">
        <f t="shared" si="4"/>
        <v>44</v>
      </c>
      <c r="B63" s="164" t="s">
        <v>441</v>
      </c>
      <c r="C63" s="154"/>
      <c r="D63" s="11">
        <f>D62</f>
        <v>4055013.8000000003</v>
      </c>
      <c r="E63" s="158">
        <f>E48</f>
        <v>1E-3</v>
      </c>
      <c r="F63" s="154">
        <f>ROUND(D63*E63,0)</f>
        <v>4055</v>
      </c>
      <c r="G63" s="158"/>
    </row>
    <row r="64" spans="1:7" x14ac:dyDescent="0.2">
      <c r="A64" s="134">
        <f t="shared" si="4"/>
        <v>45</v>
      </c>
      <c r="B64" s="164" t="s">
        <v>292</v>
      </c>
      <c r="C64" s="154"/>
      <c r="D64" s="11">
        <f>D63</f>
        <v>4055013.8000000003</v>
      </c>
      <c r="E64" s="158">
        <f>E49</f>
        <v>6.9500000000000006E-2</v>
      </c>
      <c r="F64" s="154">
        <f>ROUND(D64*E64,0)</f>
        <v>281823</v>
      </c>
      <c r="G64" s="158"/>
    </row>
    <row r="65" spans="1:7" x14ac:dyDescent="0.2">
      <c r="A65" s="134">
        <f t="shared" si="4"/>
        <v>46</v>
      </c>
      <c r="B65" s="166" t="s">
        <v>641</v>
      </c>
      <c r="C65" s="151">
        <f>ROUND(25*12,0)</f>
        <v>300</v>
      </c>
      <c r="D65" s="11"/>
      <c r="E65" s="66">
        <f>' SCH 8 - Rate Design'!F341</f>
        <v>319.60000000000002</v>
      </c>
      <c r="F65" s="156">
        <f>ROUND(C65*E65,0)</f>
        <v>95880</v>
      </c>
      <c r="G65" s="158"/>
    </row>
    <row r="66" spans="1:7" x14ac:dyDescent="0.2">
      <c r="A66" s="134">
        <f t="shared" si="4"/>
        <v>47</v>
      </c>
      <c r="B66" s="27" t="str">
        <f>$B$21</f>
        <v>Subtotal</v>
      </c>
      <c r="C66" s="154"/>
      <c r="D66" s="11"/>
      <c r="E66" s="157"/>
      <c r="F66" s="154">
        <f>SUM(F60:F65)</f>
        <v>17315566</v>
      </c>
      <c r="G66" s="158"/>
    </row>
    <row r="67" spans="1:7" x14ac:dyDescent="0.2">
      <c r="A67" s="134">
        <f t="shared" si="4"/>
        <v>48</v>
      </c>
      <c r="B67" s="164" t="str">
        <f>$B$22</f>
        <v>STAS</v>
      </c>
      <c r="C67" s="154"/>
      <c r="D67" s="11"/>
      <c r="E67" s="157"/>
      <c r="F67" s="156">
        <f>ROUND((F66)*$J$2,0)</f>
        <v>0</v>
      </c>
      <c r="G67" s="158"/>
    </row>
    <row r="68" spans="1:7" x14ac:dyDescent="0.2">
      <c r="A68" s="134">
        <f t="shared" si="4"/>
        <v>49</v>
      </c>
      <c r="B68" s="153" t="str">
        <f>$B$23</f>
        <v>Base Rate Revenue</v>
      </c>
      <c r="C68" s="154"/>
      <c r="D68" s="11"/>
      <c r="E68" s="157"/>
      <c r="F68" s="154">
        <f>SUM(F66:F67)</f>
        <v>17315566</v>
      </c>
      <c r="G68" s="158"/>
    </row>
    <row r="69" spans="1:7" x14ac:dyDescent="0.2">
      <c r="A69" s="134">
        <f t="shared" si="4"/>
        <v>50</v>
      </c>
      <c r="B69" s="164" t="str">
        <f>$B$24</f>
        <v>Gas Cost</v>
      </c>
      <c r="C69" s="154"/>
      <c r="D69" s="11">
        <f>D64</f>
        <v>4055013.8000000003</v>
      </c>
      <c r="E69" s="158">
        <f>$J$11</f>
        <v>4.1350999999999996</v>
      </c>
      <c r="F69" s="154">
        <f>ROUND(D69*E69,0)</f>
        <v>16767888</v>
      </c>
      <c r="G69" s="158"/>
    </row>
    <row r="70" spans="1:7" x14ac:dyDescent="0.2">
      <c r="A70" s="134">
        <f t="shared" si="4"/>
        <v>51</v>
      </c>
      <c r="B70" s="164" t="str">
        <f>B39</f>
        <v>Merchant Function Charge</v>
      </c>
      <c r="C70" s="154"/>
      <c r="D70" s="11">
        <f>D64</f>
        <v>4055013.8000000003</v>
      </c>
      <c r="E70" s="158">
        <f>E54</f>
        <v>8.6999999999999994E-3</v>
      </c>
      <c r="F70" s="156">
        <f>ROUND(D70*E70,0)</f>
        <v>35279</v>
      </c>
      <c r="G70" s="158"/>
    </row>
    <row r="71" spans="1:7" x14ac:dyDescent="0.2">
      <c r="A71" s="134">
        <f t="shared" si="4"/>
        <v>52</v>
      </c>
      <c r="B71" s="14" t="s">
        <v>122</v>
      </c>
      <c r="C71" s="154">
        <f>C60</f>
        <v>31073</v>
      </c>
      <c r="D71" s="31">
        <f>D64</f>
        <v>4055013.8000000003</v>
      </c>
      <c r="E71" s="157"/>
      <c r="F71" s="154">
        <f>SUM(F68:F70)</f>
        <v>34118733</v>
      </c>
      <c r="G71" s="158">
        <f>ROUND(F71/D71,4)</f>
        <v>8.4139999999999997</v>
      </c>
    </row>
    <row r="72" spans="1:7" x14ac:dyDescent="0.2">
      <c r="C72" s="154"/>
      <c r="D72" s="31"/>
      <c r="E72" s="157"/>
      <c r="F72" s="154"/>
      <c r="G72" s="158"/>
    </row>
    <row r="73" spans="1:7" x14ac:dyDescent="0.2">
      <c r="C73" s="154"/>
      <c r="D73" s="11"/>
      <c r="E73" s="157"/>
      <c r="F73" s="154"/>
      <c r="G73" s="2" t="str">
        <f>adjno</f>
        <v>Exhibit No. 103</v>
      </c>
    </row>
    <row r="74" spans="1:7" x14ac:dyDescent="0.2">
      <c r="A74" s="353" t="str">
        <f>coname</f>
        <v>Columbia Gas of Pennsylvania, Inc.</v>
      </c>
      <c r="B74" s="353"/>
      <c r="C74" s="353"/>
      <c r="D74" s="353"/>
      <c r="E74" s="353"/>
      <c r="F74" s="353"/>
      <c r="G74" s="2" t="str">
        <f>$G$2</f>
        <v>Schedule No. 7</v>
      </c>
    </row>
    <row r="75" spans="1:7" x14ac:dyDescent="0.2">
      <c r="A75" s="353" t="str">
        <f>A3</f>
        <v>Revenue @ Proposed Rates Based on Forecast Adjusted Bills and Volumes</v>
      </c>
      <c r="B75" s="353"/>
      <c r="C75" s="353"/>
      <c r="D75" s="353"/>
      <c r="E75" s="353"/>
      <c r="F75" s="353"/>
      <c r="G75" s="2" t="s">
        <v>606</v>
      </c>
    </row>
    <row r="76" spans="1:7" x14ac:dyDescent="0.2">
      <c r="A76" s="353" t="str">
        <f>TYDESC</f>
        <v>For the 12 Months Ended December 31, 2019</v>
      </c>
      <c r="B76" s="353"/>
      <c r="C76" s="353"/>
      <c r="D76" s="353"/>
      <c r="E76" s="353"/>
      <c r="F76" s="353"/>
      <c r="G76" s="4" t="str">
        <f>'Sch1'!$G$4</f>
        <v>Witness: D. Joe Mays</v>
      </c>
    </row>
    <row r="77" spans="1:7" x14ac:dyDescent="0.2">
      <c r="A77" s="275"/>
      <c r="B77" s="275"/>
      <c r="C77" s="6"/>
    </row>
    <row r="78" spans="1:7" x14ac:dyDescent="0.2">
      <c r="A78" s="275" t="s">
        <v>3</v>
      </c>
      <c r="B78" s="275"/>
      <c r="C78" s="6"/>
      <c r="D78" s="6"/>
      <c r="E78" s="6"/>
      <c r="F78" s="6"/>
      <c r="G78" s="275"/>
    </row>
    <row r="79" spans="1:7" x14ac:dyDescent="0.2">
      <c r="A79" s="172" t="s">
        <v>6</v>
      </c>
      <c r="B79" s="172" t="s">
        <v>7</v>
      </c>
      <c r="C79" s="172" t="s">
        <v>35</v>
      </c>
      <c r="D79" s="172" t="s">
        <v>40</v>
      </c>
      <c r="E79" s="172" t="s">
        <v>30</v>
      </c>
      <c r="F79" s="172" t="s">
        <v>31</v>
      </c>
      <c r="G79" s="172" t="s">
        <v>192</v>
      </c>
    </row>
    <row r="80" spans="1:7" x14ac:dyDescent="0.2">
      <c r="A80" s="275"/>
      <c r="B80" s="6"/>
      <c r="C80" s="275" t="s">
        <v>12</v>
      </c>
      <c r="D80" s="275" t="s">
        <v>13</v>
      </c>
      <c r="E80" s="275" t="s">
        <v>32</v>
      </c>
      <c r="F80" s="275" t="s">
        <v>14</v>
      </c>
      <c r="G80" s="275" t="s">
        <v>15</v>
      </c>
    </row>
    <row r="81" spans="1:7" x14ac:dyDescent="0.2">
      <c r="A81" s="275"/>
      <c r="B81" s="6"/>
      <c r="C81" s="6"/>
      <c r="D81" s="275" t="s">
        <v>254</v>
      </c>
      <c r="E81" s="275" t="s">
        <v>255</v>
      </c>
      <c r="F81" s="275" t="s">
        <v>33</v>
      </c>
      <c r="G81" s="275" t="s">
        <v>255</v>
      </c>
    </row>
    <row r="82" spans="1:7" x14ac:dyDescent="0.2">
      <c r="C82" s="9" t="s">
        <v>277</v>
      </c>
      <c r="D82" s="9" t="s">
        <v>278</v>
      </c>
    </row>
    <row r="83" spans="1:7" x14ac:dyDescent="0.2">
      <c r="A83" s="134">
        <v>1</v>
      </c>
      <c r="B83" s="34" t="s">
        <v>219</v>
      </c>
      <c r="C83" s="154"/>
      <c r="D83" s="11"/>
      <c r="E83" s="157"/>
      <c r="F83" s="154"/>
      <c r="G83" s="158"/>
    </row>
    <row r="84" spans="1:7" x14ac:dyDescent="0.2">
      <c r="B84" s="14"/>
      <c r="C84" s="154"/>
      <c r="D84" s="11"/>
      <c r="E84" s="157"/>
      <c r="F84" s="154"/>
      <c r="G84" s="158"/>
    </row>
    <row r="85" spans="1:7" x14ac:dyDescent="0.2">
      <c r="A85" s="134">
        <f>A83+1</f>
        <v>2</v>
      </c>
      <c r="B85" s="27" t="str">
        <f>$B$15</f>
        <v>Customer Charge</v>
      </c>
      <c r="C85" s="154"/>
      <c r="D85" s="11"/>
      <c r="E85" s="157"/>
      <c r="F85" s="154"/>
      <c r="G85" s="158"/>
    </row>
    <row r="86" spans="1:7" x14ac:dyDescent="0.2">
      <c r="A86" s="134">
        <f t="shared" ref="A86:A95" si="5">A85+1</f>
        <v>3</v>
      </c>
      <c r="B86" s="167" t="s">
        <v>353</v>
      </c>
      <c r="C86" s="154">
        <f>'Sch2'!I53+'Sch2'!I57</f>
        <v>12</v>
      </c>
      <c r="D86" s="11"/>
      <c r="E86" s="66">
        <f>' SCH 8 - Rate Design'!F436</f>
        <v>1149</v>
      </c>
      <c r="F86" s="154">
        <f>ROUND(C86*E86,0)</f>
        <v>13788</v>
      </c>
      <c r="G86" s="158"/>
    </row>
    <row r="87" spans="1:7" x14ac:dyDescent="0.2">
      <c r="A87" s="134">
        <f t="shared" si="5"/>
        <v>4</v>
      </c>
      <c r="B87" s="27" t="str">
        <f>$B$16</f>
        <v>Commodity Charge:</v>
      </c>
      <c r="C87" s="154"/>
      <c r="D87" s="11"/>
      <c r="E87" s="206"/>
      <c r="F87" s="154"/>
      <c r="G87" s="158"/>
    </row>
    <row r="88" spans="1:7" x14ac:dyDescent="0.2">
      <c r="A88" s="134">
        <f t="shared" si="5"/>
        <v>5</v>
      </c>
      <c r="B88" s="167" t="s">
        <v>353</v>
      </c>
      <c r="C88" s="154"/>
      <c r="D88" s="29">
        <f>'Sch3'!H50+'Sch3'!H55</f>
        <v>72700</v>
      </c>
      <c r="E88" s="158">
        <f>' SCH 8 - Rate Design'!F447</f>
        <v>9.3700000000000006E-2</v>
      </c>
      <c r="F88" s="154">
        <f>ROUND(D88*E88,0)</f>
        <v>6812</v>
      </c>
      <c r="G88" s="158"/>
    </row>
    <row r="89" spans="1:7" x14ac:dyDescent="0.2">
      <c r="A89" s="134">
        <f t="shared" si="5"/>
        <v>6</v>
      </c>
      <c r="B89" s="164" t="s">
        <v>637</v>
      </c>
      <c r="C89" s="151">
        <f>ROUND(1*12,0)</f>
        <v>12</v>
      </c>
      <c r="D89" s="29"/>
      <c r="E89" s="113">
        <f>' SCH 8 - Rate Design'!F432</f>
        <v>351.52</v>
      </c>
      <c r="F89" s="156">
        <f>ROUND(E89*C89,0)</f>
        <v>4218</v>
      </c>
      <c r="G89" s="158"/>
    </row>
    <row r="90" spans="1:7" x14ac:dyDescent="0.2">
      <c r="A90" s="134">
        <f t="shared" si="5"/>
        <v>7</v>
      </c>
      <c r="B90" s="27" t="str">
        <f>$B$21</f>
        <v>Subtotal</v>
      </c>
      <c r="C90" s="154"/>
      <c r="D90" s="11">
        <f>SUM(D88:D88)</f>
        <v>72700</v>
      </c>
      <c r="E90" s="157"/>
      <c r="F90" s="154">
        <f>SUM(F86:F89)</f>
        <v>24818</v>
      </c>
      <c r="G90" s="158"/>
    </row>
    <row r="91" spans="1:7" x14ac:dyDescent="0.2">
      <c r="A91" s="134">
        <f t="shared" si="5"/>
        <v>8</v>
      </c>
      <c r="B91" s="164" t="str">
        <f>$B$22</f>
        <v>STAS</v>
      </c>
      <c r="C91" s="154"/>
      <c r="D91" s="11"/>
      <c r="E91" s="157"/>
      <c r="F91" s="156">
        <f>ROUND((F90)*$J$2,0)</f>
        <v>0</v>
      </c>
      <c r="G91" s="158"/>
    </row>
    <row r="92" spans="1:7" x14ac:dyDescent="0.2">
      <c r="A92" s="134">
        <f t="shared" si="5"/>
        <v>9</v>
      </c>
      <c r="B92" s="153" t="str">
        <f>$B$23</f>
        <v>Base Rate Revenue</v>
      </c>
      <c r="C92" s="154"/>
      <c r="D92" s="11"/>
      <c r="E92" s="157"/>
      <c r="F92" s="154">
        <f>SUM(F90:F91)</f>
        <v>24818</v>
      </c>
      <c r="G92" s="158"/>
    </row>
    <row r="93" spans="1:7" x14ac:dyDescent="0.2">
      <c r="A93" s="134">
        <f t="shared" si="5"/>
        <v>10</v>
      </c>
      <c r="B93" s="164" t="s">
        <v>246</v>
      </c>
      <c r="C93" s="154"/>
      <c r="D93" s="11">
        <f>D90</f>
        <v>72700</v>
      </c>
      <c r="E93" s="113" t="s">
        <v>238</v>
      </c>
      <c r="F93" s="154">
        <f>'Sch1'!F91</f>
        <v>263756</v>
      </c>
      <c r="G93" s="158"/>
    </row>
    <row r="94" spans="1:7" x14ac:dyDescent="0.2">
      <c r="A94" s="134">
        <f t="shared" si="5"/>
        <v>11</v>
      </c>
      <c r="B94" s="164" t="s">
        <v>247</v>
      </c>
      <c r="C94" s="154"/>
      <c r="D94" s="11">
        <f>'Sch1'!D92</f>
        <v>550</v>
      </c>
      <c r="E94" s="207"/>
      <c r="F94" s="156">
        <f>'Sch1'!F92</f>
        <v>4261</v>
      </c>
      <c r="G94" s="158"/>
    </row>
    <row r="95" spans="1:7" x14ac:dyDescent="0.2">
      <c r="A95" s="134">
        <f t="shared" si="5"/>
        <v>12</v>
      </c>
      <c r="B95" s="14" t="s">
        <v>220</v>
      </c>
      <c r="C95" s="154">
        <f>SUM(C86:C86)</f>
        <v>12</v>
      </c>
      <c r="D95" s="11">
        <f>D90</f>
        <v>72700</v>
      </c>
      <c r="E95" s="157"/>
      <c r="F95" s="154">
        <f>SUM(F92:F94)</f>
        <v>292835</v>
      </c>
      <c r="G95" s="158">
        <f>ROUND(F95/D95,4)</f>
        <v>4.0279999999999996</v>
      </c>
    </row>
    <row r="96" spans="1:7" x14ac:dyDescent="0.2">
      <c r="B96" s="14"/>
      <c r="C96" s="154"/>
      <c r="D96" s="11"/>
      <c r="E96" s="157"/>
      <c r="F96" s="154"/>
      <c r="G96" s="158"/>
    </row>
    <row r="97" spans="1:7" x14ac:dyDescent="0.2">
      <c r="A97" s="134">
        <f>A95+1</f>
        <v>13</v>
      </c>
      <c r="B97" s="42" t="s">
        <v>121</v>
      </c>
      <c r="C97" s="154"/>
      <c r="D97" s="11"/>
      <c r="E97" s="157"/>
      <c r="F97" s="154"/>
      <c r="G97" s="158"/>
    </row>
    <row r="98" spans="1:7" x14ac:dyDescent="0.2">
      <c r="B98" s="13"/>
      <c r="C98" s="154"/>
      <c r="D98" s="11"/>
      <c r="E98" s="157"/>
      <c r="F98" s="154"/>
      <c r="G98" s="158"/>
    </row>
    <row r="99" spans="1:7" x14ac:dyDescent="0.2">
      <c r="A99" s="134">
        <f>A97+1</f>
        <v>14</v>
      </c>
      <c r="B99" s="27" t="str">
        <f>$B$44</f>
        <v>Customer Charge:</v>
      </c>
      <c r="C99" s="14"/>
      <c r="D99" s="11"/>
      <c r="E99" s="157"/>
      <c r="F99" s="154"/>
      <c r="G99" s="158"/>
    </row>
    <row r="100" spans="1:7" x14ac:dyDescent="0.2">
      <c r="A100" s="134">
        <f t="shared" ref="A100:A125" si="6">A99+1</f>
        <v>15</v>
      </c>
      <c r="B100" s="166" t="s">
        <v>415</v>
      </c>
      <c r="C100" s="96">
        <f>'Sch2'!I65+'Sch2'!I76</f>
        <v>536</v>
      </c>
      <c r="D100" s="11"/>
      <c r="E100" s="66">
        <f>E262</f>
        <v>229.75</v>
      </c>
      <c r="F100" s="154">
        <f t="shared" ref="F100:F105" si="7">ROUND(C100*E100,0)</f>
        <v>123146</v>
      </c>
      <c r="G100" s="158"/>
    </row>
    <row r="101" spans="1:7" x14ac:dyDescent="0.2">
      <c r="A101" s="134">
        <f t="shared" si="6"/>
        <v>16</v>
      </c>
      <c r="B101" s="167" t="s">
        <v>416</v>
      </c>
      <c r="C101" s="96">
        <f>'Sch2'!I66+'Sch2'!I77</f>
        <v>282</v>
      </c>
      <c r="D101" s="11"/>
      <c r="E101" s="66">
        <f>E263</f>
        <v>757.34</v>
      </c>
      <c r="F101" s="154">
        <f t="shared" si="7"/>
        <v>213570</v>
      </c>
      <c r="G101" s="158"/>
    </row>
    <row r="102" spans="1:7" x14ac:dyDescent="0.2">
      <c r="A102" s="134">
        <f t="shared" si="6"/>
        <v>17</v>
      </c>
      <c r="B102" s="167" t="s">
        <v>417</v>
      </c>
      <c r="C102" s="96">
        <f>'Sch2'!I67+'Sch2'!I78</f>
        <v>0</v>
      </c>
      <c r="D102" s="11"/>
      <c r="E102" s="66">
        <f>E276</f>
        <v>1947.06</v>
      </c>
      <c r="F102" s="154">
        <f t="shared" si="7"/>
        <v>0</v>
      </c>
      <c r="G102" s="158"/>
    </row>
    <row r="103" spans="1:7" x14ac:dyDescent="0.2">
      <c r="A103" s="134">
        <f t="shared" si="6"/>
        <v>18</v>
      </c>
      <c r="B103" s="167" t="s">
        <v>339</v>
      </c>
      <c r="C103" s="96">
        <f>'Sch2'!I68+'Sch2'!I79</f>
        <v>0</v>
      </c>
      <c r="D103" s="11"/>
      <c r="E103" s="66">
        <f t="shared" ref="E103:E105" si="8">E277</f>
        <v>3028.76</v>
      </c>
      <c r="F103" s="154">
        <f t="shared" si="7"/>
        <v>0</v>
      </c>
      <c r="G103" s="158"/>
    </row>
    <row r="104" spans="1:7" x14ac:dyDescent="0.2">
      <c r="A104" s="134">
        <f t="shared" si="6"/>
        <v>19</v>
      </c>
      <c r="B104" s="167" t="s">
        <v>418</v>
      </c>
      <c r="C104" s="96">
        <f>'Sch2'!I69+'Sch2'!I80</f>
        <v>0</v>
      </c>
      <c r="D104" s="11"/>
      <c r="E104" s="66">
        <f t="shared" si="8"/>
        <v>5841.18</v>
      </c>
      <c r="F104" s="154">
        <f t="shared" si="7"/>
        <v>0</v>
      </c>
      <c r="G104" s="158"/>
    </row>
    <row r="105" spans="1:7" x14ac:dyDescent="0.2">
      <c r="A105" s="134">
        <f t="shared" si="6"/>
        <v>20</v>
      </c>
      <c r="B105" s="167" t="s">
        <v>284</v>
      </c>
      <c r="C105" s="96">
        <f>'Sch2'!I70+'Sch2'!I81</f>
        <v>0</v>
      </c>
      <c r="D105" s="11"/>
      <c r="E105" s="66">
        <f t="shared" si="8"/>
        <v>8653.6</v>
      </c>
      <c r="F105" s="154">
        <f t="shared" si="7"/>
        <v>0</v>
      </c>
      <c r="G105" s="158"/>
    </row>
    <row r="106" spans="1:7" x14ac:dyDescent="0.2">
      <c r="A106" s="134">
        <f t="shared" si="6"/>
        <v>21</v>
      </c>
      <c r="B106" s="27" t="str">
        <f>$B$16</f>
        <v>Commodity Charge:</v>
      </c>
      <c r="D106" s="11"/>
      <c r="E106" s="213"/>
      <c r="F106" s="154"/>
      <c r="G106" s="158"/>
    </row>
    <row r="107" spans="1:7" x14ac:dyDescent="0.2">
      <c r="A107" s="134">
        <f t="shared" si="6"/>
        <v>22</v>
      </c>
      <c r="B107" s="167" t="str">
        <f t="shared" ref="B107:B112" si="9">B100</f>
        <v>≤ 110,000 Therms Annually</v>
      </c>
      <c r="C107" s="14"/>
      <c r="D107" s="11">
        <f>'Sch3'!H62+'Sch3'!H71</f>
        <v>429410.1</v>
      </c>
      <c r="E107" s="158">
        <f>E265</f>
        <v>2.4365000000000001</v>
      </c>
      <c r="F107" s="154">
        <f>ROUND(D107*E107,0)</f>
        <v>1046258</v>
      </c>
      <c r="G107" s="158"/>
    </row>
    <row r="108" spans="1:7" x14ac:dyDescent="0.2">
      <c r="A108" s="134">
        <f t="shared" si="6"/>
        <v>23</v>
      </c>
      <c r="B108" s="167" t="str">
        <f t="shared" si="9"/>
        <v>&gt; 110,000 to ≤540,000 Therms Annually</v>
      </c>
      <c r="C108" s="14"/>
      <c r="D108" s="11">
        <f>'Sch3'!H63+'Sch3'!H72</f>
        <v>336643.10000000003</v>
      </c>
      <c r="E108" s="158">
        <f>E266</f>
        <v>2.278</v>
      </c>
      <c r="F108" s="154">
        <f t="shared" ref="F108:F111" si="10">ROUND(D108*E108,0)</f>
        <v>766873</v>
      </c>
      <c r="G108" s="158"/>
    </row>
    <row r="109" spans="1:7" x14ac:dyDescent="0.2">
      <c r="A109" s="134">
        <f t="shared" si="6"/>
        <v>24</v>
      </c>
      <c r="B109" s="164" t="str">
        <f t="shared" si="9"/>
        <v>&gt; 540,000 to ≤1,074,000 Therms Annually</v>
      </c>
      <c r="C109" s="14"/>
      <c r="D109" s="11">
        <f>'Sch3'!H64+'Sch3'!H73</f>
        <v>0</v>
      </c>
      <c r="E109" s="158">
        <f>E282</f>
        <v>1.5021</v>
      </c>
      <c r="F109" s="154">
        <f t="shared" si="10"/>
        <v>0</v>
      </c>
      <c r="G109" s="158"/>
    </row>
    <row r="110" spans="1:7" x14ac:dyDescent="0.2">
      <c r="A110" s="134">
        <f t="shared" si="6"/>
        <v>25</v>
      </c>
      <c r="B110" s="164" t="str">
        <f t="shared" si="9"/>
        <v>&gt; 1,074,000 to ≤ 3,400,000 Therms Annually</v>
      </c>
      <c r="C110" s="14"/>
      <c r="D110" s="11">
        <f>'Sch3'!H65+'Sch3'!H74</f>
        <v>0</v>
      </c>
      <c r="E110" s="158">
        <f t="shared" ref="E110:E112" si="11">E283</f>
        <v>1.3323</v>
      </c>
      <c r="F110" s="154">
        <f t="shared" si="10"/>
        <v>0</v>
      </c>
      <c r="G110" s="158"/>
    </row>
    <row r="111" spans="1:7" x14ac:dyDescent="0.2">
      <c r="A111" s="134">
        <f t="shared" si="6"/>
        <v>26</v>
      </c>
      <c r="B111" s="164" t="str">
        <f t="shared" si="9"/>
        <v>&gt; 3,400,000 to ≤7,500,000 Therms Annually</v>
      </c>
      <c r="C111" s="14"/>
      <c r="D111" s="11">
        <f>'Sch3'!H66+'Sch3'!H75</f>
        <v>0</v>
      </c>
      <c r="E111" s="158">
        <f t="shared" si="11"/>
        <v>1.1956</v>
      </c>
      <c r="F111" s="154">
        <f t="shared" si="10"/>
        <v>0</v>
      </c>
      <c r="G111" s="158"/>
    </row>
    <row r="112" spans="1:7" x14ac:dyDescent="0.2">
      <c r="A112" s="134">
        <f t="shared" si="6"/>
        <v>27</v>
      </c>
      <c r="B112" s="164" t="str">
        <f t="shared" si="9"/>
        <v>&gt; 7,500,000. Therms Annually</v>
      </c>
      <c r="D112" s="29">
        <f>'Sch3'!H67+'Sch3'!H76</f>
        <v>0</v>
      </c>
      <c r="E112" s="158">
        <f t="shared" si="11"/>
        <v>0.71150000000000002</v>
      </c>
      <c r="F112" s="156">
        <f>ROUND(D112*E112,0)</f>
        <v>0</v>
      </c>
      <c r="G112" s="158"/>
    </row>
    <row r="113" spans="1:8" x14ac:dyDescent="0.2">
      <c r="A113" s="134">
        <f t="shared" si="6"/>
        <v>28</v>
      </c>
      <c r="B113" s="27" t="str">
        <f>$B$21</f>
        <v>Subtotal</v>
      </c>
      <c r="C113" s="14"/>
      <c r="D113" s="11">
        <f>SUM(D107:D112)</f>
        <v>766053.2</v>
      </c>
      <c r="F113" s="183">
        <f>SUM(F100:F112)</f>
        <v>2149847</v>
      </c>
      <c r="G113" s="158"/>
    </row>
    <row r="114" spans="1:8" x14ac:dyDescent="0.2">
      <c r="A114" s="134">
        <f t="shared" si="6"/>
        <v>29</v>
      </c>
      <c r="B114" s="164" t="s">
        <v>292</v>
      </c>
      <c r="C114" s="14"/>
      <c r="D114" s="11"/>
      <c r="F114" s="183"/>
      <c r="G114" s="158"/>
    </row>
    <row r="115" spans="1:8" x14ac:dyDescent="0.2">
      <c r="A115" s="134">
        <f t="shared" si="6"/>
        <v>30</v>
      </c>
      <c r="B115" s="167" t="s">
        <v>523</v>
      </c>
      <c r="C115" s="14"/>
      <c r="D115" s="11">
        <f>D107+D108</f>
        <v>766053.2</v>
      </c>
      <c r="E115" s="158">
        <f>E34</f>
        <v>6.9500000000000006E-2</v>
      </c>
      <c r="F115" s="154">
        <f>ROUND(D115*E115,0)</f>
        <v>53241</v>
      </c>
      <c r="G115" s="158"/>
    </row>
    <row r="116" spans="1:8" x14ac:dyDescent="0.2">
      <c r="A116" s="134">
        <f t="shared" si="6"/>
        <v>31</v>
      </c>
      <c r="B116" s="167" t="s">
        <v>524</v>
      </c>
      <c r="C116" s="14"/>
      <c r="D116" s="11">
        <f>D109+D110+D111+D112</f>
        <v>0</v>
      </c>
      <c r="E116" s="158">
        <f>E115</f>
        <v>6.9500000000000006E-2</v>
      </c>
      <c r="F116" s="154">
        <f>ROUND(D116*E116,0)</f>
        <v>0</v>
      </c>
      <c r="G116" s="158"/>
    </row>
    <row r="117" spans="1:8" x14ac:dyDescent="0.2">
      <c r="A117" s="134">
        <f t="shared" si="6"/>
        <v>32</v>
      </c>
      <c r="B117" s="164" t="s">
        <v>638</v>
      </c>
      <c r="C117" s="96">
        <f>'Sch2'!C65+'Sch2'!C66+'Sch2'!C76+'Sch2'!C77</f>
        <v>818</v>
      </c>
      <c r="D117" s="11"/>
      <c r="E117" s="349">
        <f>' SCH 8 - Rate Design'!F377</f>
        <v>319.60000000000002</v>
      </c>
      <c r="F117" s="154">
        <f>ROUND(E117*C117,0)</f>
        <v>261433</v>
      </c>
      <c r="G117" s="158"/>
    </row>
    <row r="118" spans="1:8" x14ac:dyDescent="0.2">
      <c r="A118" s="134">
        <f t="shared" si="6"/>
        <v>33</v>
      </c>
      <c r="B118" s="164" t="s">
        <v>639</v>
      </c>
      <c r="C118" s="96">
        <f>'Sch2'!C67+'Sch2'!C68+'Sch2'!C69+'Sch2'!C70+'Sch2'!C78+'Sch2'!C79+'Sch2'!C80+'Sch2'!C81</f>
        <v>0</v>
      </c>
      <c r="D118" s="11"/>
      <c r="E118" s="349">
        <f>' SCH 8 - Rate Design'!F396</f>
        <v>368.76</v>
      </c>
      <c r="F118" s="156">
        <f>ROUND(E118*C118,0)</f>
        <v>0</v>
      </c>
      <c r="G118" s="158"/>
    </row>
    <row r="119" spans="1:8" x14ac:dyDescent="0.2">
      <c r="A119" s="134">
        <f t="shared" si="6"/>
        <v>34</v>
      </c>
      <c r="B119" s="27" t="str">
        <f>$B$21</f>
        <v>Subtotal</v>
      </c>
      <c r="C119" s="14"/>
      <c r="D119" s="11"/>
      <c r="F119" s="183">
        <f>F113+F115+F116+F117+F118</f>
        <v>2464521</v>
      </c>
      <c r="G119" s="158"/>
    </row>
    <row r="120" spans="1:8" x14ac:dyDescent="0.2">
      <c r="A120" s="134">
        <f t="shared" si="6"/>
        <v>35</v>
      </c>
      <c r="B120" s="164" t="s">
        <v>519</v>
      </c>
      <c r="C120" s="14"/>
      <c r="D120" s="11"/>
      <c r="F120" s="154">
        <f>ROUND((F100+F101+F107+F108+F115+F117)*$J$2,0)</f>
        <v>0</v>
      </c>
      <c r="G120" s="158"/>
    </row>
    <row r="121" spans="1:8" x14ac:dyDescent="0.2">
      <c r="A121" s="134">
        <f t="shared" si="6"/>
        <v>36</v>
      </c>
      <c r="B121" s="164" t="s">
        <v>520</v>
      </c>
      <c r="C121" s="14"/>
      <c r="D121" s="11"/>
      <c r="F121" s="156">
        <f>ROUND((F102+F103+F104+F105+F109+F110+F111+F112+F116+F118)*$J$2,0)</f>
        <v>0</v>
      </c>
      <c r="G121" s="158"/>
    </row>
    <row r="122" spans="1:8" x14ac:dyDescent="0.2">
      <c r="A122" s="134">
        <f t="shared" si="6"/>
        <v>37</v>
      </c>
      <c r="B122" s="153" t="str">
        <f>$B$23</f>
        <v>Base Rate Revenue</v>
      </c>
      <c r="C122" s="14"/>
      <c r="D122" s="11"/>
      <c r="F122" s="154">
        <f>SUM(F119:F121)</f>
        <v>2464521</v>
      </c>
      <c r="G122" s="158"/>
    </row>
    <row r="123" spans="1:8" x14ac:dyDescent="0.2">
      <c r="A123" s="134">
        <f t="shared" si="6"/>
        <v>38</v>
      </c>
      <c r="B123" s="164" t="s">
        <v>521</v>
      </c>
      <c r="C123" s="14"/>
      <c r="D123" s="11">
        <f>D115</f>
        <v>766053.2</v>
      </c>
      <c r="E123" s="158">
        <f>$J$11</f>
        <v>4.1350999999999996</v>
      </c>
      <c r="F123" s="154">
        <f>ROUND(D123*E123,0)</f>
        <v>3167707</v>
      </c>
      <c r="G123" s="158"/>
    </row>
    <row r="124" spans="1:8" x14ac:dyDescent="0.2">
      <c r="A124" s="134">
        <f t="shared" si="6"/>
        <v>39</v>
      </c>
      <c r="B124" s="164" t="s">
        <v>522</v>
      </c>
      <c r="C124" s="14"/>
      <c r="D124" s="29">
        <f>D116</f>
        <v>0</v>
      </c>
      <c r="E124" s="158">
        <f>$J$11</f>
        <v>4.1350999999999996</v>
      </c>
      <c r="F124" s="156">
        <f>ROUND(D124*E124,0)</f>
        <v>0</v>
      </c>
      <c r="G124" s="158"/>
    </row>
    <row r="125" spans="1:8" x14ac:dyDescent="0.2">
      <c r="A125" s="134">
        <f t="shared" si="6"/>
        <v>40</v>
      </c>
      <c r="B125" s="153" t="s">
        <v>124</v>
      </c>
      <c r="C125" s="96">
        <f>SUM(C100:C105)</f>
        <v>818</v>
      </c>
      <c r="D125" s="11">
        <f>D113</f>
        <v>766053.2</v>
      </c>
      <c r="F125" s="154">
        <f>SUM(F122:F124)</f>
        <v>5632228</v>
      </c>
      <c r="G125" s="158">
        <f>ROUND(F125/D125,4)</f>
        <v>7.3522999999999996</v>
      </c>
    </row>
    <row r="126" spans="1:8" x14ac:dyDescent="0.2">
      <c r="C126" s="154"/>
      <c r="D126" s="11"/>
      <c r="E126" s="157"/>
      <c r="F126" s="154"/>
      <c r="G126" s="155"/>
      <c r="H126" s="155"/>
    </row>
    <row r="127" spans="1:8" ht="12" thickBot="1" x14ac:dyDescent="0.25">
      <c r="A127" s="77"/>
      <c r="B127" s="155"/>
      <c r="C127" s="20"/>
      <c r="D127" s="21"/>
      <c r="E127" s="46"/>
      <c r="F127" s="20"/>
      <c r="G127" s="21"/>
      <c r="H127" s="21"/>
    </row>
    <row r="128" spans="1:8" x14ac:dyDescent="0.2">
      <c r="A128" s="221">
        <f>A125+1</f>
        <v>41</v>
      </c>
      <c r="B128" s="88" t="s">
        <v>397</v>
      </c>
      <c r="C128" s="16"/>
      <c r="D128" s="17"/>
      <c r="E128" s="45"/>
      <c r="F128" s="101"/>
      <c r="G128" s="21"/>
      <c r="H128" s="21"/>
    </row>
    <row r="129" spans="1:8" x14ac:dyDescent="0.2">
      <c r="A129" s="222"/>
      <c r="B129" s="155"/>
      <c r="C129" s="20"/>
      <c r="D129" s="21"/>
      <c r="E129" s="46"/>
      <c r="F129" s="102"/>
      <c r="G129" s="21"/>
      <c r="H129" s="21"/>
    </row>
    <row r="130" spans="1:8" x14ac:dyDescent="0.2">
      <c r="A130" s="222">
        <f>A128+1</f>
        <v>42</v>
      </c>
      <c r="B130" s="162" t="s">
        <v>237</v>
      </c>
      <c r="C130" s="20"/>
      <c r="D130" s="21"/>
      <c r="E130" s="46"/>
      <c r="F130" s="102">
        <f>F15+F30+F17+F32+F33</f>
        <v>245109543</v>
      </c>
      <c r="G130" s="21"/>
      <c r="H130" s="21"/>
    </row>
    <row r="131" spans="1:8" x14ac:dyDescent="0.2">
      <c r="A131" s="222">
        <f t="shared" ref="A131:A137" si="12">A130+1</f>
        <v>43</v>
      </c>
      <c r="B131" s="162" t="s">
        <v>151</v>
      </c>
      <c r="C131" s="20"/>
      <c r="D131" s="21"/>
      <c r="E131" s="46"/>
      <c r="F131" s="102">
        <f>F22+F36</f>
        <v>0</v>
      </c>
      <c r="G131" s="21"/>
      <c r="H131" s="21"/>
    </row>
    <row r="132" spans="1:8" x14ac:dyDescent="0.2">
      <c r="A132" s="222">
        <f t="shared" si="12"/>
        <v>44</v>
      </c>
      <c r="B132" s="162" t="s">
        <v>229</v>
      </c>
      <c r="C132" s="20"/>
      <c r="D132" s="21"/>
      <c r="E132" s="46"/>
      <c r="F132" s="102">
        <f>F18</f>
        <v>25010607</v>
      </c>
      <c r="G132" s="21"/>
      <c r="H132" s="21"/>
    </row>
    <row r="133" spans="1:8" x14ac:dyDescent="0.2">
      <c r="A133" s="222">
        <f t="shared" si="12"/>
        <v>45</v>
      </c>
      <c r="B133" s="162" t="s">
        <v>323</v>
      </c>
      <c r="C133" s="20"/>
      <c r="D133" s="21"/>
      <c r="E133" s="46"/>
      <c r="F133" s="102">
        <f>F25+F39</f>
        <v>1139022</v>
      </c>
      <c r="G133" s="21"/>
      <c r="H133" s="21"/>
    </row>
    <row r="134" spans="1:8" x14ac:dyDescent="0.2">
      <c r="A134" s="222">
        <f t="shared" si="12"/>
        <v>46</v>
      </c>
      <c r="B134" s="162" t="s">
        <v>292</v>
      </c>
      <c r="C134" s="20"/>
      <c r="D134" s="21"/>
      <c r="E134" s="46"/>
      <c r="F134" s="102">
        <f>F20+F34</f>
        <v>1912126</v>
      </c>
      <c r="G134" s="21"/>
      <c r="H134" s="21"/>
    </row>
    <row r="135" spans="1:8" x14ac:dyDescent="0.2">
      <c r="A135" s="222">
        <f t="shared" si="12"/>
        <v>47</v>
      </c>
      <c r="B135" s="162" t="s">
        <v>441</v>
      </c>
      <c r="C135" s="20"/>
      <c r="D135" s="21"/>
      <c r="E135" s="46"/>
      <c r="F135" s="102">
        <f>F19</f>
        <v>24988</v>
      </c>
      <c r="G135" s="21"/>
      <c r="H135" s="21"/>
    </row>
    <row r="136" spans="1:8" x14ac:dyDescent="0.2">
      <c r="A136" s="222">
        <f t="shared" si="12"/>
        <v>48</v>
      </c>
      <c r="B136" s="162" t="s">
        <v>66</v>
      </c>
      <c r="C136" s="20"/>
      <c r="D136" s="21"/>
      <c r="E136" s="46"/>
      <c r="F136" s="178">
        <f>F24+F38</f>
        <v>113767356</v>
      </c>
      <c r="G136" s="21"/>
      <c r="H136" s="21"/>
    </row>
    <row r="137" spans="1:8" x14ac:dyDescent="0.2">
      <c r="A137" s="222">
        <f t="shared" si="12"/>
        <v>49</v>
      </c>
      <c r="B137" s="155" t="s">
        <v>24</v>
      </c>
      <c r="C137" s="20">
        <f>C26+C40</f>
        <v>3905732</v>
      </c>
      <c r="D137" s="21">
        <f>D26+D40</f>
        <v>27512601</v>
      </c>
      <c r="E137" s="155"/>
      <c r="F137" s="102">
        <f>SUM(F130:F136)</f>
        <v>386963642</v>
      </c>
      <c r="G137" s="21"/>
      <c r="H137" s="21"/>
    </row>
    <row r="138" spans="1:8" x14ac:dyDescent="0.2">
      <c r="A138" s="222"/>
      <c r="B138" s="155"/>
      <c r="C138" s="20"/>
      <c r="D138" s="21"/>
      <c r="E138" s="46"/>
      <c r="F138" s="102"/>
      <c r="G138" s="21"/>
      <c r="H138" s="21"/>
    </row>
    <row r="139" spans="1:8" x14ac:dyDescent="0.2">
      <c r="A139" s="222">
        <f>A137+1</f>
        <v>50</v>
      </c>
      <c r="B139" s="162" t="s">
        <v>152</v>
      </c>
      <c r="C139" s="20"/>
      <c r="D139" s="21"/>
      <c r="E139" s="46"/>
      <c r="F139" s="102">
        <f>F45+F60+F47+F62</f>
        <v>44473030</v>
      </c>
      <c r="G139" s="21"/>
      <c r="H139" s="21"/>
    </row>
    <row r="140" spans="1:8" x14ac:dyDescent="0.2">
      <c r="A140" s="222">
        <f>A139+1</f>
        <v>51</v>
      </c>
      <c r="B140" s="162" t="s">
        <v>151</v>
      </c>
      <c r="C140" s="20"/>
      <c r="D140" s="21"/>
      <c r="E140" s="46"/>
      <c r="F140" s="102">
        <f>F51+F67</f>
        <v>0</v>
      </c>
      <c r="G140" s="21"/>
      <c r="H140" s="21"/>
    </row>
    <row r="141" spans="1:8" x14ac:dyDescent="0.2">
      <c r="A141" s="222">
        <f>A140+1</f>
        <v>52</v>
      </c>
      <c r="B141" s="162" t="s">
        <v>323</v>
      </c>
      <c r="C141" s="20"/>
      <c r="D141" s="21"/>
      <c r="E141" s="46"/>
      <c r="F141" s="102">
        <f>F54+F70</f>
        <v>77152</v>
      </c>
      <c r="G141" s="21"/>
      <c r="H141" s="21"/>
    </row>
    <row r="142" spans="1:8" x14ac:dyDescent="0.2">
      <c r="A142" s="222">
        <f>A141+1</f>
        <v>53</v>
      </c>
      <c r="B142" s="162" t="s">
        <v>292</v>
      </c>
      <c r="C142" s="20"/>
      <c r="D142" s="21"/>
      <c r="E142" s="46"/>
      <c r="F142" s="102">
        <f>F49+F64</f>
        <v>616325</v>
      </c>
      <c r="G142" s="21"/>
      <c r="H142" s="21"/>
    </row>
    <row r="143" spans="1:8" x14ac:dyDescent="0.2">
      <c r="A143" s="222">
        <f t="shared" ref="A143:A144" si="13">A142+1</f>
        <v>54</v>
      </c>
      <c r="B143" s="162" t="s">
        <v>637</v>
      </c>
      <c r="C143" s="20"/>
      <c r="D143" s="21"/>
      <c r="E143" s="46"/>
      <c r="F143" s="102">
        <f>F65</f>
        <v>95880</v>
      </c>
      <c r="G143" s="21"/>
      <c r="H143" s="21"/>
    </row>
    <row r="144" spans="1:8" x14ac:dyDescent="0.2">
      <c r="A144" s="222">
        <f t="shared" si="13"/>
        <v>55</v>
      </c>
      <c r="B144" s="162" t="s">
        <v>441</v>
      </c>
      <c r="C144" s="20"/>
      <c r="D144" s="21"/>
      <c r="E144" s="46"/>
      <c r="F144" s="102">
        <f>F48+F63</f>
        <v>8868</v>
      </c>
      <c r="G144" s="21"/>
      <c r="H144" s="21"/>
    </row>
    <row r="145" spans="1:8" x14ac:dyDescent="0.2">
      <c r="A145" s="222">
        <f t="shared" ref="A145" si="14">A144+1</f>
        <v>56</v>
      </c>
      <c r="B145" s="162" t="s">
        <v>66</v>
      </c>
      <c r="C145" s="20"/>
      <c r="D145" s="21"/>
      <c r="E145" s="46"/>
      <c r="F145" s="178">
        <f>F53+F69</f>
        <v>36670038</v>
      </c>
      <c r="G145" s="21"/>
      <c r="H145" s="21"/>
    </row>
    <row r="146" spans="1:8" x14ac:dyDescent="0.2">
      <c r="A146" s="222">
        <f>A145+1</f>
        <v>57</v>
      </c>
      <c r="B146" s="155" t="s">
        <v>346</v>
      </c>
      <c r="C146" s="20">
        <f>C55+C71</f>
        <v>318279</v>
      </c>
      <c r="D146" s="20">
        <f>D55+D71</f>
        <v>8867992.9000000004</v>
      </c>
      <c r="E146" s="46"/>
      <c r="F146" s="102">
        <f>SUM(F139:F145)</f>
        <v>81941293</v>
      </c>
      <c r="G146" s="21"/>
      <c r="H146" s="21"/>
    </row>
    <row r="147" spans="1:8" x14ac:dyDescent="0.2">
      <c r="A147" s="222"/>
      <c r="B147" s="155"/>
      <c r="C147" s="20"/>
      <c r="D147" s="97"/>
      <c r="E147" s="46"/>
      <c r="F147" s="102"/>
      <c r="G147" s="21"/>
      <c r="H147" s="21"/>
    </row>
    <row r="148" spans="1:8" x14ac:dyDescent="0.2">
      <c r="A148" s="222">
        <f>A146+1</f>
        <v>58</v>
      </c>
      <c r="B148" s="162" t="s">
        <v>152</v>
      </c>
      <c r="C148" s="20"/>
      <c r="D148" s="97"/>
      <c r="E148" s="46"/>
      <c r="F148" s="102">
        <f>F88+F86</f>
        <v>20600</v>
      </c>
      <c r="G148" s="21"/>
      <c r="H148" s="21"/>
    </row>
    <row r="149" spans="1:8" x14ac:dyDescent="0.2">
      <c r="A149" s="222">
        <f>A148+1</f>
        <v>59</v>
      </c>
      <c r="B149" s="162" t="s">
        <v>151</v>
      </c>
      <c r="C149" s="20"/>
      <c r="D149" s="97"/>
      <c r="E149" s="46"/>
      <c r="F149" s="102">
        <f>F91</f>
        <v>0</v>
      </c>
      <c r="G149" s="21"/>
      <c r="H149" s="21"/>
    </row>
    <row r="150" spans="1:8" x14ac:dyDescent="0.2">
      <c r="A150" s="222">
        <f t="shared" ref="A150:A152" si="15">A149+1</f>
        <v>60</v>
      </c>
      <c r="B150" s="162" t="s">
        <v>66</v>
      </c>
      <c r="C150" s="20"/>
      <c r="D150" s="97"/>
      <c r="E150" s="46"/>
      <c r="F150" s="102">
        <f>F93+F94</f>
        <v>268017</v>
      </c>
      <c r="G150" s="21"/>
      <c r="H150" s="21"/>
    </row>
    <row r="151" spans="1:8" x14ac:dyDescent="0.2">
      <c r="A151" s="222">
        <f t="shared" si="15"/>
        <v>61</v>
      </c>
      <c r="B151" s="162" t="s">
        <v>637</v>
      </c>
      <c r="C151" s="20"/>
      <c r="D151" s="97"/>
      <c r="E151" s="46"/>
      <c r="F151" s="178">
        <f>F89</f>
        <v>4218</v>
      </c>
      <c r="G151" s="21"/>
      <c r="H151" s="21"/>
    </row>
    <row r="152" spans="1:8" x14ac:dyDescent="0.2">
      <c r="A152" s="222">
        <f t="shared" si="15"/>
        <v>62</v>
      </c>
      <c r="B152" s="155" t="s">
        <v>345</v>
      </c>
      <c r="C152" s="20">
        <f>C95</f>
        <v>12</v>
      </c>
      <c r="D152" s="20">
        <f>D95</f>
        <v>72700</v>
      </c>
      <c r="E152" s="46"/>
      <c r="F152" s="102">
        <f>SUM(F148:F151)</f>
        <v>292835</v>
      </c>
      <c r="G152" s="21"/>
      <c r="H152" s="21"/>
    </row>
    <row r="153" spans="1:8" x14ac:dyDescent="0.2">
      <c r="A153" s="222"/>
      <c r="B153" s="155"/>
      <c r="C153" s="20"/>
      <c r="D153" s="97"/>
      <c r="E153" s="46"/>
      <c r="F153" s="102"/>
      <c r="G153" s="21"/>
      <c r="H153" s="21"/>
    </row>
    <row r="154" spans="1:8" x14ac:dyDescent="0.2">
      <c r="A154" s="222">
        <f>A152+1</f>
        <v>63</v>
      </c>
      <c r="B154" s="162" t="s">
        <v>237</v>
      </c>
      <c r="C154" s="20"/>
      <c r="D154" s="97"/>
      <c r="E154" s="46"/>
      <c r="F154" s="102">
        <f>F113</f>
        <v>2149847</v>
      </c>
      <c r="G154" s="21"/>
      <c r="H154" s="21"/>
    </row>
    <row r="155" spans="1:8" x14ac:dyDescent="0.2">
      <c r="A155" s="222">
        <f>A154+1</f>
        <v>64</v>
      </c>
      <c r="B155" s="162" t="s">
        <v>151</v>
      </c>
      <c r="C155" s="20"/>
      <c r="D155" s="97"/>
      <c r="E155" s="46"/>
      <c r="F155" s="102">
        <f>F120</f>
        <v>0</v>
      </c>
      <c r="G155" s="21"/>
      <c r="H155" s="21"/>
    </row>
    <row r="156" spans="1:8" x14ac:dyDescent="0.2">
      <c r="A156" s="222">
        <f>A155+1</f>
        <v>65</v>
      </c>
      <c r="B156" s="162" t="str">
        <f>B142</f>
        <v>Gas Procurement Charge</v>
      </c>
      <c r="C156" s="20"/>
      <c r="D156" s="97"/>
      <c r="E156" s="46"/>
      <c r="F156" s="102">
        <f>F115+F116</f>
        <v>53241</v>
      </c>
      <c r="G156" s="21"/>
      <c r="H156" s="21"/>
    </row>
    <row r="157" spans="1:8" x14ac:dyDescent="0.2">
      <c r="A157" s="222">
        <f>A156+1</f>
        <v>66</v>
      </c>
      <c r="B157" s="162" t="s">
        <v>66</v>
      </c>
      <c r="C157" s="20"/>
      <c r="D157" s="20"/>
      <c r="E157" s="46"/>
      <c r="F157" s="102">
        <f>F123+F124</f>
        <v>3167707</v>
      </c>
      <c r="G157" s="21"/>
      <c r="H157" s="21"/>
    </row>
    <row r="158" spans="1:8" x14ac:dyDescent="0.2">
      <c r="A158" s="222">
        <f t="shared" ref="A158:A159" si="16">A157+1</f>
        <v>67</v>
      </c>
      <c r="B158" s="162" t="s">
        <v>637</v>
      </c>
      <c r="C158" s="20"/>
      <c r="D158" s="20"/>
      <c r="E158" s="46"/>
      <c r="F158" s="178">
        <f>F118+F117</f>
        <v>261433</v>
      </c>
      <c r="G158" s="21"/>
      <c r="H158" s="21"/>
    </row>
    <row r="159" spans="1:8" x14ac:dyDescent="0.2">
      <c r="A159" s="222">
        <f t="shared" si="16"/>
        <v>68</v>
      </c>
      <c r="B159" s="155" t="s">
        <v>347</v>
      </c>
      <c r="C159" s="22">
        <f>C125</f>
        <v>818</v>
      </c>
      <c r="D159" s="22">
        <f>D125</f>
        <v>766053.2</v>
      </c>
      <c r="E159" s="46"/>
      <c r="F159" s="178">
        <f>SUM(F154:F158)</f>
        <v>5632228</v>
      </c>
      <c r="G159" s="23"/>
      <c r="H159" s="23"/>
    </row>
    <row r="160" spans="1:8" x14ac:dyDescent="0.2">
      <c r="A160" s="222"/>
      <c r="B160" s="155"/>
      <c r="C160" s="20"/>
      <c r="D160" s="21"/>
      <c r="E160" s="46"/>
      <c r="F160" s="102"/>
      <c r="G160" s="21"/>
      <c r="H160" s="21"/>
    </row>
    <row r="161" spans="1:10" ht="12" thickBot="1" x14ac:dyDescent="0.25">
      <c r="A161" s="223">
        <f>A159+1</f>
        <v>69</v>
      </c>
      <c r="B161" s="24" t="s">
        <v>27</v>
      </c>
      <c r="C161" s="25">
        <f>SUM(C137:C159)</f>
        <v>4224841</v>
      </c>
      <c r="D161" s="26">
        <f>SUM(D137:D159)</f>
        <v>37219347.100000001</v>
      </c>
      <c r="E161" s="49"/>
      <c r="F161" s="105">
        <f>F159+F146+F137+F152</f>
        <v>474829998</v>
      </c>
      <c r="G161" s="21"/>
      <c r="J161" s="154">
        <f>F26+F40+F55+F95+F125+F71</f>
        <v>474829998</v>
      </c>
    </row>
    <row r="162" spans="1:10" x14ac:dyDescent="0.2">
      <c r="A162" s="77"/>
      <c r="B162" s="155"/>
      <c r="C162" s="20"/>
      <c r="D162" s="21"/>
      <c r="E162" s="46"/>
      <c r="F162" s="20"/>
      <c r="G162" s="21"/>
      <c r="H162" s="21"/>
      <c r="J162" s="154"/>
    </row>
    <row r="163" spans="1:10" x14ac:dyDescent="0.2">
      <c r="A163" s="77"/>
      <c r="B163" s="155"/>
      <c r="C163" s="20"/>
      <c r="D163" s="21"/>
      <c r="E163" s="46"/>
      <c r="F163" s="20"/>
      <c r="G163" s="2" t="str">
        <f>adjno</f>
        <v>Exhibit No. 103</v>
      </c>
    </row>
    <row r="164" spans="1:10" x14ac:dyDescent="0.2">
      <c r="A164" s="353" t="str">
        <f>coname</f>
        <v>Columbia Gas of Pennsylvania, Inc.</v>
      </c>
      <c r="B164" s="353"/>
      <c r="C164" s="353"/>
      <c r="D164" s="353"/>
      <c r="E164" s="353"/>
      <c r="F164" s="353"/>
      <c r="G164" s="2" t="str">
        <f>$G$2</f>
        <v>Schedule No. 7</v>
      </c>
    </row>
    <row r="165" spans="1:10" x14ac:dyDescent="0.2">
      <c r="A165" s="353" t="str">
        <f>A3</f>
        <v>Revenue @ Proposed Rates Based on Forecast Adjusted Bills and Volumes</v>
      </c>
      <c r="B165" s="353"/>
      <c r="C165" s="353"/>
      <c r="D165" s="353"/>
      <c r="E165" s="353"/>
      <c r="F165" s="353"/>
      <c r="G165" s="2" t="s">
        <v>607</v>
      </c>
    </row>
    <row r="166" spans="1:10" x14ac:dyDescent="0.2">
      <c r="A166" s="353" t="str">
        <f>TYDESC</f>
        <v>For the 12 Months Ended December 31, 2019</v>
      </c>
      <c r="B166" s="353"/>
      <c r="C166" s="353"/>
      <c r="D166" s="353"/>
      <c r="E166" s="353"/>
      <c r="F166" s="353"/>
      <c r="G166" s="4" t="str">
        <f>'Sch1'!$G$4</f>
        <v>Witness: D. Joe Mays</v>
      </c>
    </row>
    <row r="167" spans="1:10" x14ac:dyDescent="0.2">
      <c r="A167" s="275"/>
      <c r="B167" s="275"/>
      <c r="C167" s="6"/>
    </row>
    <row r="168" spans="1:10" x14ac:dyDescent="0.2">
      <c r="A168" s="275" t="s">
        <v>3</v>
      </c>
      <c r="B168" s="275"/>
      <c r="C168" s="6"/>
      <c r="D168" s="6"/>
      <c r="E168" s="6"/>
      <c r="F168" s="6"/>
      <c r="G168" s="275"/>
    </row>
    <row r="169" spans="1:10" x14ac:dyDescent="0.2">
      <c r="A169" s="172" t="s">
        <v>6</v>
      </c>
      <c r="B169" s="172" t="s">
        <v>7</v>
      </c>
      <c r="C169" s="172" t="s">
        <v>35</v>
      </c>
      <c r="D169" s="172" t="s">
        <v>40</v>
      </c>
      <c r="E169" s="172" t="s">
        <v>30</v>
      </c>
      <c r="F169" s="172" t="s">
        <v>31</v>
      </c>
      <c r="G169" s="172" t="s">
        <v>192</v>
      </c>
    </row>
    <row r="170" spans="1:10" x14ac:dyDescent="0.2">
      <c r="A170" s="275"/>
      <c r="B170" s="6"/>
      <c r="C170" s="275" t="s">
        <v>12</v>
      </c>
      <c r="D170" s="275" t="s">
        <v>13</v>
      </c>
      <c r="E170" s="275" t="s">
        <v>32</v>
      </c>
      <c r="F170" s="275" t="s">
        <v>14</v>
      </c>
      <c r="G170" s="275" t="s">
        <v>15</v>
      </c>
      <c r="H170" s="21"/>
    </row>
    <row r="171" spans="1:10" x14ac:dyDescent="0.2">
      <c r="A171" s="275"/>
      <c r="B171" s="6"/>
      <c r="C171" s="6"/>
      <c r="D171" s="275" t="s">
        <v>254</v>
      </c>
      <c r="E171" s="275" t="s">
        <v>255</v>
      </c>
      <c r="F171" s="275" t="s">
        <v>33</v>
      </c>
      <c r="G171" s="275" t="s">
        <v>255</v>
      </c>
      <c r="H171" s="21"/>
    </row>
    <row r="172" spans="1:10" x14ac:dyDescent="0.2">
      <c r="C172" s="9" t="s">
        <v>277</v>
      </c>
      <c r="D172" s="9" t="s">
        <v>278</v>
      </c>
      <c r="H172" s="21"/>
    </row>
    <row r="173" spans="1:10" x14ac:dyDescent="0.2">
      <c r="C173" s="154"/>
      <c r="D173" s="11"/>
      <c r="E173" s="157"/>
      <c r="F173" s="154"/>
      <c r="G173" s="155"/>
      <c r="H173" s="155"/>
    </row>
    <row r="174" spans="1:10" x14ac:dyDescent="0.2">
      <c r="A174" s="134">
        <v>1</v>
      </c>
      <c r="B174" s="42" t="s">
        <v>113</v>
      </c>
      <c r="C174" s="154"/>
      <c r="D174" s="11"/>
      <c r="E174" s="157"/>
      <c r="F174" s="154"/>
      <c r="G174" s="78"/>
      <c r="H174" s="155"/>
    </row>
    <row r="175" spans="1:10" x14ac:dyDescent="0.2">
      <c r="B175" s="13"/>
      <c r="D175" s="11"/>
      <c r="E175" s="157"/>
      <c r="F175" s="154"/>
      <c r="G175" s="158"/>
    </row>
    <row r="176" spans="1:10" x14ac:dyDescent="0.2">
      <c r="A176" s="134">
        <f>A174+1</f>
        <v>2</v>
      </c>
      <c r="B176" s="27" t="str">
        <f>$B$15</f>
        <v>Customer Charge</v>
      </c>
      <c r="C176" s="154">
        <f>'Sch2'!I117</f>
        <v>922450</v>
      </c>
      <c r="D176" s="11"/>
      <c r="E176" s="66">
        <f>$E$15</f>
        <v>18.25</v>
      </c>
      <c r="F176" s="154">
        <f>ROUND(C176*E176,0)</f>
        <v>16834713</v>
      </c>
      <c r="G176" s="158"/>
    </row>
    <row r="177" spans="1:11" x14ac:dyDescent="0.2">
      <c r="A177" s="134">
        <f t="shared" ref="A177:A185" si="17">A176+1</f>
        <v>3</v>
      </c>
      <c r="B177" s="27" t="str">
        <f>$B$16</f>
        <v>Commodity Charge:</v>
      </c>
      <c r="C177" s="154"/>
      <c r="D177" s="11"/>
      <c r="E177" s="157"/>
      <c r="F177" s="154"/>
      <c r="G177" s="158"/>
    </row>
    <row r="178" spans="1:11" x14ac:dyDescent="0.2">
      <c r="A178" s="134">
        <f t="shared" si="17"/>
        <v>4</v>
      </c>
      <c r="B178" s="164" t="str">
        <f>$B$17</f>
        <v>All Gas Consumed</v>
      </c>
      <c r="C178" s="154"/>
      <c r="D178" s="11">
        <f>'Sch3'!H108</f>
        <v>6925000</v>
      </c>
      <c r="E178" s="158">
        <f>$E$17</f>
        <v>6.4139999999999997</v>
      </c>
      <c r="F178" s="154">
        <f>ROUND(D178*E178,0)</f>
        <v>44416950</v>
      </c>
      <c r="G178" s="158"/>
    </row>
    <row r="179" spans="1:11" x14ac:dyDescent="0.2">
      <c r="A179" s="134">
        <f t="shared" si="17"/>
        <v>5</v>
      </c>
      <c r="B179" s="164" t="s">
        <v>228</v>
      </c>
      <c r="C179" s="154"/>
      <c r="D179" s="11">
        <f>SUM(D178:D178)</f>
        <v>6925000</v>
      </c>
      <c r="E179" s="158">
        <f>$E$18</f>
        <v>1.0008999999999999</v>
      </c>
      <c r="F179" s="154">
        <f>ROUND(D179*E179,0)</f>
        <v>6931233</v>
      </c>
      <c r="G179" s="158"/>
    </row>
    <row r="180" spans="1:11" x14ac:dyDescent="0.2">
      <c r="A180" s="134">
        <f t="shared" si="17"/>
        <v>6</v>
      </c>
      <c r="B180" s="164" t="s">
        <v>441</v>
      </c>
      <c r="C180" s="154"/>
      <c r="D180" s="11">
        <f>D179</f>
        <v>6925000</v>
      </c>
      <c r="E180" s="158">
        <f>$E$19</f>
        <v>1E-3</v>
      </c>
      <c r="F180" s="154">
        <f>ROUND(D180*E180,0)</f>
        <v>6925</v>
      </c>
      <c r="G180" s="158"/>
    </row>
    <row r="181" spans="1:11" x14ac:dyDescent="0.2">
      <c r="A181" s="134">
        <f>1+A180</f>
        <v>7</v>
      </c>
      <c r="B181" s="153" t="s">
        <v>65</v>
      </c>
      <c r="C181" s="154"/>
      <c r="D181" s="11"/>
      <c r="E181" s="157"/>
      <c r="F181" s="154">
        <f>SUM(F176:F180)</f>
        <v>68189821</v>
      </c>
      <c r="G181" s="158"/>
    </row>
    <row r="182" spans="1:11" x14ac:dyDescent="0.2">
      <c r="A182" s="134">
        <f t="shared" si="17"/>
        <v>8</v>
      </c>
      <c r="B182" s="166" t="s">
        <v>151</v>
      </c>
      <c r="C182" s="154"/>
      <c r="D182" s="11"/>
      <c r="E182" s="157"/>
      <c r="F182" s="156">
        <f>ROUND(F181*$J$2,0)</f>
        <v>0</v>
      </c>
      <c r="G182" s="158"/>
    </row>
    <row r="183" spans="1:11" x14ac:dyDescent="0.2">
      <c r="A183" s="134">
        <f t="shared" si="17"/>
        <v>9</v>
      </c>
      <c r="B183" s="153" t="s">
        <v>152</v>
      </c>
      <c r="C183" s="14"/>
      <c r="D183" s="11"/>
      <c r="F183" s="154">
        <f>SUM(F181:F182)</f>
        <v>68189821</v>
      </c>
      <c r="G183" s="158"/>
    </row>
    <row r="184" spans="1:11" x14ac:dyDescent="0.2">
      <c r="A184" s="134">
        <f t="shared" si="17"/>
        <v>10</v>
      </c>
      <c r="B184" s="164" t="str">
        <f>$B$24</f>
        <v>Gas Cost</v>
      </c>
      <c r="C184" s="14"/>
      <c r="D184" s="29">
        <f>D179</f>
        <v>6925000</v>
      </c>
      <c r="E184" s="158">
        <f>$J$14</f>
        <v>0.92659999999999998</v>
      </c>
      <c r="F184" s="156">
        <f>ROUND(D184*E184,0)</f>
        <v>6416705</v>
      </c>
      <c r="G184" s="158"/>
    </row>
    <row r="185" spans="1:11" x14ac:dyDescent="0.2">
      <c r="A185" s="134">
        <f t="shared" si="17"/>
        <v>11</v>
      </c>
      <c r="B185" s="14" t="s">
        <v>132</v>
      </c>
      <c r="C185" s="154">
        <f>C176</f>
        <v>922450</v>
      </c>
      <c r="D185" s="11">
        <f>D179</f>
        <v>6925000</v>
      </c>
      <c r="E185" s="157"/>
      <c r="F185" s="154">
        <f>SUM(F183:F184)</f>
        <v>74606526</v>
      </c>
      <c r="G185" s="158">
        <f>ROUND(F185/D185,4)</f>
        <v>10.7735</v>
      </c>
      <c r="J185" s="31"/>
      <c r="K185" s="31"/>
    </row>
    <row r="186" spans="1:11" x14ac:dyDescent="0.2">
      <c r="C186" s="154"/>
      <c r="D186" s="11"/>
      <c r="E186" s="157"/>
      <c r="F186" s="154"/>
      <c r="G186" s="158"/>
    </row>
    <row r="187" spans="1:11" x14ac:dyDescent="0.2">
      <c r="A187" s="134">
        <f>A185+1</f>
        <v>12</v>
      </c>
      <c r="B187" s="34" t="s">
        <v>551</v>
      </c>
      <c r="C187" s="154"/>
      <c r="D187" s="11"/>
      <c r="E187" s="157"/>
      <c r="F187" s="154"/>
      <c r="G187" s="158"/>
    </row>
    <row r="188" spans="1:11" x14ac:dyDescent="0.2">
      <c r="B188" s="13"/>
      <c r="C188" s="154"/>
      <c r="D188" s="11"/>
      <c r="E188" s="157"/>
      <c r="F188" s="154"/>
      <c r="G188" s="76"/>
    </row>
    <row r="189" spans="1:11" x14ac:dyDescent="0.2">
      <c r="A189" s="134">
        <f>A187+1</f>
        <v>13</v>
      </c>
      <c r="B189" s="27" t="str">
        <f>$B$15</f>
        <v>Customer Charge</v>
      </c>
      <c r="C189" s="154"/>
      <c r="D189" s="11"/>
      <c r="E189" s="66"/>
      <c r="F189" s="154"/>
      <c r="G189" s="158"/>
    </row>
    <row r="190" spans="1:11" x14ac:dyDescent="0.2">
      <c r="A190" s="134">
        <f>A189+1</f>
        <v>14</v>
      </c>
      <c r="B190" s="166" t="s">
        <v>419</v>
      </c>
      <c r="C190" s="154">
        <f>'Sch2'!I123</f>
        <v>92997</v>
      </c>
      <c r="D190" s="11"/>
      <c r="E190" s="66">
        <f>E45</f>
        <v>22.75</v>
      </c>
      <c r="F190" s="154">
        <f>ROUND(C190*E190,0)</f>
        <v>2115682</v>
      </c>
      <c r="G190" s="158"/>
    </row>
    <row r="191" spans="1:11" x14ac:dyDescent="0.2">
      <c r="A191" s="134">
        <f t="shared" ref="A191:A198" si="18">A190+1</f>
        <v>15</v>
      </c>
      <c r="B191" s="27" t="str">
        <f>$B$16</f>
        <v>Commodity Charge:</v>
      </c>
      <c r="C191" s="154"/>
      <c r="D191" s="11"/>
      <c r="E191" s="157"/>
      <c r="F191" s="154"/>
      <c r="G191" s="158"/>
    </row>
    <row r="192" spans="1:11" x14ac:dyDescent="0.2">
      <c r="A192" s="134">
        <f t="shared" si="18"/>
        <v>16</v>
      </c>
      <c r="B192" s="164" t="str">
        <f>B190</f>
        <v>≤ 6,440 Therms Annually</v>
      </c>
      <c r="C192" s="154"/>
      <c r="D192" s="11">
        <f>'Sch3'!H113</f>
        <v>1392058.1</v>
      </c>
      <c r="E192" s="158">
        <f>E47</f>
        <v>4.3643000000000001</v>
      </c>
      <c r="F192" s="154">
        <f>ROUND(D192*E192,0)</f>
        <v>6075359</v>
      </c>
      <c r="G192" s="158"/>
    </row>
    <row r="193" spans="1:7" x14ac:dyDescent="0.2">
      <c r="A193" s="134">
        <f t="shared" si="18"/>
        <v>17</v>
      </c>
      <c r="B193" s="164" t="s">
        <v>441</v>
      </c>
      <c r="C193" s="154"/>
      <c r="D193" s="11">
        <f>D192</f>
        <v>1392058.1</v>
      </c>
      <c r="E193" s="158">
        <f>E180</f>
        <v>1E-3</v>
      </c>
      <c r="F193" s="154">
        <f>ROUND(D193*E193,0)</f>
        <v>1392</v>
      </c>
      <c r="G193" s="158"/>
    </row>
    <row r="194" spans="1:7" x14ac:dyDescent="0.2">
      <c r="A194" s="134">
        <f>1+A193</f>
        <v>18</v>
      </c>
      <c r="B194" s="27" t="str">
        <f>$B$21</f>
        <v>Subtotal</v>
      </c>
      <c r="C194" s="154"/>
      <c r="D194" s="11"/>
      <c r="E194" s="157"/>
      <c r="F194" s="154">
        <f>SUM(F190:F193)</f>
        <v>8192433</v>
      </c>
      <c r="G194" s="158"/>
    </row>
    <row r="195" spans="1:7" x14ac:dyDescent="0.2">
      <c r="A195" s="134">
        <f t="shared" si="18"/>
        <v>19</v>
      </c>
      <c r="B195" s="164" t="str">
        <f>$B$22</f>
        <v>STAS</v>
      </c>
      <c r="C195" s="154"/>
      <c r="D195" s="11"/>
      <c r="E195" s="157"/>
      <c r="F195" s="156">
        <f>ROUND(F194*$J$2,0)</f>
        <v>0</v>
      </c>
      <c r="G195" s="158"/>
    </row>
    <row r="196" spans="1:7" x14ac:dyDescent="0.2">
      <c r="A196" s="134">
        <f t="shared" si="18"/>
        <v>20</v>
      </c>
      <c r="B196" s="153" t="str">
        <f>$B$23</f>
        <v>Base Rate Revenue</v>
      </c>
      <c r="C196" s="14"/>
      <c r="D196" s="11"/>
      <c r="F196" s="154">
        <f>SUM(F194:F195)</f>
        <v>8192433</v>
      </c>
      <c r="G196" s="158"/>
    </row>
    <row r="197" spans="1:7" x14ac:dyDescent="0.2">
      <c r="A197" s="134">
        <f t="shared" si="18"/>
        <v>21</v>
      </c>
      <c r="B197" s="164" t="str">
        <f>$B$24</f>
        <v>Gas Cost</v>
      </c>
      <c r="C197" s="14"/>
      <c r="D197" s="29">
        <f>D193</f>
        <v>1392058.1</v>
      </c>
      <c r="E197" s="158">
        <f>$J$14</f>
        <v>0.92659999999999998</v>
      </c>
      <c r="F197" s="156">
        <f>ROUND(D197*E197,0)</f>
        <v>1289881</v>
      </c>
      <c r="G197" s="158"/>
    </row>
    <row r="198" spans="1:7" x14ac:dyDescent="0.2">
      <c r="A198" s="134">
        <f t="shared" si="18"/>
        <v>22</v>
      </c>
      <c r="B198" s="14" t="s">
        <v>133</v>
      </c>
      <c r="C198" s="154">
        <f>C190</f>
        <v>92997</v>
      </c>
      <c r="D198" s="11">
        <f>D197</f>
        <v>1392058.1</v>
      </c>
      <c r="E198" s="157"/>
      <c r="F198" s="154">
        <f>SUM(F196:F197)</f>
        <v>9482314</v>
      </c>
      <c r="G198" s="158">
        <f>IF(F198=0,0,ROUND(F198/D198,4))</f>
        <v>6.8117000000000001</v>
      </c>
    </row>
    <row r="199" spans="1:7" x14ac:dyDescent="0.2">
      <c r="B199" s="166"/>
      <c r="C199" s="154"/>
      <c r="D199" s="11"/>
      <c r="E199" s="66"/>
      <c r="F199" s="154"/>
      <c r="G199" s="158"/>
    </row>
    <row r="200" spans="1:7" x14ac:dyDescent="0.2">
      <c r="A200" s="134">
        <f>A198+1</f>
        <v>23</v>
      </c>
      <c r="B200" s="34" t="s">
        <v>552</v>
      </c>
      <c r="C200" s="154"/>
      <c r="D200" s="11"/>
      <c r="E200" s="66"/>
      <c r="F200" s="154"/>
      <c r="G200" s="158"/>
    </row>
    <row r="201" spans="1:7" x14ac:dyDescent="0.2">
      <c r="A201" s="134">
        <f>A200+1</f>
        <v>24</v>
      </c>
      <c r="B201" s="27" t="str">
        <f>$B$15</f>
        <v>Customer Charge</v>
      </c>
      <c r="C201" s="154"/>
      <c r="D201" s="11"/>
      <c r="E201" s="66"/>
      <c r="F201" s="154"/>
      <c r="G201" s="158"/>
    </row>
    <row r="202" spans="1:7" x14ac:dyDescent="0.2">
      <c r="A202" s="134">
        <f>A201+1</f>
        <v>25</v>
      </c>
      <c r="B202" s="166" t="s">
        <v>414</v>
      </c>
      <c r="C202" s="154">
        <f>'Sch2'!I129</f>
        <v>7782</v>
      </c>
      <c r="D202" s="11"/>
      <c r="E202" s="66">
        <f>E60</f>
        <v>48</v>
      </c>
      <c r="F202" s="154">
        <f>ROUND(C202*E202,0)</f>
        <v>373536</v>
      </c>
      <c r="G202" s="158"/>
    </row>
    <row r="203" spans="1:7" x14ac:dyDescent="0.2">
      <c r="A203" s="134">
        <f>A202+1</f>
        <v>26</v>
      </c>
      <c r="B203" s="27" t="str">
        <f>$B$16</f>
        <v>Commodity Charge:</v>
      </c>
      <c r="G203" s="158"/>
    </row>
    <row r="204" spans="1:7" x14ac:dyDescent="0.2">
      <c r="A204" s="134">
        <f t="shared" ref="A204:A209" si="19">A203+1</f>
        <v>27</v>
      </c>
      <c r="B204" s="164" t="str">
        <f>B202</f>
        <v>&gt; 6,440 to ≤ 64,400 Therms Annually</v>
      </c>
      <c r="C204" s="154"/>
      <c r="D204" s="29">
        <f>'Sch3'!H117</f>
        <v>973921.5</v>
      </c>
      <c r="E204" s="158">
        <f>E62</f>
        <v>3.8081999999999998</v>
      </c>
      <c r="F204" s="154">
        <f>ROUND(D204*E204,0)</f>
        <v>3708888</v>
      </c>
      <c r="G204" s="158"/>
    </row>
    <row r="205" spans="1:7" x14ac:dyDescent="0.2">
      <c r="A205" s="134">
        <f t="shared" si="19"/>
        <v>28</v>
      </c>
      <c r="B205" s="165" t="s">
        <v>65</v>
      </c>
      <c r="C205" s="154"/>
      <c r="D205" s="11">
        <f>D204</f>
        <v>973921.5</v>
      </c>
      <c r="E205" s="158"/>
      <c r="F205" s="154"/>
      <c r="G205" s="158"/>
    </row>
    <row r="206" spans="1:7" x14ac:dyDescent="0.2">
      <c r="A206" s="134">
        <f t="shared" si="19"/>
        <v>29</v>
      </c>
      <c r="B206" s="164" t="s">
        <v>441</v>
      </c>
      <c r="C206" s="154"/>
      <c r="D206" s="11">
        <f>D205</f>
        <v>973921.5</v>
      </c>
      <c r="E206" s="158">
        <f>E19</f>
        <v>1E-3</v>
      </c>
      <c r="F206" s="154">
        <f>ROUND(D206*E206,0)</f>
        <v>974</v>
      </c>
      <c r="G206" s="158"/>
    </row>
    <row r="207" spans="1:7" x14ac:dyDescent="0.2">
      <c r="A207" s="134">
        <f t="shared" si="19"/>
        <v>30</v>
      </c>
      <c r="B207" s="166" t="s">
        <v>641</v>
      </c>
      <c r="C207" s="151">
        <f>ROUND(13*12,0)</f>
        <v>156</v>
      </c>
      <c r="D207" s="11"/>
      <c r="E207" s="348">
        <f>' SCH 8 - Rate Design'!F341</f>
        <v>319.60000000000002</v>
      </c>
      <c r="F207" s="154">
        <f>ROUND(C207*E207,0)</f>
        <v>49858</v>
      </c>
      <c r="G207" s="158"/>
    </row>
    <row r="208" spans="1:7" x14ac:dyDescent="0.2">
      <c r="A208" s="134">
        <f t="shared" si="19"/>
        <v>31</v>
      </c>
      <c r="B208" s="27" t="str">
        <f>$B$21</f>
        <v>Subtotal</v>
      </c>
      <c r="C208" s="154"/>
      <c r="D208" s="11"/>
      <c r="E208" s="157"/>
      <c r="F208" s="154">
        <f>SUM(F202:F207)</f>
        <v>4133256</v>
      </c>
      <c r="G208" s="158"/>
    </row>
    <row r="209" spans="1:7" x14ac:dyDescent="0.2">
      <c r="A209" s="134">
        <f t="shared" si="19"/>
        <v>32</v>
      </c>
      <c r="B209" s="164" t="str">
        <f>$B$22</f>
        <v>STAS</v>
      </c>
      <c r="C209" s="154"/>
      <c r="D209" s="11"/>
      <c r="E209" s="157"/>
      <c r="F209" s="156">
        <f>ROUND(F208*$J$2,0)</f>
        <v>0</v>
      </c>
      <c r="G209" s="158"/>
    </row>
    <row r="210" spans="1:7" x14ac:dyDescent="0.2">
      <c r="A210" s="134">
        <f t="shared" ref="A210:A212" si="20">A209+1</f>
        <v>33</v>
      </c>
      <c r="B210" s="153" t="str">
        <f>$B$23</f>
        <v>Base Rate Revenue</v>
      </c>
      <c r="C210" s="14"/>
      <c r="D210" s="11"/>
      <c r="F210" s="154">
        <f>SUM(F208:F209)</f>
        <v>4133256</v>
      </c>
      <c r="G210" s="158"/>
    </row>
    <row r="211" spans="1:7" x14ac:dyDescent="0.2">
      <c r="A211" s="134">
        <f t="shared" si="20"/>
        <v>34</v>
      </c>
      <c r="B211" s="164" t="str">
        <f>$B$24</f>
        <v>Gas Cost</v>
      </c>
      <c r="C211" s="14"/>
      <c r="D211" s="29">
        <f>D205</f>
        <v>973921.5</v>
      </c>
      <c r="E211" s="158">
        <f>$J$14</f>
        <v>0.92659999999999998</v>
      </c>
      <c r="F211" s="156">
        <f>ROUND(D211*E211,0)</f>
        <v>902436</v>
      </c>
      <c r="G211" s="158"/>
    </row>
    <row r="212" spans="1:7" x14ac:dyDescent="0.2">
      <c r="A212" s="134">
        <f t="shared" si="20"/>
        <v>35</v>
      </c>
      <c r="B212" s="14" t="s">
        <v>133</v>
      </c>
      <c r="C212" s="154">
        <f>C202</f>
        <v>7782</v>
      </c>
      <c r="D212" s="11">
        <f>D211</f>
        <v>973921.5</v>
      </c>
      <c r="E212" s="157"/>
      <c r="F212" s="154">
        <f>SUM(F210:F211)</f>
        <v>5035692</v>
      </c>
      <c r="G212" s="158">
        <f>IF(F212=0,0,ROUND(F212/D212,4))</f>
        <v>5.1704999999999997</v>
      </c>
    </row>
    <row r="213" spans="1:7" x14ac:dyDescent="0.2">
      <c r="B213" s="14"/>
      <c r="C213" s="154"/>
      <c r="D213" s="11"/>
      <c r="E213" s="157"/>
      <c r="F213" s="154"/>
      <c r="G213" s="158"/>
    </row>
    <row r="214" spans="1:7" x14ac:dyDescent="0.2">
      <c r="A214" s="134">
        <f>A212+1</f>
        <v>36</v>
      </c>
      <c r="B214" s="34" t="s">
        <v>553</v>
      </c>
      <c r="C214" s="154"/>
      <c r="D214" s="11"/>
      <c r="E214" s="157"/>
      <c r="F214" s="154"/>
      <c r="G214" s="158"/>
    </row>
    <row r="215" spans="1:7" x14ac:dyDescent="0.2">
      <c r="B215" s="13"/>
      <c r="C215" s="154"/>
      <c r="D215" s="11"/>
      <c r="E215" s="157"/>
      <c r="F215" s="154"/>
      <c r="G215" s="158"/>
    </row>
    <row r="216" spans="1:7" x14ac:dyDescent="0.2">
      <c r="A216" s="134">
        <f>A214+1</f>
        <v>37</v>
      </c>
      <c r="B216" s="27" t="str">
        <f>$B$44</f>
        <v>Customer Charge:</v>
      </c>
      <c r="D216" s="11"/>
      <c r="E216" s="157"/>
      <c r="F216" s="154"/>
      <c r="G216" s="158"/>
    </row>
    <row r="217" spans="1:7" x14ac:dyDescent="0.2">
      <c r="A217" s="134">
        <f t="shared" ref="A217:A228" si="21">A216+1</f>
        <v>38</v>
      </c>
      <c r="B217" s="166" t="str">
        <f>$B$45</f>
        <v>≤ 6,440 Therms Annually</v>
      </c>
      <c r="C217" s="154">
        <f>'Sch2'!I137+'Sch2'!I143</f>
        <v>11047</v>
      </c>
      <c r="D217" s="11"/>
      <c r="E217" s="66">
        <f>$E$45</f>
        <v>22.75</v>
      </c>
      <c r="F217" s="154">
        <f>ROUND(C217*E217,0)</f>
        <v>251319</v>
      </c>
      <c r="G217" s="158"/>
    </row>
    <row r="218" spans="1:7" x14ac:dyDescent="0.2">
      <c r="A218" s="134">
        <f t="shared" si="21"/>
        <v>39</v>
      </c>
      <c r="B218" s="27" t="str">
        <f>$B$16</f>
        <v>Commodity Charge:</v>
      </c>
      <c r="D218" s="11"/>
      <c r="E218" s="157"/>
      <c r="F218" s="154"/>
      <c r="G218" s="158"/>
    </row>
    <row r="219" spans="1:7" x14ac:dyDescent="0.2">
      <c r="A219" s="134">
        <f t="shared" si="21"/>
        <v>40</v>
      </c>
      <c r="B219" s="164" t="s">
        <v>134</v>
      </c>
      <c r="G219" s="158"/>
    </row>
    <row r="220" spans="1:7" x14ac:dyDescent="0.2">
      <c r="A220" s="134">
        <f t="shared" si="21"/>
        <v>41</v>
      </c>
      <c r="B220" s="164" t="str">
        <f>B217</f>
        <v>≤ 6,440 Therms Annually</v>
      </c>
      <c r="D220" s="11">
        <f>'Sch3'!H126+'Sch3'!H137</f>
        <v>39105.1</v>
      </c>
      <c r="E220" s="158">
        <f>' SCH 8 - Rate Design'!F316</f>
        <v>4.2423000000000002</v>
      </c>
      <c r="F220" s="154">
        <f>ROUND(D220*E220,0)</f>
        <v>165896</v>
      </c>
      <c r="G220" s="158"/>
    </row>
    <row r="221" spans="1:7" x14ac:dyDescent="0.2">
      <c r="A221" s="134">
        <f t="shared" si="21"/>
        <v>42</v>
      </c>
      <c r="B221" s="164" t="s">
        <v>135</v>
      </c>
      <c r="C221" s="154"/>
      <c r="G221" s="158"/>
    </row>
    <row r="222" spans="1:7" x14ac:dyDescent="0.2">
      <c r="A222" s="134">
        <f t="shared" si="21"/>
        <v>43</v>
      </c>
      <c r="B222" s="166" t="str">
        <f>$B$45</f>
        <v>≤ 6,440 Therms Annually</v>
      </c>
      <c r="C222" s="154"/>
      <c r="D222" s="29">
        <f>'Sch3'!H129+'Sch3'!H140</f>
        <v>211848.4</v>
      </c>
      <c r="E222" s="158">
        <f>E220</f>
        <v>4.2423000000000002</v>
      </c>
      <c r="F222" s="154">
        <f>ROUND(D222*E222,0)</f>
        <v>898724</v>
      </c>
      <c r="G222" s="158"/>
    </row>
    <row r="223" spans="1:7" x14ac:dyDescent="0.2">
      <c r="A223" s="134">
        <f t="shared" si="21"/>
        <v>44</v>
      </c>
      <c r="B223" s="164" t="s">
        <v>441</v>
      </c>
      <c r="C223" s="154"/>
      <c r="D223" s="11">
        <f>D220+D222</f>
        <v>250953.5</v>
      </c>
      <c r="E223" s="158">
        <f>E206</f>
        <v>1E-3</v>
      </c>
      <c r="F223" s="154">
        <f>ROUND(D223*E223,0)</f>
        <v>251</v>
      </c>
      <c r="G223" s="158"/>
    </row>
    <row r="224" spans="1:7" x14ac:dyDescent="0.2">
      <c r="A224" s="134">
        <f>1+A223</f>
        <v>45</v>
      </c>
      <c r="B224" s="27" t="str">
        <f>$B$21</f>
        <v>Subtotal</v>
      </c>
      <c r="C224" s="154"/>
      <c r="D224" s="11"/>
      <c r="E224" s="157"/>
      <c r="F224" s="154">
        <f>SUM(F217:F223)</f>
        <v>1316190</v>
      </c>
      <c r="G224" s="158"/>
    </row>
    <row r="225" spans="1:8" x14ac:dyDescent="0.2">
      <c r="A225" s="134">
        <f t="shared" si="21"/>
        <v>46</v>
      </c>
      <c r="B225" s="164" t="str">
        <f>$B$22</f>
        <v>STAS</v>
      </c>
      <c r="C225" s="154"/>
      <c r="D225" s="11"/>
      <c r="E225" s="157"/>
      <c r="F225" s="156">
        <f>ROUND(F224*$J$2,0)</f>
        <v>0</v>
      </c>
      <c r="G225" s="158"/>
    </row>
    <row r="226" spans="1:8" x14ac:dyDescent="0.2">
      <c r="A226" s="134">
        <f t="shared" si="21"/>
        <v>47</v>
      </c>
      <c r="B226" s="27" t="str">
        <f>$B$21</f>
        <v>Subtotal</v>
      </c>
      <c r="C226" s="154"/>
      <c r="D226" s="11"/>
      <c r="E226" s="157"/>
      <c r="F226" s="154">
        <f>SUM(F224:F225)</f>
        <v>1316190</v>
      </c>
      <c r="G226" s="158"/>
    </row>
    <row r="227" spans="1:8" x14ac:dyDescent="0.2">
      <c r="A227" s="134">
        <f t="shared" si="21"/>
        <v>48</v>
      </c>
      <c r="B227" s="164" t="s">
        <v>149</v>
      </c>
      <c r="C227" s="154">
        <f>'Sch2'!I138+'Sch2'!I144</f>
        <v>0</v>
      </c>
      <c r="D227" s="11">
        <f>'Sch3'!H131+'Sch3'!H142</f>
        <v>930</v>
      </c>
      <c r="E227" s="113" t="s">
        <v>238</v>
      </c>
      <c r="F227" s="154">
        <f>'Sch1'!F215</f>
        <v>2678</v>
      </c>
      <c r="G227" s="158"/>
    </row>
    <row r="228" spans="1:8" x14ac:dyDescent="0.2">
      <c r="A228" s="134">
        <f t="shared" si="21"/>
        <v>49</v>
      </c>
      <c r="B228" s="164" t="s">
        <v>222</v>
      </c>
      <c r="C228" s="156"/>
      <c r="D228" s="29">
        <f>D220</f>
        <v>39105.1</v>
      </c>
      <c r="E228" s="158">
        <f>M5</f>
        <v>1.2373000000000001</v>
      </c>
      <c r="F228" s="156">
        <f>ROUND(D228*E228,0)</f>
        <v>48385</v>
      </c>
      <c r="G228" s="158"/>
    </row>
    <row r="229" spans="1:8" x14ac:dyDescent="0.2">
      <c r="A229" s="134">
        <f>A228+1</f>
        <v>50</v>
      </c>
      <c r="B229" s="14" t="s">
        <v>119</v>
      </c>
      <c r="C229" s="154">
        <f>C227+C217</f>
        <v>11047</v>
      </c>
      <c r="D229" s="11">
        <f>D227+D223</f>
        <v>251883.5</v>
      </c>
      <c r="E229" s="157"/>
      <c r="F229" s="154">
        <f>SUM(F226:F228)</f>
        <v>1367253</v>
      </c>
      <c r="G229" s="158">
        <f>ROUND(F229/D229,4)</f>
        <v>5.4280999999999997</v>
      </c>
    </row>
    <row r="230" spans="1:8" x14ac:dyDescent="0.2">
      <c r="A230" s="77"/>
      <c r="B230" s="155"/>
      <c r="C230" s="20"/>
      <c r="D230" s="21"/>
      <c r="E230" s="46"/>
      <c r="F230" s="20"/>
      <c r="G230" s="2" t="str">
        <f>adjno</f>
        <v>Exhibit No. 103</v>
      </c>
    </row>
    <row r="231" spans="1:8" x14ac:dyDescent="0.2">
      <c r="A231" s="353" t="str">
        <f>coname</f>
        <v>Columbia Gas of Pennsylvania, Inc.</v>
      </c>
      <c r="B231" s="353"/>
      <c r="C231" s="353"/>
      <c r="D231" s="353"/>
      <c r="E231" s="353"/>
      <c r="F231" s="353"/>
      <c r="G231" s="2" t="str">
        <f>$G$2</f>
        <v>Schedule No. 7</v>
      </c>
    </row>
    <row r="232" spans="1:8" x14ac:dyDescent="0.2">
      <c r="A232" s="353" t="str">
        <f>A3</f>
        <v>Revenue @ Proposed Rates Based on Forecast Adjusted Bills and Volumes</v>
      </c>
      <c r="B232" s="353"/>
      <c r="C232" s="353"/>
      <c r="D232" s="353"/>
      <c r="E232" s="353"/>
      <c r="F232" s="353"/>
      <c r="G232" s="2" t="s">
        <v>608</v>
      </c>
    </row>
    <row r="233" spans="1:8" x14ac:dyDescent="0.2">
      <c r="A233" s="353" t="str">
        <f>TYDESC</f>
        <v>For the 12 Months Ended December 31, 2019</v>
      </c>
      <c r="B233" s="353"/>
      <c r="C233" s="353"/>
      <c r="D233" s="353"/>
      <c r="E233" s="353"/>
      <c r="F233" s="353"/>
      <c r="G233" s="4" t="str">
        <f>'Sch1'!$G$4</f>
        <v>Witness: D. Joe Mays</v>
      </c>
    </row>
    <row r="234" spans="1:8" x14ac:dyDescent="0.2">
      <c r="A234" s="345"/>
      <c r="B234" s="345"/>
      <c r="C234" s="6"/>
    </row>
    <row r="235" spans="1:8" x14ac:dyDescent="0.2">
      <c r="A235" s="345" t="s">
        <v>3</v>
      </c>
      <c r="B235" s="345"/>
      <c r="C235" s="6"/>
      <c r="D235" s="6"/>
      <c r="E235" s="6"/>
      <c r="F235" s="6"/>
      <c r="G235" s="275"/>
    </row>
    <row r="236" spans="1:8" x14ac:dyDescent="0.2">
      <c r="A236" s="172" t="s">
        <v>6</v>
      </c>
      <c r="B236" s="172" t="s">
        <v>7</v>
      </c>
      <c r="C236" s="172" t="s">
        <v>35</v>
      </c>
      <c r="D236" s="172" t="s">
        <v>40</v>
      </c>
      <c r="E236" s="172" t="s">
        <v>30</v>
      </c>
      <c r="F236" s="172" t="s">
        <v>31</v>
      </c>
      <c r="G236" s="172" t="s">
        <v>192</v>
      </c>
    </row>
    <row r="237" spans="1:8" x14ac:dyDescent="0.2">
      <c r="A237" s="345"/>
      <c r="B237" s="6"/>
      <c r="C237" s="345" t="s">
        <v>12</v>
      </c>
      <c r="D237" s="345" t="s">
        <v>13</v>
      </c>
      <c r="E237" s="345" t="s">
        <v>32</v>
      </c>
      <c r="F237" s="345" t="s">
        <v>14</v>
      </c>
      <c r="G237" s="275" t="s">
        <v>15</v>
      </c>
      <c r="H237" s="21"/>
    </row>
    <row r="238" spans="1:8" x14ac:dyDescent="0.2">
      <c r="A238" s="345"/>
      <c r="B238" s="6"/>
      <c r="C238" s="6"/>
      <c r="D238" s="345" t="s">
        <v>254</v>
      </c>
      <c r="E238" s="345" t="s">
        <v>255</v>
      </c>
      <c r="F238" s="345" t="s">
        <v>33</v>
      </c>
      <c r="G238" s="275" t="s">
        <v>255</v>
      </c>
      <c r="H238" s="21"/>
    </row>
    <row r="239" spans="1:8" x14ac:dyDescent="0.2">
      <c r="C239" s="9" t="s">
        <v>277</v>
      </c>
      <c r="D239" s="9" t="s">
        <v>278</v>
      </c>
      <c r="H239" s="21"/>
    </row>
    <row r="240" spans="1:8" x14ac:dyDescent="0.2">
      <c r="C240" s="9"/>
      <c r="D240" s="9"/>
      <c r="H240" s="21"/>
    </row>
    <row r="241" spans="1:11" x14ac:dyDescent="0.2">
      <c r="A241" s="134">
        <v>1</v>
      </c>
      <c r="B241" s="34" t="s">
        <v>555</v>
      </c>
      <c r="C241" s="154"/>
      <c r="D241" s="11"/>
      <c r="E241" s="157"/>
      <c r="F241" s="154"/>
      <c r="G241" s="158"/>
    </row>
    <row r="242" spans="1:11" x14ac:dyDescent="0.2">
      <c r="B242" s="34"/>
      <c r="C242" s="154"/>
      <c r="D242" s="11"/>
      <c r="E242" s="157"/>
      <c r="F242" s="154"/>
      <c r="G242" s="158"/>
    </row>
    <row r="243" spans="1:11" x14ac:dyDescent="0.2">
      <c r="A243" s="134">
        <f>A241+1</f>
        <v>2</v>
      </c>
      <c r="B243" s="27" t="str">
        <f>$B$44</f>
        <v>Customer Charge:</v>
      </c>
      <c r="C243" s="154"/>
      <c r="D243" s="11"/>
      <c r="E243" s="157"/>
      <c r="F243" s="154"/>
      <c r="G243" s="158"/>
    </row>
    <row r="244" spans="1:11" x14ac:dyDescent="0.2">
      <c r="A244" s="134">
        <f>A243+1</f>
        <v>3</v>
      </c>
      <c r="B244" s="166" t="str">
        <f>$B$60</f>
        <v>&gt; 6,440 to ≤ 64,400 Therms Annually</v>
      </c>
      <c r="C244" s="154">
        <f>'Sch2'!I153+'Sch2'!I159</f>
        <v>19100</v>
      </c>
      <c r="D244" s="11"/>
      <c r="E244" s="66">
        <f>$E$60</f>
        <v>48</v>
      </c>
      <c r="F244" s="154">
        <f>ROUND(C244*E244,0)</f>
        <v>916800</v>
      </c>
      <c r="G244" s="158"/>
    </row>
    <row r="245" spans="1:11" x14ac:dyDescent="0.2">
      <c r="A245" s="134">
        <f t="shared" ref="A245:A257" si="22">A244+1</f>
        <v>4</v>
      </c>
      <c r="B245" s="27" t="str">
        <f>$B$16</f>
        <v>Commodity Charge:</v>
      </c>
      <c r="G245" s="158"/>
    </row>
    <row r="246" spans="1:11" x14ac:dyDescent="0.2">
      <c r="A246" s="134">
        <f t="shared" si="22"/>
        <v>5</v>
      </c>
      <c r="B246" s="164" t="s">
        <v>134</v>
      </c>
      <c r="G246" s="158"/>
    </row>
    <row r="247" spans="1:11" x14ac:dyDescent="0.2">
      <c r="A247" s="134">
        <f t="shared" si="22"/>
        <v>6</v>
      </c>
      <c r="B247" s="164" t="str">
        <f>B244</f>
        <v>&gt; 6,440 to ≤ 64,400 Therms Annually</v>
      </c>
      <c r="D247" s="11">
        <f>'Sch3'!H150+'Sch3'!H160</f>
        <v>789146.4</v>
      </c>
      <c r="E247" s="158">
        <f>' SCH 8 - Rate Design'!F355</f>
        <v>3.6862000000000004</v>
      </c>
      <c r="F247" s="154">
        <f>ROUND(D247*E247,0)</f>
        <v>2908951</v>
      </c>
      <c r="G247" s="158"/>
    </row>
    <row r="248" spans="1:11" x14ac:dyDescent="0.2">
      <c r="A248" s="134">
        <f t="shared" si="22"/>
        <v>7</v>
      </c>
      <c r="B248" s="164" t="s">
        <v>135</v>
      </c>
      <c r="D248" s="11"/>
      <c r="E248" s="206"/>
      <c r="F248" s="154"/>
      <c r="G248" s="158"/>
    </row>
    <row r="249" spans="1:11" x14ac:dyDescent="0.2">
      <c r="A249" s="134">
        <f t="shared" si="22"/>
        <v>8</v>
      </c>
      <c r="B249" s="166" t="str">
        <f>$B$60</f>
        <v>&gt; 6,440 to ≤ 64,400 Therms Annually</v>
      </c>
      <c r="C249" s="154"/>
      <c r="D249" s="29">
        <f>'Sch3'!H153+'Sch3'!H163</f>
        <v>2990230</v>
      </c>
      <c r="E249" s="158">
        <f>E247</f>
        <v>3.6862000000000004</v>
      </c>
      <c r="F249" s="154">
        <f>ROUND(D249*E249,0)</f>
        <v>11022586</v>
      </c>
      <c r="G249" s="158"/>
    </row>
    <row r="250" spans="1:11" x14ac:dyDescent="0.2">
      <c r="A250" s="134">
        <f t="shared" si="22"/>
        <v>9</v>
      </c>
      <c r="B250" s="164" t="s">
        <v>441</v>
      </c>
      <c r="C250" s="154"/>
      <c r="D250" s="11">
        <f>D249+D247</f>
        <v>3779376.4</v>
      </c>
      <c r="E250" s="158">
        <f>E223</f>
        <v>1E-3</v>
      </c>
      <c r="F250" s="154">
        <f>ROUND(D250*E250,0)</f>
        <v>3779</v>
      </c>
      <c r="G250" s="158"/>
    </row>
    <row r="251" spans="1:11" x14ac:dyDescent="0.2">
      <c r="A251" s="134">
        <f>1+A250</f>
        <v>10</v>
      </c>
      <c r="B251" s="27" t="str">
        <f>$B$21</f>
        <v>Subtotal</v>
      </c>
      <c r="C251" s="154"/>
      <c r="D251" s="11"/>
      <c r="E251" s="157"/>
      <c r="F251" s="154">
        <f>SUM(F244:F250)</f>
        <v>14852116</v>
      </c>
      <c r="G251" s="158"/>
      <c r="K251" s="31"/>
    </row>
    <row r="252" spans="1:11" x14ac:dyDescent="0.2">
      <c r="A252" s="134">
        <f t="shared" si="22"/>
        <v>11</v>
      </c>
      <c r="B252" s="164" t="str">
        <f>$B$22</f>
        <v>STAS</v>
      </c>
      <c r="C252" s="154"/>
      <c r="D252" s="11"/>
      <c r="E252" s="157"/>
      <c r="F252" s="156">
        <f>ROUND((F255+F251)*$J$2,0)</f>
        <v>0</v>
      </c>
      <c r="G252" s="158"/>
    </row>
    <row r="253" spans="1:11" x14ac:dyDescent="0.2">
      <c r="A253" s="134">
        <f t="shared" si="22"/>
        <v>12</v>
      </c>
      <c r="B253" s="27" t="str">
        <f>$B$21</f>
        <v>Subtotal</v>
      </c>
      <c r="C253" s="154"/>
      <c r="D253" s="11"/>
      <c r="E253" s="157"/>
      <c r="F253" s="154">
        <f>SUM(F251:F252)</f>
        <v>14852116</v>
      </c>
      <c r="G253" s="158"/>
    </row>
    <row r="254" spans="1:11" x14ac:dyDescent="0.2">
      <c r="A254" s="134">
        <f t="shared" si="22"/>
        <v>13</v>
      </c>
      <c r="B254" s="164" t="s">
        <v>149</v>
      </c>
      <c r="C254" s="154">
        <f>'Sch2'!I154+'Sch2'!I160</f>
        <v>24</v>
      </c>
      <c r="D254" s="11">
        <f>'Sch3'!H155</f>
        <v>27168.3</v>
      </c>
      <c r="E254" s="113" t="s">
        <v>238</v>
      </c>
      <c r="F254" s="154">
        <f>'Sch1'!F242</f>
        <v>43793</v>
      </c>
      <c r="G254" s="158"/>
    </row>
    <row r="255" spans="1:11" x14ac:dyDescent="0.2">
      <c r="A255" s="134">
        <f t="shared" si="22"/>
        <v>14</v>
      </c>
      <c r="B255" s="166" t="s">
        <v>641</v>
      </c>
      <c r="C255" s="151">
        <f>ROUND((97+1)*12,0)</f>
        <v>1176</v>
      </c>
      <c r="D255" s="11"/>
      <c r="E255" s="348">
        <f>' SCH 8 - Rate Design'!F341</f>
        <v>319.60000000000002</v>
      </c>
      <c r="F255" s="154">
        <f>ROUND(C255*E255,0)</f>
        <v>375850</v>
      </c>
      <c r="G255" s="158"/>
    </row>
    <row r="256" spans="1:11" x14ac:dyDescent="0.2">
      <c r="A256" s="134">
        <f t="shared" si="22"/>
        <v>15</v>
      </c>
      <c r="B256" s="164" t="s">
        <v>222</v>
      </c>
      <c r="C256" s="156"/>
      <c r="D256" s="29">
        <f>D247</f>
        <v>789146.4</v>
      </c>
      <c r="E256" s="158">
        <f>E228</f>
        <v>1.2373000000000001</v>
      </c>
      <c r="F256" s="156">
        <f>ROUND(D256*E256,0)</f>
        <v>976411</v>
      </c>
      <c r="G256" s="158"/>
      <c r="K256" s="237"/>
    </row>
    <row r="257" spans="1:10" x14ac:dyDescent="0.2">
      <c r="A257" s="134">
        <f t="shared" si="22"/>
        <v>16</v>
      </c>
      <c r="B257" s="14" t="s">
        <v>119</v>
      </c>
      <c r="C257" s="154">
        <f>C254+C244</f>
        <v>19124</v>
      </c>
      <c r="D257" s="11">
        <f>D254+D250</f>
        <v>3806544.6999999997</v>
      </c>
      <c r="E257" s="157"/>
      <c r="F257" s="154">
        <f>SUM(F253:F256)</f>
        <v>16248170</v>
      </c>
      <c r="G257" s="158">
        <f>ROUND(F257/D257,4)</f>
        <v>4.2685000000000004</v>
      </c>
    </row>
    <row r="258" spans="1:10" x14ac:dyDescent="0.2">
      <c r="A258" s="153"/>
    </row>
    <row r="259" spans="1:10" x14ac:dyDescent="0.2">
      <c r="A259" s="134">
        <f>A257+1</f>
        <v>17</v>
      </c>
      <c r="B259" s="42" t="s">
        <v>115</v>
      </c>
      <c r="C259" s="154"/>
      <c r="D259" s="11"/>
      <c r="E259" s="157"/>
      <c r="F259" s="154"/>
      <c r="G259" s="158"/>
    </row>
    <row r="260" spans="1:10" x14ac:dyDescent="0.2">
      <c r="B260" s="13"/>
      <c r="C260" s="154"/>
      <c r="D260" s="11"/>
      <c r="E260" s="157"/>
      <c r="F260" s="154"/>
      <c r="G260" s="158"/>
    </row>
    <row r="261" spans="1:10" x14ac:dyDescent="0.2">
      <c r="A261" s="134">
        <f>A259+1</f>
        <v>18</v>
      </c>
      <c r="B261" s="27" t="str">
        <f>$B$44</f>
        <v>Customer Charge:</v>
      </c>
      <c r="C261" s="154"/>
      <c r="D261" s="11"/>
      <c r="E261" s="157"/>
      <c r="F261" s="154"/>
      <c r="G261" s="158"/>
    </row>
    <row r="262" spans="1:10" x14ac:dyDescent="0.2">
      <c r="A262" s="134">
        <f t="shared" ref="A262:A271" si="23">A261+1</f>
        <v>19</v>
      </c>
      <c r="B262" s="167" t="s">
        <v>351</v>
      </c>
      <c r="C262" s="154">
        <f>'Sch2'!I169+'Sch2'!I189</f>
        <v>1933</v>
      </c>
      <c r="D262" s="11"/>
      <c r="E262" s="66">
        <f>' SCH 8 - Rate Design'!F379</f>
        <v>229.75</v>
      </c>
      <c r="F262" s="154">
        <f>ROUND(C262*E262,0)</f>
        <v>444107</v>
      </c>
      <c r="G262" s="158"/>
    </row>
    <row r="263" spans="1:10" x14ac:dyDescent="0.2">
      <c r="A263" s="134">
        <f t="shared" si="23"/>
        <v>20</v>
      </c>
      <c r="B263" s="167" t="s">
        <v>280</v>
      </c>
      <c r="C263" s="154">
        <f>'Sch2'!I170+'Sch2'!I190</f>
        <v>2417</v>
      </c>
      <c r="D263" s="11"/>
      <c r="E263" s="66">
        <f>' SCH 8 - Rate Design'!F380</f>
        <v>757.34</v>
      </c>
      <c r="F263" s="154">
        <f>ROUND(C263*E263,0)</f>
        <v>1830491</v>
      </c>
      <c r="G263" s="158"/>
    </row>
    <row r="264" spans="1:10" x14ac:dyDescent="0.2">
      <c r="A264" s="134">
        <f t="shared" si="23"/>
        <v>21</v>
      </c>
      <c r="B264" s="27" t="str">
        <f>$B$16</f>
        <v>Commodity Charge:</v>
      </c>
      <c r="C264" s="154"/>
      <c r="D264" s="11">
        <f>'Sch3'!H182+'Sch3'!H189</f>
        <v>1395304.1</v>
      </c>
      <c r="E264" s="213"/>
      <c r="F264" s="154"/>
      <c r="G264" s="158"/>
    </row>
    <row r="265" spans="1:10" x14ac:dyDescent="0.2">
      <c r="A265" s="134">
        <f t="shared" si="23"/>
        <v>22</v>
      </c>
      <c r="B265" s="167" t="s">
        <v>351</v>
      </c>
      <c r="C265" s="154"/>
      <c r="D265" s="29">
        <f>'Sch3'!H183+'Sch3'!H190</f>
        <v>4631727.4000000004</v>
      </c>
      <c r="E265" s="158">
        <f>' SCH 8 - Rate Design'!F383</f>
        <v>2.4365000000000001</v>
      </c>
      <c r="F265" s="154">
        <f>ROUND(D264*E265,0)</f>
        <v>3399658</v>
      </c>
      <c r="G265" s="158"/>
    </row>
    <row r="266" spans="1:10" x14ac:dyDescent="0.2">
      <c r="A266" s="134">
        <f t="shared" si="23"/>
        <v>23</v>
      </c>
      <c r="B266" s="167" t="s">
        <v>280</v>
      </c>
      <c r="C266" s="154"/>
      <c r="D266" s="11">
        <f>SUM(D264:D265)</f>
        <v>6027031.5</v>
      </c>
      <c r="E266" s="158">
        <f>' SCH 8 - Rate Design'!F384</f>
        <v>2.278</v>
      </c>
      <c r="F266" s="156">
        <f>ROUND(D265*E266,0)</f>
        <v>10551075</v>
      </c>
      <c r="G266" s="158"/>
    </row>
    <row r="267" spans="1:10" x14ac:dyDescent="0.2">
      <c r="A267" s="134">
        <f t="shared" si="23"/>
        <v>24</v>
      </c>
      <c r="B267" s="27" t="str">
        <f>$B$21</f>
        <v>Subtotal</v>
      </c>
      <c r="C267" s="154"/>
      <c r="D267" s="11"/>
      <c r="E267" s="157"/>
      <c r="F267" s="154">
        <f>SUM(F262:F266)</f>
        <v>16225331</v>
      </c>
      <c r="G267" s="158"/>
    </row>
    <row r="268" spans="1:10" x14ac:dyDescent="0.2">
      <c r="A268" s="134">
        <f t="shared" si="23"/>
        <v>25</v>
      </c>
      <c r="B268" s="27" t="str">
        <f>$B$22</f>
        <v>STAS</v>
      </c>
      <c r="C268" s="154"/>
      <c r="D268" s="11"/>
      <c r="E268" s="157"/>
      <c r="F268" s="154">
        <f>ROUND((F267+F270)*$J$2,0)</f>
        <v>0</v>
      </c>
      <c r="G268" s="158"/>
    </row>
    <row r="269" spans="1:10" x14ac:dyDescent="0.2">
      <c r="A269" s="134">
        <f t="shared" si="23"/>
        <v>26</v>
      </c>
      <c r="B269" s="164" t="s">
        <v>230</v>
      </c>
      <c r="C269" s="96">
        <f>'Sch2'!I171+'Sch2'!I191</f>
        <v>0</v>
      </c>
      <c r="D269" s="11">
        <f>'Sch3'!H184+'Sch3'!H191</f>
        <v>208600</v>
      </c>
      <c r="E269" s="113" t="s">
        <v>238</v>
      </c>
      <c r="F269" s="154">
        <f>'Sch1'!F256</f>
        <v>163647</v>
      </c>
      <c r="G269" s="158"/>
    </row>
    <row r="270" spans="1:10" x14ac:dyDescent="0.2">
      <c r="A270" s="134">
        <f t="shared" si="23"/>
        <v>27</v>
      </c>
      <c r="B270" s="166" t="s">
        <v>637</v>
      </c>
      <c r="C270" s="350">
        <f>ROUND(430*12,0)-C117</f>
        <v>4342</v>
      </c>
      <c r="D270" s="29"/>
      <c r="E270" s="347">
        <f>' SCH 8 - Rate Design'!F377</f>
        <v>319.60000000000002</v>
      </c>
      <c r="F270" s="156">
        <f>ROUND(C270*E270,0)</f>
        <v>1387703</v>
      </c>
      <c r="G270" s="158"/>
      <c r="J270" s="154"/>
    </row>
    <row r="271" spans="1:10" x14ac:dyDescent="0.2">
      <c r="A271" s="134">
        <f t="shared" si="23"/>
        <v>28</v>
      </c>
      <c r="B271" s="14" t="s">
        <v>117</v>
      </c>
      <c r="C271" s="154">
        <f>SUM(C262:C263,C269)</f>
        <v>4350</v>
      </c>
      <c r="D271" s="11">
        <f>SUM(D266:D269)</f>
        <v>6235631.5</v>
      </c>
      <c r="E271" s="157"/>
      <c r="F271" s="154">
        <f>SUM(F267:F270)</f>
        <v>17776681</v>
      </c>
      <c r="G271" s="158">
        <f>ROUND(F271/D271,4)</f>
        <v>2.8508</v>
      </c>
    </row>
    <row r="272" spans="1:10" x14ac:dyDescent="0.2">
      <c r="C272" s="154"/>
      <c r="D272" s="11"/>
      <c r="E272" s="157"/>
      <c r="F272" s="154"/>
      <c r="G272" s="158"/>
    </row>
    <row r="273" spans="1:7" x14ac:dyDescent="0.2">
      <c r="A273" s="134">
        <f>A271+1</f>
        <v>29</v>
      </c>
      <c r="B273" s="42" t="s">
        <v>116</v>
      </c>
      <c r="C273" s="154"/>
      <c r="D273" s="11"/>
      <c r="E273" s="157"/>
      <c r="F273" s="154"/>
      <c r="G273" s="158"/>
    </row>
    <row r="274" spans="1:7" x14ac:dyDescent="0.2">
      <c r="B274" s="13"/>
      <c r="C274" s="154"/>
      <c r="D274" s="11"/>
      <c r="E274" s="157"/>
      <c r="F274" s="154"/>
      <c r="G274" s="158"/>
    </row>
    <row r="275" spans="1:7" x14ac:dyDescent="0.2">
      <c r="A275" s="134">
        <f>A273+1</f>
        <v>30</v>
      </c>
      <c r="B275" s="27" t="str">
        <f>$B$44</f>
        <v>Customer Charge:</v>
      </c>
      <c r="C275" s="154"/>
      <c r="D275" s="11"/>
      <c r="E275" s="157"/>
      <c r="F275" s="154"/>
      <c r="G275" s="158"/>
    </row>
    <row r="276" spans="1:7" x14ac:dyDescent="0.2">
      <c r="A276" s="134">
        <f t="shared" ref="A276:A291" si="24">A275+1</f>
        <v>31</v>
      </c>
      <c r="B276" s="167" t="s">
        <v>285</v>
      </c>
      <c r="C276" s="154">
        <f>'Sch2'!I201+'Sch2'!I213</f>
        <v>530</v>
      </c>
      <c r="D276" s="11"/>
      <c r="E276" s="66">
        <f>' SCH 8 - Rate Design'!F399</f>
        <v>1947.06</v>
      </c>
      <c r="F276" s="154">
        <f>ROUND(C276*E276,0)</f>
        <v>1031942</v>
      </c>
      <c r="G276" s="158"/>
    </row>
    <row r="277" spans="1:7" x14ac:dyDescent="0.2">
      <c r="A277" s="134">
        <f t="shared" si="24"/>
        <v>32</v>
      </c>
      <c r="B277" s="167" t="s">
        <v>282</v>
      </c>
      <c r="C277" s="154">
        <f>'Sch2'!I202+'Sch2'!I214</f>
        <v>312</v>
      </c>
      <c r="D277" s="11"/>
      <c r="E277" s="66">
        <f>' SCH 8 - Rate Design'!F400</f>
        <v>3028.76</v>
      </c>
      <c r="F277" s="154">
        <f>ROUND(C277*E277,0)</f>
        <v>944973</v>
      </c>
      <c r="G277" s="158"/>
    </row>
    <row r="278" spans="1:7" x14ac:dyDescent="0.2">
      <c r="A278" s="134">
        <f t="shared" si="24"/>
        <v>33</v>
      </c>
      <c r="B278" s="167" t="s">
        <v>283</v>
      </c>
      <c r="C278" s="154">
        <f>'Sch2'!I203+'Sch2'!I215</f>
        <v>60</v>
      </c>
      <c r="D278" s="11"/>
      <c r="E278" s="66">
        <f>' SCH 8 - Rate Design'!F401</f>
        <v>5841.18</v>
      </c>
      <c r="F278" s="154">
        <f>ROUND(C278*E278,0)</f>
        <v>350471</v>
      </c>
      <c r="G278" s="158"/>
    </row>
    <row r="279" spans="1:7" x14ac:dyDescent="0.2">
      <c r="A279" s="134">
        <f t="shared" si="24"/>
        <v>34</v>
      </c>
      <c r="B279" s="167" t="s">
        <v>286</v>
      </c>
      <c r="C279" s="156">
        <f>'Sch2'!I204+'Sch2'!I216</f>
        <v>12</v>
      </c>
      <c r="D279" s="11"/>
      <c r="E279" s="66">
        <f>' SCH 8 - Rate Design'!F402</f>
        <v>8653.6</v>
      </c>
      <c r="F279" s="156">
        <f>ROUND(C279*E279,0)</f>
        <v>103843</v>
      </c>
      <c r="G279" s="158"/>
    </row>
    <row r="280" spans="1:7" x14ac:dyDescent="0.2">
      <c r="A280" s="134">
        <f t="shared" si="24"/>
        <v>35</v>
      </c>
      <c r="B280" s="27" t="s">
        <v>20</v>
      </c>
      <c r="C280" s="154">
        <f>SUM(C276:C279)</f>
        <v>914</v>
      </c>
      <c r="D280" s="11"/>
      <c r="E280" s="213"/>
      <c r="F280" s="154">
        <f>SUM(F276:F279)</f>
        <v>2431229</v>
      </c>
      <c r="G280" s="158"/>
    </row>
    <row r="281" spans="1:7" x14ac:dyDescent="0.2">
      <c r="A281" s="134">
        <f t="shared" si="24"/>
        <v>36</v>
      </c>
      <c r="B281" s="27" t="str">
        <f>$B$16</f>
        <v>Commodity Charge:</v>
      </c>
      <c r="C281" s="154"/>
      <c r="D281" s="11"/>
      <c r="E281" s="213"/>
      <c r="F281" s="154"/>
      <c r="G281" s="158"/>
    </row>
    <row r="282" spans="1:7" x14ac:dyDescent="0.2">
      <c r="A282" s="134">
        <f t="shared" si="24"/>
        <v>37</v>
      </c>
      <c r="B282" s="167" t="s">
        <v>285</v>
      </c>
      <c r="C282" s="154"/>
      <c r="D282" s="11">
        <f>'Sch3'!H200+'Sch3'!H209</f>
        <v>3260291.1</v>
      </c>
      <c r="E282" s="158">
        <f>' SCH 8 - Rate Design'!F406</f>
        <v>1.5021</v>
      </c>
      <c r="F282" s="154">
        <f>ROUND(D282*E282,0)</f>
        <v>4897283</v>
      </c>
      <c r="G282" s="158"/>
    </row>
    <row r="283" spans="1:7" x14ac:dyDescent="0.2">
      <c r="A283" s="134">
        <f>A282+1</f>
        <v>38</v>
      </c>
      <c r="B283" s="167" t="s">
        <v>282</v>
      </c>
      <c r="C283" s="154"/>
      <c r="D283" s="11">
        <f>'Sch3'!H201+'Sch3'!H210</f>
        <v>4629000</v>
      </c>
      <c r="E283" s="158">
        <f>' SCH 8 - Rate Design'!F407</f>
        <v>1.3323</v>
      </c>
      <c r="F283" s="154">
        <f>ROUND(D283*E283,0)</f>
        <v>6167217</v>
      </c>
      <c r="G283" s="76"/>
    </row>
    <row r="284" spans="1:7" x14ac:dyDescent="0.2">
      <c r="A284" s="134">
        <f t="shared" si="24"/>
        <v>39</v>
      </c>
      <c r="B284" s="167" t="s">
        <v>283</v>
      </c>
      <c r="C284" s="154"/>
      <c r="D284" s="11">
        <f>'Sch3'!H202+'Sch3'!H211</f>
        <v>1214000</v>
      </c>
      <c r="E284" s="158">
        <f>' SCH 8 - Rate Design'!F408</f>
        <v>1.1956</v>
      </c>
      <c r="F284" s="154">
        <f>ROUND(D284*E284,0)</f>
        <v>1451458</v>
      </c>
      <c r="G284" s="158"/>
    </row>
    <row r="285" spans="1:7" x14ac:dyDescent="0.2">
      <c r="A285" s="134">
        <f t="shared" si="24"/>
        <v>40</v>
      </c>
      <c r="B285" s="167" t="s">
        <v>286</v>
      </c>
      <c r="C285" s="154"/>
      <c r="D285" s="29">
        <f>'Sch3'!H203+'Sch3'!H212</f>
        <v>1000000</v>
      </c>
      <c r="E285" s="158">
        <f>' SCH 8 - Rate Design'!F409</f>
        <v>0.71150000000000002</v>
      </c>
      <c r="F285" s="156">
        <f>ROUND(D285*E285,0)</f>
        <v>711500</v>
      </c>
      <c r="G285" s="158"/>
    </row>
    <row r="286" spans="1:7" x14ac:dyDescent="0.2">
      <c r="A286" s="134">
        <f t="shared" si="24"/>
        <v>41</v>
      </c>
      <c r="B286" s="166" t="s">
        <v>360</v>
      </c>
      <c r="C286" s="154"/>
      <c r="D286" s="11">
        <f>SUM(D282:D285)</f>
        <v>10103291.1</v>
      </c>
      <c r="E286" s="157"/>
      <c r="F286" s="154">
        <f>SUM(F282:F285)</f>
        <v>13227458</v>
      </c>
      <c r="G286" s="158"/>
    </row>
    <row r="287" spans="1:7" x14ac:dyDescent="0.2">
      <c r="A287" s="134">
        <f>1+A286</f>
        <v>42</v>
      </c>
      <c r="B287" s="27" t="str">
        <f>$B$21</f>
        <v>Subtotal</v>
      </c>
      <c r="C287" s="154"/>
      <c r="D287" s="11"/>
      <c r="E287" s="157"/>
      <c r="F287" s="154">
        <f>SUM(F280)+F286</f>
        <v>15658687</v>
      </c>
      <c r="G287" s="158"/>
    </row>
    <row r="288" spans="1:7" x14ac:dyDescent="0.2">
      <c r="A288" s="134">
        <f t="shared" si="24"/>
        <v>43</v>
      </c>
      <c r="B288" s="164" t="str">
        <f>$B$22</f>
        <v>STAS</v>
      </c>
      <c r="C288" s="154"/>
      <c r="D288" s="11"/>
      <c r="E288" s="157"/>
      <c r="F288" s="154">
        <f>ROUND((F290+F287)*$J$2,0)</f>
        <v>0</v>
      </c>
      <c r="G288" s="158"/>
    </row>
    <row r="289" spans="1:7" x14ac:dyDescent="0.2">
      <c r="A289" s="134">
        <f t="shared" si="24"/>
        <v>44</v>
      </c>
      <c r="B289" s="164" t="s">
        <v>227</v>
      </c>
      <c r="C289" s="154">
        <f>'Sch2'!I205+'Sch2'!I217</f>
        <v>168</v>
      </c>
      <c r="D289" s="11">
        <f>'Sch3'!H204+'Sch3'!H213</f>
        <v>10548652.9</v>
      </c>
      <c r="E289" s="113" t="s">
        <v>238</v>
      </c>
      <c r="F289" s="154">
        <f>'Sch1'!F275</f>
        <v>4020861</v>
      </c>
      <c r="G289" s="158"/>
    </row>
    <row r="290" spans="1:7" x14ac:dyDescent="0.2">
      <c r="A290" s="134">
        <f t="shared" si="24"/>
        <v>45</v>
      </c>
      <c r="B290" s="166" t="s">
        <v>637</v>
      </c>
      <c r="C290" s="151">
        <f>ROUND((90-12)*12,0)-C118</f>
        <v>936</v>
      </c>
      <c r="D290" s="29"/>
      <c r="E290" s="113">
        <f>' SCH 8 - Rate Design'!F396</f>
        <v>368.76</v>
      </c>
      <c r="F290" s="156">
        <f>ROUND(C290*E290,0)</f>
        <v>345159</v>
      </c>
      <c r="G290" s="158"/>
    </row>
    <row r="291" spans="1:7" x14ac:dyDescent="0.2">
      <c r="A291" s="134">
        <f t="shared" si="24"/>
        <v>46</v>
      </c>
      <c r="B291" s="14" t="s">
        <v>118</v>
      </c>
      <c r="C291" s="154">
        <f>SUM(C276:C279,C289)</f>
        <v>1082</v>
      </c>
      <c r="D291" s="11">
        <f>D289+D286</f>
        <v>20651944</v>
      </c>
      <c r="E291" s="157"/>
      <c r="F291" s="154">
        <f>SUM(F287:F290)</f>
        <v>20024707</v>
      </c>
      <c r="G291" s="158">
        <f>ROUND(F291/D291,4)</f>
        <v>0.96960000000000002</v>
      </c>
    </row>
    <row r="292" spans="1:7" x14ac:dyDescent="0.2">
      <c r="B292" s="14"/>
      <c r="C292" s="154"/>
      <c r="D292" s="11"/>
      <c r="E292" s="157"/>
      <c r="F292" s="154"/>
      <c r="G292" s="158"/>
    </row>
    <row r="293" spans="1:7" x14ac:dyDescent="0.2">
      <c r="A293" s="134">
        <f>A291+1</f>
        <v>47</v>
      </c>
      <c r="B293" s="42" t="s">
        <v>143</v>
      </c>
      <c r="C293" s="154"/>
      <c r="D293" s="11"/>
      <c r="E293" s="157"/>
      <c r="F293" s="154"/>
      <c r="G293" s="158"/>
    </row>
    <row r="294" spans="1:7" x14ac:dyDescent="0.2">
      <c r="B294" s="13"/>
      <c r="C294" s="154"/>
      <c r="D294" s="11"/>
      <c r="E294" s="157"/>
      <c r="F294" s="154"/>
      <c r="G294" s="158"/>
    </row>
    <row r="295" spans="1:7" x14ac:dyDescent="0.2">
      <c r="A295" s="134">
        <f>A293+1</f>
        <v>48</v>
      </c>
      <c r="B295" s="27" t="str">
        <f>$B$44</f>
        <v>Customer Charge:</v>
      </c>
      <c r="C295" s="154"/>
      <c r="D295" s="11"/>
      <c r="E295" s="157"/>
      <c r="F295" s="154"/>
      <c r="G295" s="158"/>
    </row>
    <row r="296" spans="1:7" x14ac:dyDescent="0.2">
      <c r="A296" s="134">
        <f>A295+1</f>
        <v>49</v>
      </c>
      <c r="B296" s="167" t="s">
        <v>287</v>
      </c>
      <c r="C296" s="154">
        <f>'Sch2'!I227+'Sch2'!I239</f>
        <v>12</v>
      </c>
      <c r="D296" s="11"/>
      <c r="E296" s="66">
        <f>' SCH 8 - Rate Design'!F435</f>
        <v>469.34</v>
      </c>
      <c r="F296" s="154">
        <f>ROUND(C296*E296,0)</f>
        <v>5632</v>
      </c>
      <c r="G296" s="158"/>
    </row>
    <row r="297" spans="1:7" x14ac:dyDescent="0.2">
      <c r="A297" s="134">
        <f t="shared" ref="A297:A307" si="25">A296+1</f>
        <v>50</v>
      </c>
      <c r="B297" s="167" t="s">
        <v>281</v>
      </c>
      <c r="C297" s="154">
        <f>'Sch2'!I228+'Sch2'!I240</f>
        <v>26</v>
      </c>
      <c r="D297" s="11"/>
      <c r="E297" s="66">
        <f>' SCH 8 - Rate Design'!F436</f>
        <v>1149</v>
      </c>
      <c r="F297" s="154">
        <f>ROUND(C297*E297,0)</f>
        <v>29874</v>
      </c>
      <c r="G297" s="158"/>
    </row>
    <row r="298" spans="1:7" x14ac:dyDescent="0.2">
      <c r="A298" s="134">
        <f t="shared" si="25"/>
        <v>51</v>
      </c>
      <c r="B298" s="167" t="s">
        <v>282</v>
      </c>
      <c r="C298" s="154">
        <f>'Sch2'!I229+'Sch2'!I241</f>
        <v>24</v>
      </c>
      <c r="D298" s="11"/>
      <c r="E298" s="66">
        <f>' SCH 8 - Rate Design'!F437</f>
        <v>2050</v>
      </c>
      <c r="F298" s="154">
        <f>ROUND(C298*E298,0)</f>
        <v>49200</v>
      </c>
      <c r="G298" s="158"/>
    </row>
    <row r="299" spans="1:7" x14ac:dyDescent="0.2">
      <c r="A299" s="134">
        <f t="shared" si="25"/>
        <v>52</v>
      </c>
      <c r="B299" s="167" t="s">
        <v>283</v>
      </c>
      <c r="C299" s="154">
        <f>'Sch2'!I230+'Sch2'!I242</f>
        <v>0</v>
      </c>
      <c r="D299" s="11"/>
      <c r="E299" s="66">
        <f>' SCH 8 - Rate Design'!F438</f>
        <v>4096</v>
      </c>
      <c r="F299" s="154">
        <f>ROUND(C299*E299,0)</f>
        <v>0</v>
      </c>
      <c r="G299" s="158"/>
    </row>
    <row r="300" spans="1:7" x14ac:dyDescent="0.2">
      <c r="A300" s="134">
        <f t="shared" si="25"/>
        <v>53</v>
      </c>
      <c r="B300" s="167" t="s">
        <v>286</v>
      </c>
      <c r="C300" s="154">
        <f>'Sch2'!I231+'Sch2'!I243</f>
        <v>12</v>
      </c>
      <c r="D300" s="11"/>
      <c r="E300" s="66">
        <f>' SCH 8 - Rate Design'!F439</f>
        <v>7322</v>
      </c>
      <c r="F300" s="154">
        <f>ROUND(C300*E300,0)</f>
        <v>87864</v>
      </c>
      <c r="G300" s="158"/>
    </row>
    <row r="301" spans="1:7" x14ac:dyDescent="0.2">
      <c r="A301" s="134">
        <f t="shared" si="25"/>
        <v>54</v>
      </c>
      <c r="B301" s="27" t="str">
        <f>$B$16</f>
        <v>Commodity Charge:</v>
      </c>
      <c r="C301" s="154"/>
      <c r="D301" s="11"/>
      <c r="E301" s="66"/>
      <c r="F301" s="154"/>
      <c r="G301" s="158"/>
    </row>
    <row r="302" spans="1:7" x14ac:dyDescent="0.2">
      <c r="A302" s="134">
        <f t="shared" si="25"/>
        <v>55</v>
      </c>
      <c r="B302" s="164" t="s">
        <v>41</v>
      </c>
      <c r="C302" s="154"/>
      <c r="D302" s="11">
        <f>'Sch3'!H222+'Sch3'!H228</f>
        <v>154000</v>
      </c>
      <c r="E302" s="158">
        <f>' SCH 8 - Rate Design'!F447</f>
        <v>9.3700000000000006E-2</v>
      </c>
      <c r="F302" s="154">
        <f>ROUND(D302*E302,0)</f>
        <v>14430</v>
      </c>
      <c r="G302" s="158"/>
    </row>
    <row r="303" spans="1:7" x14ac:dyDescent="0.2">
      <c r="A303" s="134">
        <f>1+A302</f>
        <v>56</v>
      </c>
      <c r="B303" s="27" t="str">
        <f>$B$21</f>
        <v>Subtotal</v>
      </c>
      <c r="C303" s="154"/>
      <c r="D303" s="11"/>
      <c r="E303" s="95"/>
      <c r="F303" s="154">
        <f>SUM(F296:F302)</f>
        <v>187000</v>
      </c>
      <c r="G303" s="158"/>
    </row>
    <row r="304" spans="1:7" x14ac:dyDescent="0.2">
      <c r="A304" s="134">
        <f t="shared" si="25"/>
        <v>57</v>
      </c>
      <c r="B304" s="164" t="str">
        <f>$B$22</f>
        <v>STAS</v>
      </c>
      <c r="C304" s="154"/>
      <c r="D304" s="11"/>
      <c r="E304" s="95"/>
      <c r="F304" s="154">
        <f>ROUND((F306+F303)*$J$2,0)</f>
        <v>0</v>
      </c>
      <c r="G304" s="158"/>
    </row>
    <row r="305" spans="1:10" x14ac:dyDescent="0.2">
      <c r="A305" s="134">
        <f t="shared" si="25"/>
        <v>58</v>
      </c>
      <c r="B305" s="164" t="s">
        <v>142</v>
      </c>
      <c r="C305" s="154">
        <f>'Sch2'!I233+'Sch2'!I245</f>
        <v>0</v>
      </c>
      <c r="D305" s="11">
        <f>'Sch3'!H223+'Sch3'!H229</f>
        <v>2270000</v>
      </c>
      <c r="E305" s="113" t="s">
        <v>238</v>
      </c>
      <c r="F305" s="154">
        <f>'Sch1'!F291</f>
        <v>212245</v>
      </c>
      <c r="G305" s="158"/>
    </row>
    <row r="306" spans="1:10" x14ac:dyDescent="0.2">
      <c r="A306" s="134">
        <f t="shared" si="25"/>
        <v>59</v>
      </c>
      <c r="B306" s="166" t="s">
        <v>637</v>
      </c>
      <c r="C306" s="151">
        <f>ROUND(6*12,0)</f>
        <v>72</v>
      </c>
      <c r="D306" s="29"/>
      <c r="E306" s="113">
        <f>' SCH 8 - Rate Design'!F432</f>
        <v>351.52</v>
      </c>
      <c r="F306" s="156">
        <f>ROUND(C306*E306,0)</f>
        <v>25309</v>
      </c>
      <c r="G306" s="158"/>
      <c r="J306" s="237"/>
    </row>
    <row r="307" spans="1:10" x14ac:dyDescent="0.2">
      <c r="A307" s="134">
        <f t="shared" si="25"/>
        <v>60</v>
      </c>
      <c r="B307" s="14" t="s">
        <v>144</v>
      </c>
      <c r="C307" s="154">
        <f>SUM(C296:C300,C305)</f>
        <v>74</v>
      </c>
      <c r="D307" s="11">
        <f>SUM(D302:D305)</f>
        <v>2424000</v>
      </c>
      <c r="E307" s="157"/>
      <c r="F307" s="154">
        <f>SUM(F303:F306)</f>
        <v>424554</v>
      </c>
      <c r="G307" s="158">
        <f>ROUND(F307/D307,4)</f>
        <v>0.17510000000000001</v>
      </c>
      <c r="J307" s="154"/>
    </row>
    <row r="308" spans="1:10" x14ac:dyDescent="0.2">
      <c r="B308" s="14"/>
      <c r="C308" s="154"/>
      <c r="D308" s="11"/>
      <c r="E308" s="157"/>
      <c r="F308" s="154"/>
      <c r="G308" s="158"/>
    </row>
    <row r="309" spans="1:10" x14ac:dyDescent="0.2">
      <c r="C309" s="154"/>
      <c r="D309" s="11"/>
      <c r="E309" s="157"/>
      <c r="F309" s="154"/>
      <c r="G309" s="2" t="str">
        <f>adjno</f>
        <v>Exhibit No. 103</v>
      </c>
    </row>
    <row r="310" spans="1:10" x14ac:dyDescent="0.2">
      <c r="A310" s="353" t="str">
        <f>coname</f>
        <v>Columbia Gas of Pennsylvania, Inc.</v>
      </c>
      <c r="B310" s="353"/>
      <c r="C310" s="353"/>
      <c r="D310" s="353"/>
      <c r="E310" s="353"/>
      <c r="F310" s="353"/>
      <c r="G310" s="2" t="str">
        <f>$G$2</f>
        <v>Schedule No. 7</v>
      </c>
    </row>
    <row r="311" spans="1:10" x14ac:dyDescent="0.2">
      <c r="A311" s="353" t="str">
        <f>A3</f>
        <v>Revenue @ Proposed Rates Based on Forecast Adjusted Bills and Volumes</v>
      </c>
      <c r="B311" s="353"/>
      <c r="C311" s="353"/>
      <c r="D311" s="353"/>
      <c r="E311" s="353"/>
      <c r="F311" s="353"/>
      <c r="G311" s="2" t="s">
        <v>609</v>
      </c>
    </row>
    <row r="312" spans="1:10" x14ac:dyDescent="0.2">
      <c r="A312" s="353" t="str">
        <f>TYDESC</f>
        <v>For the 12 Months Ended December 31, 2019</v>
      </c>
      <c r="B312" s="353"/>
      <c r="C312" s="353"/>
      <c r="D312" s="353"/>
      <c r="E312" s="353"/>
      <c r="F312" s="353"/>
      <c r="G312" s="4" t="str">
        <f>'Sch1'!$G$4</f>
        <v>Witness: D. Joe Mays</v>
      </c>
    </row>
    <row r="313" spans="1:10" x14ac:dyDescent="0.2">
      <c r="A313" s="345"/>
      <c r="B313" s="345"/>
      <c r="C313" s="6"/>
    </row>
    <row r="314" spans="1:10" x14ac:dyDescent="0.2">
      <c r="A314" s="345" t="s">
        <v>3</v>
      </c>
      <c r="B314" s="345"/>
      <c r="C314" s="6"/>
      <c r="D314" s="6"/>
      <c r="E314" s="6"/>
      <c r="F314" s="6"/>
      <c r="G314" s="275"/>
    </row>
    <row r="315" spans="1:10" x14ac:dyDescent="0.2">
      <c r="A315" s="172" t="s">
        <v>6</v>
      </c>
      <c r="B315" s="172" t="s">
        <v>7</v>
      </c>
      <c r="C315" s="172" t="s">
        <v>35</v>
      </c>
      <c r="D315" s="172" t="s">
        <v>40</v>
      </c>
      <c r="E315" s="172" t="s">
        <v>30</v>
      </c>
      <c r="F315" s="172" t="s">
        <v>31</v>
      </c>
      <c r="G315" s="172" t="s">
        <v>192</v>
      </c>
    </row>
    <row r="316" spans="1:10" x14ac:dyDescent="0.2">
      <c r="A316" s="345"/>
      <c r="B316" s="6"/>
      <c r="C316" s="345" t="s">
        <v>12</v>
      </c>
      <c r="D316" s="345" t="s">
        <v>13</v>
      </c>
      <c r="E316" s="345" t="s">
        <v>32</v>
      </c>
      <c r="F316" s="345" t="s">
        <v>14</v>
      </c>
      <c r="G316" s="275" t="s">
        <v>15</v>
      </c>
    </row>
    <row r="317" spans="1:10" x14ac:dyDescent="0.2">
      <c r="A317" s="345"/>
      <c r="B317" s="6"/>
      <c r="C317" s="6"/>
      <c r="D317" s="345" t="s">
        <v>254</v>
      </c>
      <c r="E317" s="345" t="s">
        <v>255</v>
      </c>
      <c r="F317" s="345" t="s">
        <v>33</v>
      </c>
      <c r="G317" s="275" t="s">
        <v>255</v>
      </c>
    </row>
    <row r="318" spans="1:10" x14ac:dyDescent="0.2">
      <c r="C318" s="9" t="s">
        <v>277</v>
      </c>
      <c r="D318" s="9" t="s">
        <v>278</v>
      </c>
    </row>
    <row r="319" spans="1:10" x14ac:dyDescent="0.2">
      <c r="B319" s="14"/>
      <c r="C319" s="154"/>
      <c r="D319" s="11"/>
      <c r="E319" s="157"/>
      <c r="F319" s="154"/>
      <c r="G319" s="158"/>
    </row>
    <row r="320" spans="1:10" x14ac:dyDescent="0.2">
      <c r="A320" s="134">
        <v>1</v>
      </c>
      <c r="B320" s="42" t="s">
        <v>147</v>
      </c>
      <c r="C320" s="154"/>
      <c r="D320" s="11"/>
      <c r="E320" s="157"/>
      <c r="F320" s="154"/>
      <c r="G320" s="158"/>
      <c r="H320" s="155"/>
    </row>
    <row r="321" spans="1:8" x14ac:dyDescent="0.2">
      <c r="B321" s="13"/>
      <c r="C321" s="154"/>
      <c r="D321" s="11"/>
      <c r="E321" s="157"/>
      <c r="F321" s="154"/>
      <c r="G321" s="158"/>
      <c r="H321" s="155"/>
    </row>
    <row r="322" spans="1:8" x14ac:dyDescent="0.2">
      <c r="A322" s="134">
        <f>A320+1</f>
        <v>2</v>
      </c>
      <c r="B322" s="27" t="str">
        <f>$B$44</f>
        <v>Customer Charge:</v>
      </c>
      <c r="C322" s="154"/>
      <c r="D322" s="11"/>
      <c r="E322" s="157"/>
      <c r="F322" s="154"/>
      <c r="G322" s="158"/>
    </row>
    <row r="323" spans="1:8" x14ac:dyDescent="0.2">
      <c r="A323" s="134">
        <f>A322+1</f>
        <v>3</v>
      </c>
      <c r="B323" s="166" t="s">
        <v>452</v>
      </c>
      <c r="C323" s="154">
        <f>'Sch2'!I277</f>
        <v>0</v>
      </c>
      <c r="D323" s="11"/>
      <c r="E323" s="66">
        <f>' SCH 8 - Rate Design'!F442</f>
        <v>2050</v>
      </c>
      <c r="F323" s="154">
        <f>ROUND(C323*E323,0)</f>
        <v>0</v>
      </c>
      <c r="G323" s="158"/>
    </row>
    <row r="324" spans="1:8" x14ac:dyDescent="0.2">
      <c r="A324" s="134">
        <f t="shared" ref="A324:A335" si="26">A323+1</f>
        <v>4</v>
      </c>
      <c r="B324" s="167" t="s">
        <v>283</v>
      </c>
      <c r="C324" s="154">
        <f>'Sch2'!I278</f>
        <v>36</v>
      </c>
      <c r="D324" s="11"/>
      <c r="E324" s="66">
        <f>' SCH 8 - Rate Design'!F443</f>
        <v>4096</v>
      </c>
      <c r="F324" s="154">
        <f>ROUND(C324*E324,0)</f>
        <v>147456</v>
      </c>
      <c r="G324" s="158"/>
    </row>
    <row r="325" spans="1:8" x14ac:dyDescent="0.2">
      <c r="A325" s="134">
        <f t="shared" si="26"/>
        <v>5</v>
      </c>
      <c r="B325" s="167" t="s">
        <v>286</v>
      </c>
      <c r="C325" s="154">
        <f>'Sch2'!I279</f>
        <v>0</v>
      </c>
      <c r="D325" s="11"/>
      <c r="E325" s="66">
        <f>' SCH 8 - Rate Design'!F444</f>
        <v>7322</v>
      </c>
      <c r="F325" s="154">
        <f>ROUND(C325*E325,0)</f>
        <v>0</v>
      </c>
      <c r="G325" s="158"/>
    </row>
    <row r="326" spans="1:8" x14ac:dyDescent="0.2">
      <c r="A326" s="134">
        <f>A325+1</f>
        <v>6</v>
      </c>
      <c r="B326" s="27" t="str">
        <f>$B$16</f>
        <v>Commodity Charge:</v>
      </c>
      <c r="C326" s="154"/>
      <c r="D326" s="11"/>
      <c r="E326" s="158"/>
      <c r="F326" s="154"/>
      <c r="G326" s="158"/>
    </row>
    <row r="327" spans="1:8" x14ac:dyDescent="0.2">
      <c r="A327" s="134">
        <f>A326+1</f>
        <v>7</v>
      </c>
      <c r="B327" s="166" t="s">
        <v>452</v>
      </c>
      <c r="C327" s="154"/>
      <c r="D327" s="11">
        <f>'Sch3'!H257</f>
        <v>0</v>
      </c>
      <c r="E327" s="158">
        <f>' SCH 8 - Rate Design'!F450</f>
        <v>0.44790000000000002</v>
      </c>
      <c r="F327" s="154">
        <f>ROUND(D327*E327,0)</f>
        <v>0</v>
      </c>
      <c r="G327" s="158"/>
    </row>
    <row r="328" spans="1:8" x14ac:dyDescent="0.2">
      <c r="A328" s="134">
        <f t="shared" si="26"/>
        <v>8</v>
      </c>
      <c r="B328" s="167" t="s">
        <v>283</v>
      </c>
      <c r="C328" s="154"/>
      <c r="D328" s="11">
        <f>'Sch3'!H258</f>
        <v>0</v>
      </c>
      <c r="E328" s="158">
        <f>' SCH 8 - Rate Design'!F451</f>
        <v>0.38740000000000002</v>
      </c>
      <c r="F328" s="154">
        <f>ROUND(D328*E328,0)</f>
        <v>0</v>
      </c>
      <c r="G328" s="158"/>
    </row>
    <row r="329" spans="1:8" x14ac:dyDescent="0.2">
      <c r="A329" s="134">
        <f t="shared" si="26"/>
        <v>9</v>
      </c>
      <c r="B329" s="167" t="s">
        <v>286</v>
      </c>
      <c r="C329" s="154"/>
      <c r="D329" s="29">
        <f>'Sch3'!H259</f>
        <v>0</v>
      </c>
      <c r="E329" s="158">
        <f>' SCH 8 - Rate Design'!F452</f>
        <v>0.33550000000000002</v>
      </c>
      <c r="F329" s="156">
        <f>ROUND(D329*E329,0)</f>
        <v>0</v>
      </c>
      <c r="G329" s="158"/>
    </row>
    <row r="330" spans="1:8" x14ac:dyDescent="0.2">
      <c r="A330" s="134">
        <f t="shared" si="26"/>
        <v>10</v>
      </c>
      <c r="B330" s="166" t="s">
        <v>360</v>
      </c>
      <c r="C330" s="154"/>
      <c r="D330" s="11">
        <f>SUM(D327:D329)</f>
        <v>0</v>
      </c>
      <c r="E330" s="158"/>
      <c r="F330" s="11">
        <f>SUM(F327:F329)</f>
        <v>0</v>
      </c>
      <c r="G330" s="158"/>
    </row>
    <row r="331" spans="1:8" x14ac:dyDescent="0.2">
      <c r="A331" s="134">
        <f>1+A330</f>
        <v>11</v>
      </c>
      <c r="B331" s="27" t="str">
        <f>$B$21</f>
        <v>Subtotal</v>
      </c>
      <c r="C331" s="154"/>
      <c r="D331" s="11"/>
      <c r="E331" s="95"/>
      <c r="F331" s="154">
        <f>SUM(F323:F325)+F330</f>
        <v>147456</v>
      </c>
      <c r="G331" s="158"/>
    </row>
    <row r="332" spans="1:8" x14ac:dyDescent="0.2">
      <c r="A332" s="134">
        <f t="shared" si="26"/>
        <v>12</v>
      </c>
      <c r="B332" s="164" t="str">
        <f>$B$22</f>
        <v>STAS</v>
      </c>
      <c r="C332" s="154"/>
      <c r="D332" s="11"/>
      <c r="E332" s="95"/>
      <c r="F332" s="154">
        <f>ROUND((F331+F334)*$J$2,0)</f>
        <v>0</v>
      </c>
      <c r="G332" s="158"/>
    </row>
    <row r="333" spans="1:8" x14ac:dyDescent="0.2">
      <c r="A333" s="134">
        <f t="shared" si="26"/>
        <v>13</v>
      </c>
      <c r="B333" s="166" t="s">
        <v>149</v>
      </c>
      <c r="C333" s="154">
        <f>'Sch2'!I281+'Sch2'!I259</f>
        <v>12</v>
      </c>
      <c r="D333" s="11">
        <f>'Sch3'!H260+'Sch3'!H252</f>
        <v>2239000</v>
      </c>
      <c r="E333" s="113" t="s">
        <v>238</v>
      </c>
      <c r="F333" s="154">
        <f>'Sch1'!F318</f>
        <v>636751</v>
      </c>
      <c r="G333" s="158"/>
    </row>
    <row r="334" spans="1:8" x14ac:dyDescent="0.2">
      <c r="A334" s="134">
        <f t="shared" si="26"/>
        <v>14</v>
      </c>
      <c r="B334" s="166" t="s">
        <v>637</v>
      </c>
      <c r="C334" s="205">
        <f>ROUND(3*12,0)</f>
        <v>36</v>
      </c>
      <c r="D334" s="29"/>
      <c r="E334" s="113">
        <f>' SCH 8 - Rate Design'!F432</f>
        <v>351.52</v>
      </c>
      <c r="F334" s="156">
        <f>ROUND(C334*E334,0)</f>
        <v>12655</v>
      </c>
      <c r="G334" s="158"/>
    </row>
    <row r="335" spans="1:8" x14ac:dyDescent="0.2">
      <c r="A335" s="134">
        <f t="shared" si="26"/>
        <v>15</v>
      </c>
      <c r="B335" s="14" t="s">
        <v>148</v>
      </c>
      <c r="C335" s="154">
        <f>SUM(C323:C325,C333)</f>
        <v>48</v>
      </c>
      <c r="D335" s="11">
        <f>D333+D330</f>
        <v>2239000</v>
      </c>
      <c r="E335" s="157"/>
      <c r="F335" s="154">
        <f>SUM(F331:F334)</f>
        <v>796862</v>
      </c>
      <c r="G335" s="158">
        <f>ROUND(F335/D335,4)</f>
        <v>0.35589999999999999</v>
      </c>
    </row>
    <row r="336" spans="1:8" x14ac:dyDescent="0.2">
      <c r="C336" s="154"/>
      <c r="D336" s="11"/>
      <c r="F336" s="154"/>
      <c r="G336" s="155"/>
      <c r="H336" s="155"/>
    </row>
    <row r="337" spans="1:10" x14ac:dyDescent="0.2">
      <c r="A337" s="275"/>
      <c r="B337" s="6"/>
      <c r="C337" s="6"/>
      <c r="D337" s="275"/>
      <c r="E337" s="275"/>
      <c r="F337" s="275"/>
      <c r="G337" s="275"/>
    </row>
    <row r="338" spans="1:10" ht="12" thickBot="1" x14ac:dyDescent="0.25">
      <c r="A338" s="77"/>
      <c r="B338" s="155"/>
      <c r="C338" s="20"/>
      <c r="D338" s="21"/>
      <c r="E338" s="21"/>
      <c r="F338" s="20"/>
      <c r="G338" s="21"/>
      <c r="H338" s="21"/>
    </row>
    <row r="339" spans="1:10" x14ac:dyDescent="0.2">
      <c r="A339" s="221">
        <f>A335+1</f>
        <v>16</v>
      </c>
      <c r="B339" s="88" t="s">
        <v>403</v>
      </c>
      <c r="C339" s="16"/>
      <c r="D339" s="17"/>
      <c r="E339" s="17"/>
      <c r="F339" s="101"/>
      <c r="G339" s="21"/>
      <c r="H339" s="21"/>
    </row>
    <row r="340" spans="1:10" x14ac:dyDescent="0.2">
      <c r="A340" s="222"/>
      <c r="B340" s="155"/>
      <c r="C340" s="20"/>
      <c r="D340" s="21"/>
      <c r="E340" s="21"/>
      <c r="F340" s="102"/>
      <c r="G340" s="21"/>
      <c r="H340" s="21"/>
    </row>
    <row r="341" spans="1:10" x14ac:dyDescent="0.2">
      <c r="A341" s="222">
        <f>A339+1</f>
        <v>17</v>
      </c>
      <c r="B341" s="170" t="s">
        <v>237</v>
      </c>
      <c r="C341" s="20"/>
      <c r="D341" s="21"/>
      <c r="E341" s="21"/>
      <c r="F341" s="102">
        <f>F176+F178</f>
        <v>61251663</v>
      </c>
      <c r="G341" s="21"/>
      <c r="H341" s="81">
        <f>F130+F139+F148+F154+F341+F355+F360+F365+F348</f>
        <v>418740873</v>
      </c>
      <c r="J341" s="153" t="s">
        <v>491</v>
      </c>
    </row>
    <row r="342" spans="1:10" x14ac:dyDescent="0.2">
      <c r="A342" s="222">
        <f t="shared" ref="A342:A346" si="27">A341+1</f>
        <v>18</v>
      </c>
      <c r="B342" s="170" t="s">
        <v>151</v>
      </c>
      <c r="C342" s="20"/>
      <c r="D342" s="21"/>
      <c r="E342" s="21"/>
      <c r="F342" s="102">
        <f>F182</f>
        <v>0</v>
      </c>
      <c r="G342" s="21"/>
      <c r="H342" s="81">
        <f>F131+F140+F149+F155+F342+F357+F362+F367</f>
        <v>0</v>
      </c>
      <c r="J342" s="153" t="s">
        <v>151</v>
      </c>
    </row>
    <row r="343" spans="1:10" x14ac:dyDescent="0.2">
      <c r="A343" s="222">
        <f t="shared" si="27"/>
        <v>19</v>
      </c>
      <c r="B343" s="170" t="s">
        <v>224</v>
      </c>
      <c r="C343" s="20"/>
      <c r="D343" s="21"/>
      <c r="E343" s="21"/>
      <c r="F343" s="102">
        <f>F179</f>
        <v>6931233</v>
      </c>
      <c r="G343" s="21"/>
      <c r="H343" s="81">
        <f>F132+F343</f>
        <v>31941840</v>
      </c>
      <c r="J343" s="153" t="s">
        <v>235</v>
      </c>
    </row>
    <row r="344" spans="1:10" x14ac:dyDescent="0.2">
      <c r="A344" s="222">
        <f t="shared" si="27"/>
        <v>20</v>
      </c>
      <c r="B344" s="170" t="s">
        <v>441</v>
      </c>
      <c r="C344" s="20"/>
      <c r="D344" s="21"/>
      <c r="E344" s="21"/>
      <c r="F344" s="102">
        <f>F180</f>
        <v>6925</v>
      </c>
      <c r="G344" s="21"/>
      <c r="H344" s="81">
        <f>F135+F144+F344+F350</f>
        <v>47177</v>
      </c>
      <c r="J344" s="153" t="s">
        <v>441</v>
      </c>
    </row>
    <row r="345" spans="1:10" x14ac:dyDescent="0.2">
      <c r="A345" s="222">
        <f>1+A344</f>
        <v>21</v>
      </c>
      <c r="B345" s="170" t="s">
        <v>66</v>
      </c>
      <c r="C345" s="20"/>
      <c r="D345" s="21"/>
      <c r="E345" s="21"/>
      <c r="F345" s="178">
        <f>F184</f>
        <v>6416705</v>
      </c>
      <c r="G345" s="21"/>
      <c r="H345" s="81">
        <f>F134+F142+F156</f>
        <v>2581692</v>
      </c>
      <c r="J345" s="153" t="s">
        <v>492</v>
      </c>
    </row>
    <row r="346" spans="1:10" x14ac:dyDescent="0.2">
      <c r="A346" s="222">
        <f t="shared" si="27"/>
        <v>22</v>
      </c>
      <c r="B346" s="155" t="s">
        <v>362</v>
      </c>
      <c r="C346" s="20">
        <f>C185</f>
        <v>922450</v>
      </c>
      <c r="D346" s="97">
        <f>D185</f>
        <v>6925000</v>
      </c>
      <c r="E346" s="21"/>
      <c r="F346" s="102">
        <f>SUM(F341:F345)</f>
        <v>74606526</v>
      </c>
      <c r="G346" s="21"/>
      <c r="H346" s="81">
        <f>F255+F270+F290+F306+F334+F117+F118+F89+F65+F207</f>
        <v>2558065</v>
      </c>
      <c r="J346" s="153" t="s">
        <v>640</v>
      </c>
    </row>
    <row r="347" spans="1:10" x14ac:dyDescent="0.2">
      <c r="A347" s="222"/>
      <c r="B347" s="155"/>
      <c r="C347" s="20"/>
      <c r="D347" s="21"/>
      <c r="E347" s="21"/>
      <c r="F347" s="102"/>
      <c r="G347" s="21"/>
      <c r="H347" s="154">
        <f>F133+F141</f>
        <v>1216174</v>
      </c>
      <c r="J347" s="153" t="s">
        <v>493</v>
      </c>
    </row>
    <row r="348" spans="1:10" x14ac:dyDescent="0.2">
      <c r="A348" s="222">
        <f>A346+1</f>
        <v>23</v>
      </c>
      <c r="B348" s="170" t="s">
        <v>237</v>
      </c>
      <c r="C348" s="20"/>
      <c r="D348" s="21"/>
      <c r="E348" s="21"/>
      <c r="F348" s="102">
        <f>F190+F192+F202+F204+F217+F220+F222+F244+F247+F249+F254+F227</f>
        <v>28484212</v>
      </c>
      <c r="G348" s="21"/>
      <c r="H348" s="80">
        <f>F136+F145+F150+F157+F345+F352</f>
        <v>163506936</v>
      </c>
      <c r="J348" s="153" t="s">
        <v>66</v>
      </c>
    </row>
    <row r="349" spans="1:10" x14ac:dyDescent="0.2">
      <c r="A349" s="222">
        <f>A348+1</f>
        <v>24</v>
      </c>
      <c r="B349" s="170" t="s">
        <v>151</v>
      </c>
      <c r="C349" s="20"/>
      <c r="D349" s="21"/>
      <c r="E349" s="21"/>
      <c r="F349" s="102">
        <f>F195+F209+F225+F252</f>
        <v>0</v>
      </c>
      <c r="G349" s="21"/>
      <c r="H349" s="81">
        <f>SUM(H341:H348)</f>
        <v>620592757</v>
      </c>
    </row>
    <row r="350" spans="1:10" x14ac:dyDescent="0.2">
      <c r="A350" s="222">
        <f t="shared" ref="A350:A352" si="28">A349+1</f>
        <v>25</v>
      </c>
      <c r="B350" s="170" t="s">
        <v>441</v>
      </c>
      <c r="C350" s="20"/>
      <c r="D350" s="21"/>
      <c r="E350" s="21"/>
      <c r="F350" s="102">
        <f>F193+F206+F223+F250</f>
        <v>6396</v>
      </c>
      <c r="G350" s="21"/>
      <c r="H350" s="80"/>
    </row>
    <row r="351" spans="1:10" x14ac:dyDescent="0.2">
      <c r="A351" s="222">
        <f t="shared" si="28"/>
        <v>26</v>
      </c>
      <c r="B351" s="170" t="s">
        <v>637</v>
      </c>
      <c r="C351" s="20"/>
      <c r="D351" s="21"/>
      <c r="E351" s="21"/>
      <c r="F351" s="102">
        <f>F255+F207</f>
        <v>425708</v>
      </c>
      <c r="G351" s="21"/>
      <c r="H351" s="80"/>
    </row>
    <row r="352" spans="1:10" x14ac:dyDescent="0.2">
      <c r="A352" s="222">
        <f t="shared" si="28"/>
        <v>27</v>
      </c>
      <c r="B352" s="170" t="s">
        <v>66</v>
      </c>
      <c r="C352" s="20"/>
      <c r="D352" s="21"/>
      <c r="E352" s="21"/>
      <c r="F352" s="178">
        <f>F197+F211+F228+F256</f>
        <v>3217113</v>
      </c>
      <c r="G352" s="21"/>
      <c r="H352" s="80"/>
    </row>
    <row r="353" spans="1:8" x14ac:dyDescent="0.2">
      <c r="A353" s="222">
        <f>A352+1</f>
        <v>28</v>
      </c>
      <c r="B353" s="155" t="s">
        <v>559</v>
      </c>
      <c r="C353" s="20">
        <f>C198+C229+C257+C212</f>
        <v>130950</v>
      </c>
      <c r="D353" s="97">
        <f>D198+D229+D257+D212</f>
        <v>6424407.7999999998</v>
      </c>
      <c r="E353" s="21"/>
      <c r="F353" s="102">
        <f>SUM(F348:F352)</f>
        <v>32133429</v>
      </c>
      <c r="G353" s="21"/>
      <c r="H353" s="80"/>
    </row>
    <row r="354" spans="1:8" x14ac:dyDescent="0.2">
      <c r="A354" s="222"/>
      <c r="B354" s="155"/>
      <c r="C354" s="20"/>
      <c r="D354" s="97"/>
      <c r="E354" s="21"/>
      <c r="F354" s="102"/>
      <c r="G354" s="21"/>
      <c r="H354" s="80"/>
    </row>
    <row r="355" spans="1:8" x14ac:dyDescent="0.2">
      <c r="A355" s="222">
        <f>A353+1</f>
        <v>29</v>
      </c>
      <c r="B355" s="170" t="s">
        <v>237</v>
      </c>
      <c r="C355" s="20"/>
      <c r="D355" s="21"/>
      <c r="E355" s="21"/>
      <c r="F355" s="102">
        <f>F262+F263+F265+F266+F269</f>
        <v>16388978</v>
      </c>
      <c r="G355" s="21"/>
      <c r="H355" s="80"/>
    </row>
    <row r="356" spans="1:8" x14ac:dyDescent="0.2">
      <c r="A356" s="222">
        <f>A355+1</f>
        <v>30</v>
      </c>
      <c r="B356" s="170" t="s">
        <v>637</v>
      </c>
      <c r="C356" s="20"/>
      <c r="D356" s="21"/>
      <c r="E356" s="21"/>
      <c r="F356" s="102">
        <f>F270</f>
        <v>1387703</v>
      </c>
      <c r="G356" s="21"/>
    </row>
    <row r="357" spans="1:8" x14ac:dyDescent="0.2">
      <c r="A357" s="222">
        <f>A356+1</f>
        <v>31</v>
      </c>
      <c r="B357" s="170" t="s">
        <v>151</v>
      </c>
      <c r="C357" s="20"/>
      <c r="D357" s="21"/>
      <c r="E357" s="21"/>
      <c r="F357" s="102">
        <f>F268</f>
        <v>0</v>
      </c>
      <c r="G357" s="21"/>
    </row>
    <row r="358" spans="1:8" x14ac:dyDescent="0.2">
      <c r="A358" s="222">
        <f>1+A357</f>
        <v>32</v>
      </c>
      <c r="B358" s="155" t="s">
        <v>560</v>
      </c>
      <c r="C358" s="20">
        <f>+C271</f>
        <v>4350</v>
      </c>
      <c r="D358" s="97">
        <f>+D271</f>
        <v>6235631.5</v>
      </c>
      <c r="E358" s="21"/>
      <c r="F358" s="102">
        <f>SUM(F355:F357)</f>
        <v>17776681</v>
      </c>
      <c r="G358" s="21"/>
      <c r="H358" s="21"/>
    </row>
    <row r="359" spans="1:8" x14ac:dyDescent="0.2">
      <c r="A359" s="222"/>
      <c r="B359" s="155"/>
      <c r="C359" s="20"/>
      <c r="D359" s="97"/>
      <c r="E359" s="21"/>
      <c r="F359" s="102"/>
      <c r="G359" s="21"/>
      <c r="H359" s="21"/>
    </row>
    <row r="360" spans="1:8" x14ac:dyDescent="0.2">
      <c r="A360" s="222">
        <f>A358+1</f>
        <v>33</v>
      </c>
      <c r="B360" s="170" t="s">
        <v>237</v>
      </c>
      <c r="D360" s="31"/>
      <c r="E360" s="21"/>
      <c r="F360" s="102">
        <f>F280+F286+F289</f>
        <v>19679548</v>
      </c>
      <c r="G360" s="21"/>
      <c r="H360" s="21"/>
    </row>
    <row r="361" spans="1:8" x14ac:dyDescent="0.2">
      <c r="A361" s="222">
        <f>A360+1</f>
        <v>34</v>
      </c>
      <c r="B361" s="170" t="s">
        <v>637</v>
      </c>
      <c r="D361" s="31"/>
      <c r="E361" s="21"/>
      <c r="F361" s="102">
        <f>F290</f>
        <v>345159</v>
      </c>
      <c r="G361" s="21"/>
      <c r="H361" s="21"/>
    </row>
    <row r="362" spans="1:8" x14ac:dyDescent="0.2">
      <c r="A362" s="222">
        <f>A361+1</f>
        <v>35</v>
      </c>
      <c r="B362" s="170" t="s">
        <v>151</v>
      </c>
      <c r="C362" s="20"/>
      <c r="D362" s="97"/>
      <c r="E362" s="21"/>
      <c r="F362" s="178">
        <f>F288</f>
        <v>0</v>
      </c>
      <c r="G362" s="21"/>
      <c r="H362" s="21"/>
    </row>
    <row r="363" spans="1:8" x14ac:dyDescent="0.2">
      <c r="A363" s="222">
        <f>A362+1</f>
        <v>36</v>
      </c>
      <c r="B363" s="155" t="s">
        <v>370</v>
      </c>
      <c r="C363" s="20">
        <f>C291</f>
        <v>1082</v>
      </c>
      <c r="D363" s="97">
        <f>D291</f>
        <v>20651944</v>
      </c>
      <c r="E363" s="21"/>
      <c r="F363" s="102">
        <f>SUM(F360:F362)</f>
        <v>20024707</v>
      </c>
      <c r="G363" s="21"/>
      <c r="H363" s="21"/>
    </row>
    <row r="364" spans="1:8" x14ac:dyDescent="0.2">
      <c r="A364" s="222"/>
      <c r="B364" s="155"/>
      <c r="C364" s="20"/>
      <c r="D364" s="97"/>
      <c r="E364" s="21"/>
      <c r="F364" s="102"/>
      <c r="G364" s="21"/>
      <c r="H364" s="21"/>
    </row>
    <row r="365" spans="1:8" x14ac:dyDescent="0.2">
      <c r="A365" s="222">
        <f>A363+1</f>
        <v>37</v>
      </c>
      <c r="B365" s="170" t="s">
        <v>237</v>
      </c>
      <c r="C365" s="20"/>
      <c r="D365" s="21"/>
      <c r="E365" s="21"/>
      <c r="F365" s="102">
        <f>F302+F305+F330+F333+SUM(F296:F300)+SUM(F323:F325)</f>
        <v>1183452</v>
      </c>
      <c r="G365" s="21"/>
      <c r="H365" s="21"/>
    </row>
    <row r="366" spans="1:8" x14ac:dyDescent="0.2">
      <c r="A366" s="222">
        <f>A365+1</f>
        <v>38</v>
      </c>
      <c r="B366" s="170" t="s">
        <v>637</v>
      </c>
      <c r="C366" s="20"/>
      <c r="D366" s="21"/>
      <c r="E366" s="21"/>
      <c r="F366" s="102">
        <f>F306+F334</f>
        <v>37964</v>
      </c>
      <c r="G366" s="21"/>
      <c r="H366" s="21"/>
    </row>
    <row r="367" spans="1:8" x14ac:dyDescent="0.2">
      <c r="A367" s="222">
        <f>A366+1</f>
        <v>39</v>
      </c>
      <c r="B367" s="170" t="s">
        <v>151</v>
      </c>
      <c r="C367" s="20"/>
      <c r="D367" s="21"/>
      <c r="E367" s="21"/>
      <c r="F367" s="178">
        <f>F304+F332</f>
        <v>0</v>
      </c>
      <c r="G367" s="21"/>
      <c r="H367" s="21"/>
    </row>
    <row r="368" spans="1:8" x14ac:dyDescent="0.2">
      <c r="A368" s="222">
        <f>A367+1</f>
        <v>40</v>
      </c>
      <c r="B368" s="155" t="s">
        <v>366</v>
      </c>
      <c r="C368" s="20">
        <f>C307+C335</f>
        <v>122</v>
      </c>
      <c r="D368" s="97">
        <f>D307+D335</f>
        <v>4663000</v>
      </c>
      <c r="E368" s="21"/>
      <c r="F368" s="102">
        <f>SUM(F365:F367)</f>
        <v>1221416</v>
      </c>
      <c r="G368" s="23"/>
      <c r="H368" s="21"/>
    </row>
    <row r="369" spans="1:11" x14ac:dyDescent="0.2">
      <c r="A369" s="222"/>
      <c r="B369" s="155"/>
      <c r="C369" s="155"/>
      <c r="D369" s="155"/>
      <c r="E369" s="155"/>
      <c r="F369" s="30"/>
      <c r="G369" s="21"/>
      <c r="H369" s="23"/>
      <c r="J369" s="154"/>
    </row>
    <row r="370" spans="1:11" ht="12" thickBot="1" x14ac:dyDescent="0.25">
      <c r="A370" s="223">
        <f>A368+1</f>
        <v>41</v>
      </c>
      <c r="B370" s="24" t="s">
        <v>363</v>
      </c>
      <c r="C370" s="25">
        <f>SUM(C346:C368)</f>
        <v>1058954</v>
      </c>
      <c r="D370" s="26">
        <f>SUM(D346:D368)</f>
        <v>44899983.299999997</v>
      </c>
      <c r="E370" s="26"/>
      <c r="F370" s="105">
        <f>F346+F358+F368+F363+F353</f>
        <v>145762759</v>
      </c>
      <c r="G370" s="21"/>
      <c r="H370" s="21"/>
      <c r="J370" s="154">
        <f>F185+F198+F229+F271+F291+F307+F335+F257+F212</f>
        <v>145762759</v>
      </c>
      <c r="K370" s="154">
        <f>F370-J370</f>
        <v>0</v>
      </c>
    </row>
    <row r="371" spans="1:11" x14ac:dyDescent="0.2">
      <c r="A371" s="77"/>
      <c r="B371" s="155"/>
      <c r="C371" s="20"/>
      <c r="D371" s="21"/>
      <c r="E371" s="21"/>
      <c r="F371" s="20"/>
      <c r="G371" s="21"/>
    </row>
    <row r="372" spans="1:11" ht="12" thickBot="1" x14ac:dyDescent="0.25">
      <c r="A372" s="77"/>
      <c r="B372" s="155"/>
      <c r="C372" s="20"/>
      <c r="D372" s="21"/>
      <c r="E372" s="21"/>
      <c r="F372" s="20"/>
      <c r="G372" s="21"/>
      <c r="H372" s="21"/>
    </row>
    <row r="373" spans="1:11" ht="12" thickBot="1" x14ac:dyDescent="0.25">
      <c r="A373" s="77"/>
      <c r="B373" s="155"/>
      <c r="C373" s="20"/>
      <c r="D373" s="21"/>
      <c r="E373" s="21"/>
      <c r="F373" s="20"/>
      <c r="G373" s="21"/>
      <c r="H373" s="21"/>
    </row>
    <row r="374" spans="1:11" ht="12" thickBot="1" x14ac:dyDescent="0.25">
      <c r="A374" s="224">
        <f>A370+1</f>
        <v>42</v>
      </c>
      <c r="B374" s="179" t="s">
        <v>28</v>
      </c>
      <c r="C374" s="180">
        <f>C161+C370</f>
        <v>5283795</v>
      </c>
      <c r="D374" s="181">
        <f>D161+D370</f>
        <v>82119330.400000006</v>
      </c>
      <c r="E374" s="181"/>
      <c r="F374" s="182">
        <f>F161+F370</f>
        <v>620592757</v>
      </c>
      <c r="G374" s="21"/>
      <c r="H374" s="21"/>
    </row>
    <row r="375" spans="1:11" x14ac:dyDescent="0.2">
      <c r="A375" s="77"/>
      <c r="B375" s="155"/>
      <c r="C375" s="20"/>
      <c r="D375" s="21"/>
      <c r="E375" s="21"/>
      <c r="F375" s="20"/>
      <c r="G375" s="21"/>
      <c r="H375" s="21"/>
    </row>
    <row r="376" spans="1:11" x14ac:dyDescent="0.2">
      <c r="A376" s="77"/>
      <c r="B376" s="155"/>
      <c r="C376" s="185"/>
      <c r="D376" s="185"/>
      <c r="E376" s="185"/>
      <c r="F376" s="185"/>
      <c r="G376" s="185"/>
      <c r="H376" s="21"/>
    </row>
    <row r="377" spans="1:11" x14ac:dyDescent="0.2">
      <c r="A377" s="77">
        <f>A374+1</f>
        <v>43</v>
      </c>
      <c r="B377" s="19" t="s">
        <v>209</v>
      </c>
      <c r="C377" s="155"/>
      <c r="D377" s="155"/>
      <c r="E377" s="155"/>
      <c r="F377" s="20"/>
      <c r="G377" s="155"/>
    </row>
    <row r="378" spans="1:11" x14ac:dyDescent="0.2">
      <c r="A378" s="77"/>
      <c r="B378" s="170"/>
      <c r="C378" s="155"/>
      <c r="D378" s="155"/>
      <c r="E378" s="155"/>
      <c r="F378" s="155"/>
      <c r="G378" s="155"/>
    </row>
    <row r="379" spans="1:11" x14ac:dyDescent="0.2">
      <c r="A379" s="77">
        <f>A377+1</f>
        <v>44</v>
      </c>
      <c r="B379" s="186" t="s">
        <v>201</v>
      </c>
      <c r="C379" s="187"/>
      <c r="D379" s="188"/>
      <c r="E379" s="46"/>
      <c r="F379" s="20">
        <f>'Sch1'!F353+' SCH 8 - Rate Design'!G27</f>
        <v>1347840</v>
      </c>
      <c r="G379" s="81"/>
    </row>
    <row r="380" spans="1:11" x14ac:dyDescent="0.2">
      <c r="A380" s="77">
        <f t="shared" ref="A380:A385" si="29">A379+1</f>
        <v>45</v>
      </c>
      <c r="B380" s="186" t="s">
        <v>202</v>
      </c>
      <c r="C380" s="187"/>
      <c r="D380" s="188"/>
      <c r="E380" s="46"/>
      <c r="F380" s="20">
        <f>'Sch1'!F354</f>
        <v>105936.41</v>
      </c>
      <c r="G380" s="81"/>
    </row>
    <row r="381" spans="1:11" x14ac:dyDescent="0.2">
      <c r="A381" s="77">
        <f t="shared" si="29"/>
        <v>46</v>
      </c>
      <c r="B381" s="186" t="s">
        <v>203</v>
      </c>
      <c r="C381" s="187"/>
      <c r="D381" s="188"/>
      <c r="E381" s="46"/>
      <c r="F381" s="20">
        <f>'Sch1'!F355</f>
        <v>9600</v>
      </c>
      <c r="G381" s="187"/>
    </row>
    <row r="382" spans="1:11" x14ac:dyDescent="0.2">
      <c r="A382" s="77">
        <f t="shared" si="29"/>
        <v>47</v>
      </c>
      <c r="B382" s="186" t="s">
        <v>204</v>
      </c>
      <c r="C382" s="187"/>
      <c r="D382" s="188"/>
      <c r="E382" s="46"/>
      <c r="F382" s="20">
        <f>'Sch1'!F356</f>
        <v>0</v>
      </c>
      <c r="G382" s="81"/>
    </row>
    <row r="383" spans="1:11" x14ac:dyDescent="0.2">
      <c r="A383" s="77">
        <f t="shared" si="29"/>
        <v>48</v>
      </c>
      <c r="B383" s="186" t="s">
        <v>205</v>
      </c>
      <c r="C383" s="187"/>
      <c r="D383" s="188"/>
      <c r="E383" s="46"/>
      <c r="F383" s="20">
        <f>'Sch1'!F357</f>
        <v>0</v>
      </c>
      <c r="G383" s="81"/>
    </row>
    <row r="384" spans="1:11" x14ac:dyDescent="0.2">
      <c r="A384" s="77">
        <f t="shared" si="29"/>
        <v>49</v>
      </c>
      <c r="B384" s="186" t="s">
        <v>206</v>
      </c>
      <c r="C384" s="187"/>
      <c r="D384" s="188"/>
      <c r="E384" s="46"/>
      <c r="F384" s="20">
        <f>'Sch1'!F358</f>
        <v>229067.91</v>
      </c>
      <c r="G384" s="81"/>
    </row>
    <row r="385" spans="1:7" x14ac:dyDescent="0.2">
      <c r="A385" s="77">
        <f t="shared" si="29"/>
        <v>50</v>
      </c>
      <c r="B385" s="186" t="s">
        <v>207</v>
      </c>
      <c r="C385" s="187"/>
      <c r="D385" s="189"/>
      <c r="E385" s="46"/>
      <c r="F385" s="20">
        <f>'Sch1'!F359</f>
        <v>0</v>
      </c>
      <c r="G385" s="81"/>
    </row>
    <row r="386" spans="1:7" x14ac:dyDescent="0.2">
      <c r="A386" s="77"/>
      <c r="B386" s="155"/>
      <c r="C386" s="187"/>
      <c r="D386" s="122"/>
      <c r="E386" s="122"/>
      <c r="F386" s="190"/>
      <c r="G386" s="81"/>
    </row>
    <row r="387" spans="1:7" x14ac:dyDescent="0.2">
      <c r="A387" s="77">
        <f>A385+1</f>
        <v>51</v>
      </c>
      <c r="B387" s="19" t="s">
        <v>210</v>
      </c>
      <c r="C387" s="81"/>
      <c r="D387" s="21"/>
      <c r="E387" s="81"/>
      <c r="F387" s="81">
        <f>SUM(F379:F385)</f>
        <v>1692444.3199999998</v>
      </c>
      <c r="G387" s="81"/>
    </row>
    <row r="388" spans="1:7" ht="12" thickBot="1" x14ac:dyDescent="0.25"/>
    <row r="389" spans="1:7" ht="12" thickBot="1" x14ac:dyDescent="0.25">
      <c r="A389" s="224">
        <f>A387+1</f>
        <v>52</v>
      </c>
      <c r="B389" s="179" t="s">
        <v>208</v>
      </c>
      <c r="C389" s="180"/>
      <c r="D389" s="181"/>
      <c r="E389" s="180"/>
      <c r="F389" s="182">
        <f>F374+F387</f>
        <v>622285201.32000005</v>
      </c>
    </row>
    <row r="391" spans="1:7" x14ac:dyDescent="0.2">
      <c r="F391" s="154"/>
    </row>
  </sheetData>
  <customSheetViews>
    <customSheetView guid="{818D6814-8976-4390-B9DF-A301351E9DE9}" showPageBreaks="1" printArea="1" showRuler="0" topLeftCell="A538">
      <selection activeCell="I494" sqref="I494"/>
      <rowBreaks count="9" manualBreakCount="9">
        <brk id="76" max="10" man="1"/>
        <brk id="138" max="10" man="1"/>
        <brk id="195" max="10" man="1"/>
        <brk id="233" max="10" man="1"/>
        <brk id="289" max="10" man="1"/>
        <brk id="338" max="10" man="1"/>
        <brk id="400" max="10" man="1"/>
        <brk id="452" max="10" man="1"/>
        <brk id="504" max="10" man="1"/>
      </rowBreaks>
      <colBreaks count="1" manualBreakCount="1">
        <brk id="11" max="1048575" man="1"/>
      </colBreaks>
      <pageMargins left="0.5" right="0.5" top="0.5" bottom="0.25" header="0" footer="0"/>
      <printOptions horizontalCentered="1"/>
      <pageSetup scale="84" orientation="portrait" r:id="rId1"/>
      <headerFooter alignWithMargins="0"/>
    </customSheetView>
  </customSheetViews>
  <mergeCells count="15">
    <mergeCell ref="A311:F311"/>
    <mergeCell ref="A312:F312"/>
    <mergeCell ref="A231:F231"/>
    <mergeCell ref="A232:F232"/>
    <mergeCell ref="A233:F233"/>
    <mergeCell ref="A2:F2"/>
    <mergeCell ref="A3:F3"/>
    <mergeCell ref="A4:F4"/>
    <mergeCell ref="A166:F166"/>
    <mergeCell ref="A310:F310"/>
    <mergeCell ref="A74:F74"/>
    <mergeCell ref="A75:F75"/>
    <mergeCell ref="A76:F76"/>
    <mergeCell ref="A164:F164"/>
    <mergeCell ref="A165:F165"/>
  </mergeCells>
  <phoneticPr fontId="0" type="noConversion"/>
  <printOptions horizontalCentered="1"/>
  <pageMargins left="0.5" right="0.5" top="0.5" bottom="0.25" header="0" footer="0"/>
  <pageSetup scale="77" orientation="portrait" r:id="rId2"/>
  <headerFooter alignWithMargins="0"/>
  <rowBreaks count="4" manualBreakCount="4">
    <brk id="72" max="6" man="1"/>
    <brk id="162" max="6" man="1"/>
    <brk id="229" max="6" man="1"/>
    <brk id="308" max="6" man="1"/>
  </rowBreaks>
  <colBreaks count="1" manualBreakCount="1">
    <brk id="7" max="36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A74E7"/>
    <pageSetUpPr fitToPage="1"/>
  </sheetPr>
  <dimension ref="A1:V456"/>
  <sheetViews>
    <sheetView tabSelected="1" zoomScale="130" zoomScaleNormal="130" zoomScaleSheetLayoutView="100" workbookViewId="0">
      <selection activeCell="C8" sqref="C8"/>
    </sheetView>
  </sheetViews>
  <sheetFormatPr defaultColWidth="9.3984375" defaultRowHeight="11.25" x14ac:dyDescent="0.2"/>
  <cols>
    <col min="1" max="1" width="5.3984375" style="134" customWidth="1"/>
    <col min="2" max="2" width="6.3984375" style="153" customWidth="1"/>
    <col min="3" max="3" width="78.59765625" style="153" customWidth="1"/>
    <col min="4" max="5" width="19.59765625" style="153" bestFit="1" customWidth="1"/>
    <col min="6" max="7" width="22.796875" style="153" bestFit="1" customWidth="1"/>
    <col min="8" max="8" width="19.59765625" style="153" bestFit="1" customWidth="1"/>
    <col min="9" max="9" width="18" style="153" bestFit="1" customWidth="1"/>
    <col min="10" max="10" width="13.3984375" style="153" bestFit="1" customWidth="1"/>
    <col min="11" max="11" width="16.3984375" style="153" customWidth="1"/>
    <col min="12" max="12" width="17" style="153" bestFit="1" customWidth="1"/>
    <col min="13" max="13" width="20.19921875" style="153" bestFit="1" customWidth="1"/>
    <col min="14" max="14" width="14.796875" style="153" bestFit="1" customWidth="1"/>
    <col min="15" max="15" width="19.796875" style="153" bestFit="1" customWidth="1"/>
    <col min="16" max="16" width="3.19921875" style="153" customWidth="1"/>
    <col min="17" max="17" width="18" style="153" bestFit="1" customWidth="1"/>
    <col min="18" max="18" width="18.19921875" style="153" bestFit="1" customWidth="1"/>
    <col min="19" max="19" width="13" style="153" bestFit="1" customWidth="1"/>
    <col min="20" max="16384" width="9.3984375" style="153"/>
  </cols>
  <sheetData>
    <row r="1" spans="1:17" x14ac:dyDescent="0.2">
      <c r="A1" s="353" t="str">
        <f>coname</f>
        <v>Columbia Gas of Pennsylvania, Inc.</v>
      </c>
      <c r="B1" s="353"/>
      <c r="C1" s="353"/>
      <c r="D1" s="353"/>
      <c r="E1" s="353"/>
      <c r="F1" s="353"/>
      <c r="G1" s="353"/>
      <c r="H1" s="353"/>
      <c r="I1" s="353"/>
      <c r="J1" s="353"/>
      <c r="K1" s="2" t="s">
        <v>257</v>
      </c>
      <c r="M1" s="155"/>
      <c r="N1" s="19"/>
      <c r="O1" s="260"/>
    </row>
    <row r="2" spans="1:17" x14ac:dyDescent="0.2">
      <c r="A2" s="353" t="s">
        <v>293</v>
      </c>
      <c r="B2" s="353"/>
      <c r="C2" s="353"/>
      <c r="D2" s="353"/>
      <c r="E2" s="353"/>
      <c r="F2" s="353"/>
      <c r="G2" s="353"/>
      <c r="H2" s="353"/>
      <c r="I2" s="353"/>
      <c r="J2" s="353"/>
      <c r="K2" s="2" t="s">
        <v>535</v>
      </c>
      <c r="M2" s="155"/>
      <c r="N2" s="259"/>
      <c r="O2" s="260"/>
    </row>
    <row r="3" spans="1:17" ht="13.5" x14ac:dyDescent="0.35">
      <c r="A3" s="353" t="str">
        <f>TYDESC</f>
        <v>For the 12 Months Ended December 31, 2019</v>
      </c>
      <c r="B3" s="353"/>
      <c r="C3" s="353"/>
      <c r="D3" s="353"/>
      <c r="E3" s="353"/>
      <c r="F3" s="353"/>
      <c r="G3" s="353"/>
      <c r="H3" s="353"/>
      <c r="I3" s="353"/>
      <c r="J3" s="353"/>
      <c r="K3" s="2" t="s">
        <v>601</v>
      </c>
      <c r="M3" s="155"/>
      <c r="N3" s="259"/>
      <c r="O3" s="362"/>
    </row>
    <row r="4" spans="1:17" x14ac:dyDescent="0.2">
      <c r="A4" s="351"/>
      <c r="B4" s="351"/>
      <c r="C4" s="351"/>
      <c r="D4" s="351"/>
      <c r="E4" s="351"/>
      <c r="F4" s="351"/>
      <c r="G4" s="351"/>
      <c r="H4" s="351"/>
      <c r="I4" s="351"/>
      <c r="J4" s="351"/>
      <c r="K4" s="2" t="s">
        <v>611</v>
      </c>
      <c r="M4" s="155"/>
      <c r="N4" s="19"/>
      <c r="O4" s="261"/>
    </row>
    <row r="5" spans="1:17" x14ac:dyDescent="0.2">
      <c r="A5" s="351"/>
      <c r="B5" s="351"/>
      <c r="C5" s="351"/>
      <c r="D5" s="351"/>
      <c r="E5" s="351"/>
      <c r="F5" s="351" t="s">
        <v>178</v>
      </c>
      <c r="G5" s="351" t="s">
        <v>180</v>
      </c>
      <c r="H5" s="351" t="s">
        <v>20</v>
      </c>
      <c r="I5" s="351" t="s">
        <v>294</v>
      </c>
      <c r="J5" s="351" t="s">
        <v>180</v>
      </c>
    </row>
    <row r="6" spans="1:17" x14ac:dyDescent="0.2">
      <c r="A6" s="351" t="s">
        <v>3</v>
      </c>
      <c r="B6" s="351"/>
      <c r="C6" s="351"/>
      <c r="D6" s="351" t="s">
        <v>11</v>
      </c>
      <c r="E6" s="351" t="s">
        <v>11</v>
      </c>
      <c r="F6" s="351" t="s">
        <v>272</v>
      </c>
      <c r="G6" s="351" t="s">
        <v>31</v>
      </c>
      <c r="H6" s="351" t="s">
        <v>180</v>
      </c>
      <c r="I6" s="351" t="s">
        <v>332</v>
      </c>
      <c r="J6" s="351" t="s">
        <v>332</v>
      </c>
    </row>
    <row r="7" spans="1:17" x14ac:dyDescent="0.2">
      <c r="A7" s="172" t="s">
        <v>6</v>
      </c>
      <c r="B7" s="172"/>
      <c r="C7" s="172" t="s">
        <v>7</v>
      </c>
      <c r="D7" s="172" t="s">
        <v>35</v>
      </c>
      <c r="E7" s="172" t="s">
        <v>40</v>
      </c>
      <c r="F7" s="172" t="s">
        <v>271</v>
      </c>
      <c r="G7" s="172" t="s">
        <v>273</v>
      </c>
      <c r="H7" s="172" t="s">
        <v>31</v>
      </c>
      <c r="I7" s="172" t="s">
        <v>333</v>
      </c>
      <c r="J7" s="172" t="s">
        <v>334</v>
      </c>
      <c r="K7" s="277"/>
    </row>
    <row r="8" spans="1:17" x14ac:dyDescent="0.2">
      <c r="D8" s="352" t="s">
        <v>12</v>
      </c>
      <c r="E8" s="352" t="s">
        <v>13</v>
      </c>
      <c r="F8" s="352" t="s">
        <v>32</v>
      </c>
      <c r="G8" s="352" t="s">
        <v>14</v>
      </c>
      <c r="H8" s="352" t="s">
        <v>320</v>
      </c>
      <c r="I8" s="352" t="s">
        <v>16</v>
      </c>
      <c r="J8" s="352" t="s">
        <v>236</v>
      </c>
    </row>
    <row r="9" spans="1:17" x14ac:dyDescent="0.2">
      <c r="D9" s="6"/>
      <c r="E9" s="351" t="s">
        <v>241</v>
      </c>
      <c r="F9" s="351" t="s">
        <v>33</v>
      </c>
      <c r="G9" s="351" t="s">
        <v>33</v>
      </c>
      <c r="H9" s="351" t="s">
        <v>33</v>
      </c>
      <c r="I9" s="351" t="s">
        <v>199</v>
      </c>
      <c r="J9" s="351" t="s">
        <v>199</v>
      </c>
    </row>
    <row r="10" spans="1:17" x14ac:dyDescent="0.2">
      <c r="D10" s="351" t="s">
        <v>317</v>
      </c>
      <c r="E10" s="351" t="s">
        <v>318</v>
      </c>
      <c r="F10" s="351" t="s">
        <v>319</v>
      </c>
      <c r="G10" s="351"/>
      <c r="H10" s="351" t="s">
        <v>371</v>
      </c>
      <c r="I10" s="6"/>
      <c r="J10" s="6"/>
    </row>
    <row r="11" spans="1:17" x14ac:dyDescent="0.2">
      <c r="A11" s="134">
        <v>1</v>
      </c>
      <c r="C11" s="6" t="s">
        <v>295</v>
      </c>
    </row>
    <row r="12" spans="1:17" x14ac:dyDescent="0.2">
      <c r="A12" s="134">
        <f>A11+1</f>
        <v>2</v>
      </c>
      <c r="C12" s="153" t="s">
        <v>635</v>
      </c>
      <c r="D12" s="154">
        <f>'Sch2'!I17+'Sch2'!I23</f>
        <v>3905732</v>
      </c>
      <c r="E12" s="31">
        <f>'Sch3'!H15+'Sch3'!H20</f>
        <v>27512601</v>
      </c>
      <c r="F12" s="159">
        <f>'Sch1'!F129</f>
        <v>357399795</v>
      </c>
      <c r="G12" s="159">
        <f t="shared" ref="G12:G26" si="0">H12-F12</f>
        <v>29563847</v>
      </c>
      <c r="H12" s="159">
        <f>'Sch 7'!F26+'Sch 7'!F40</f>
        <v>386963642</v>
      </c>
      <c r="I12" s="138">
        <f>IF(F12=0,0,ROUND(G12/F12,4))</f>
        <v>8.2699999999999996E-2</v>
      </c>
      <c r="J12" s="138">
        <f>ROUND((G12+G18)/(F12+F18),4)</f>
        <v>8.8800000000000004E-2</v>
      </c>
    </row>
    <row r="13" spans="1:17" x14ac:dyDescent="0.2">
      <c r="A13" s="134">
        <f>A12+1</f>
        <v>3</v>
      </c>
      <c r="C13" s="153" t="s">
        <v>561</v>
      </c>
      <c r="D13" s="154">
        <f>'Sch2'!I35</f>
        <v>287206</v>
      </c>
      <c r="E13" s="31">
        <f>'Sch3'!H32</f>
        <v>4812979.1000000006</v>
      </c>
      <c r="F13" s="159">
        <f>'Sch1'!F54</f>
        <v>46057112</v>
      </c>
      <c r="G13" s="159">
        <f t="shared" si="0"/>
        <v>1765448</v>
      </c>
      <c r="H13" s="159">
        <f>'Sch 7'!F55</f>
        <v>47822560</v>
      </c>
      <c r="I13" s="138">
        <f t="shared" ref="I13:I27" si="1">IF(F13=0,0,ROUND(G13/F13,4))</f>
        <v>3.8300000000000001E-2</v>
      </c>
      <c r="J13" s="138">
        <f>ROUND((G13+G19+G21)/(F13+F19+F21),4)</f>
        <v>4.2299999999999997E-2</v>
      </c>
      <c r="M13" s="230"/>
      <c r="N13" s="230"/>
      <c r="O13" s="230"/>
      <c r="Q13" s="154"/>
    </row>
    <row r="14" spans="1:17" x14ac:dyDescent="0.2">
      <c r="A14" s="134">
        <f t="shared" ref="A14:A25" si="2">A13+1</f>
        <v>4</v>
      </c>
      <c r="C14" s="153" t="s">
        <v>562</v>
      </c>
      <c r="D14" s="154">
        <f>'Sch2'!I47</f>
        <v>31073</v>
      </c>
      <c r="E14" s="31">
        <f>'Sch3'!H44</f>
        <v>4055013.8000000003</v>
      </c>
      <c r="F14" s="159">
        <f>'Sch1'!F69</f>
        <v>33295383</v>
      </c>
      <c r="G14" s="159">
        <f t="shared" si="0"/>
        <v>823350</v>
      </c>
      <c r="H14" s="159">
        <f>'Sch 7'!F71</f>
        <v>34118733</v>
      </c>
      <c r="I14" s="138">
        <f t="shared" si="1"/>
        <v>2.47E-2</v>
      </c>
      <c r="J14" s="138">
        <f>ROUND((G14+G20+G22)/(F14+F20+F22),4)</f>
        <v>4.0500000000000001E-2</v>
      </c>
      <c r="M14" s="278"/>
      <c r="Q14" s="359"/>
    </row>
    <row r="15" spans="1:17" x14ac:dyDescent="0.2">
      <c r="A15" s="134">
        <f t="shared" si="2"/>
        <v>5</v>
      </c>
      <c r="C15" s="153" t="s">
        <v>489</v>
      </c>
      <c r="D15" s="154">
        <f>'Sch2'!I65+'Sch2'!I66+'Sch2'!I76+'Sch2'!I77</f>
        <v>818</v>
      </c>
      <c r="E15" s="31">
        <f>'Sch3'!H62+'Sch3'!H63+'Sch3'!H71+'Sch3'!H72</f>
        <v>766053.20000000007</v>
      </c>
      <c r="F15" s="159">
        <f>'Sch1'!F98+'Sch1'!F99+'Sch1'!F106+'Sch1'!F105+'Sch1'!F111+'Sch1'!F113+'Sch1'!F116</f>
        <v>5272920</v>
      </c>
      <c r="G15" s="159">
        <f t="shared" si="0"/>
        <v>359308</v>
      </c>
      <c r="H15" s="159">
        <f>'Sch 7'!F100+'Sch 7'!F101+'Sch 7'!F107+'Sch 7'!F108+'Sch 7'!F115+'Sch 7'!F120+'Sch 7'!F123+'Sch 7'!F117</f>
        <v>5632228</v>
      </c>
      <c r="I15" s="138">
        <f t="shared" si="1"/>
        <v>6.8099999999999994E-2</v>
      </c>
      <c r="J15" s="138">
        <f>ROUND((G15+G23)/(F15+F23),4)</f>
        <v>0.1196</v>
      </c>
    </row>
    <row r="16" spans="1:17" x14ac:dyDescent="0.2">
      <c r="A16" s="134">
        <f t="shared" si="2"/>
        <v>6</v>
      </c>
      <c r="C16" s="153" t="s">
        <v>490</v>
      </c>
      <c r="D16" s="154">
        <f>'Sch2'!I67+'Sch2'!I68+'Sch2'!I69+'Sch2'!I70+'Sch2'!I78+'Sch2'!I79+'Sch2'!I80+'Sch2'!I81</f>
        <v>0</v>
      </c>
      <c r="E16" s="31">
        <f>'Sch3'!H64+'Sch3'!H65+'Sch3'!H66+'Sch3'!H67+'Sch3'!H73+'Sch3'!H74+'Sch3'!H75+'Sch3'!H76</f>
        <v>0</v>
      </c>
      <c r="F16" s="159">
        <f>'Sch1'!F100+'Sch1'!F101+'Sch1'!F102+'Sch1'!F103+'Sch1'!F107+'Sch1'!F108+'Sch1'!F109+'Sch1'!F110+'Sch1'!F112+'Sch1'!F114+'Sch1'!F117</f>
        <v>0</v>
      </c>
      <c r="G16" s="159">
        <f t="shared" si="0"/>
        <v>0</v>
      </c>
      <c r="H16" s="159">
        <f>'Sch 7'!F102+'Sch 7'!F103+'Sch 7'!F104+'Sch 7'!F105+'Sch 7'!F109+'Sch 7'!F110+'Sch 7'!F111+'Sch 7'!F112+'Sch 7'!F116+'Sch 7'!F124+'Sch 7'!F121+'Sch 7'!F118</f>
        <v>0</v>
      </c>
      <c r="I16" s="138">
        <f t="shared" si="1"/>
        <v>0</v>
      </c>
      <c r="J16" s="138">
        <f>ROUND((G16+G24)/(F16+F24),4)</f>
        <v>0.1187</v>
      </c>
    </row>
    <row r="17" spans="1:14" ht="12" customHeight="1" x14ac:dyDescent="0.2">
      <c r="A17" s="134">
        <f t="shared" si="2"/>
        <v>7</v>
      </c>
      <c r="C17" s="153" t="s">
        <v>300</v>
      </c>
      <c r="D17" s="154">
        <f>SUM('Sch2'!I53:I53,'Sch2'!I57:I57)</f>
        <v>12</v>
      </c>
      <c r="E17" s="31">
        <f>'Sch3'!H51+'Sch3'!H56</f>
        <v>72700</v>
      </c>
      <c r="F17" s="159">
        <f>'Sch1'!F93</f>
        <v>288617</v>
      </c>
      <c r="G17" s="159">
        <f t="shared" si="0"/>
        <v>4218</v>
      </c>
      <c r="H17" s="159">
        <f>'Sch 7'!F95</f>
        <v>292835</v>
      </c>
      <c r="I17" s="138">
        <f t="shared" si="1"/>
        <v>1.46E-2</v>
      </c>
      <c r="J17" s="138">
        <f>ROUND((G17+G25+G26)/(F17+F25+F26),4)</f>
        <v>2.87E-2</v>
      </c>
    </row>
    <row r="18" spans="1:14" x14ac:dyDescent="0.2">
      <c r="A18" s="134">
        <f t="shared" si="2"/>
        <v>8</v>
      </c>
      <c r="C18" s="153" t="s">
        <v>620</v>
      </c>
      <c r="D18" s="154">
        <f>'Sch2'!I117</f>
        <v>922450</v>
      </c>
      <c r="E18" s="31">
        <f>'Sch3'!H109</f>
        <v>6925000</v>
      </c>
      <c r="F18" s="159">
        <f>'Sch1'!F328</f>
        <v>66540226</v>
      </c>
      <c r="G18" s="159">
        <f t="shared" si="0"/>
        <v>8066300</v>
      </c>
      <c r="H18" s="159">
        <f>'Sch 7'!F185</f>
        <v>74606526</v>
      </c>
      <c r="I18" s="138">
        <f t="shared" si="1"/>
        <v>0.1212</v>
      </c>
      <c r="J18" s="138">
        <f>ROUND((G12+G18)/(F12+F18),4)</f>
        <v>8.8800000000000004E-2</v>
      </c>
      <c r="L18" s="254"/>
    </row>
    <row r="19" spans="1:14" x14ac:dyDescent="0.2">
      <c r="A19" s="134">
        <f t="shared" si="2"/>
        <v>9</v>
      </c>
      <c r="C19" s="153" t="s">
        <v>563</v>
      </c>
      <c r="D19" s="154">
        <f>'Sch2'!I123</f>
        <v>92997</v>
      </c>
      <c r="E19" s="31">
        <f>'Sch3'!H113</f>
        <v>1392058.1</v>
      </c>
      <c r="F19" s="159">
        <f>'Sch1'!F187</f>
        <v>8956800</v>
      </c>
      <c r="G19" s="159">
        <f t="shared" si="0"/>
        <v>525514</v>
      </c>
      <c r="H19" s="159">
        <f>'Sch 7'!F198</f>
        <v>9482314</v>
      </c>
      <c r="I19" s="138">
        <f t="shared" si="1"/>
        <v>5.8700000000000002E-2</v>
      </c>
      <c r="J19" s="138">
        <f>ROUND((G13+G19+G21)/(F13+F19+F21),4)</f>
        <v>4.2299999999999997E-2</v>
      </c>
      <c r="L19" s="254"/>
    </row>
    <row r="20" spans="1:14" x14ac:dyDescent="0.2">
      <c r="A20" s="134">
        <f t="shared" si="2"/>
        <v>10</v>
      </c>
      <c r="C20" s="153" t="s">
        <v>564</v>
      </c>
      <c r="D20" s="154">
        <f>'Sch2'!I129</f>
        <v>7782</v>
      </c>
      <c r="E20" s="31">
        <f>'Sch3'!H117</f>
        <v>973921.5</v>
      </c>
      <c r="F20" s="159">
        <f>'Sch1'!F200</f>
        <v>4811112</v>
      </c>
      <c r="G20" s="159">
        <f t="shared" si="0"/>
        <v>224580</v>
      </c>
      <c r="H20" s="159">
        <f>'Sch 7'!F212</f>
        <v>5035692</v>
      </c>
      <c r="I20" s="138">
        <f t="shared" si="1"/>
        <v>4.6699999999999998E-2</v>
      </c>
      <c r="J20" s="138">
        <f>ROUND((G14+G20+G22)/(F14+F20+F22),4)</f>
        <v>4.0500000000000001E-2</v>
      </c>
      <c r="L20" s="254"/>
    </row>
    <row r="21" spans="1:14" x14ac:dyDescent="0.2">
      <c r="A21" s="134">
        <f t="shared" si="2"/>
        <v>11</v>
      </c>
      <c r="C21" s="153" t="s">
        <v>565</v>
      </c>
      <c r="D21" s="154">
        <f>'Sch2'!I147</f>
        <v>11047</v>
      </c>
      <c r="E21" s="31">
        <f>'Sch3'!H132+'Sch3'!H143</f>
        <v>251883.5</v>
      </c>
      <c r="F21" s="159">
        <f>'Sch1'!F217</f>
        <v>1277480</v>
      </c>
      <c r="G21" s="159">
        <f t="shared" si="0"/>
        <v>89773</v>
      </c>
      <c r="H21" s="159">
        <f>'Sch 7'!F229</f>
        <v>1367253</v>
      </c>
      <c r="I21" s="138">
        <f t="shared" si="1"/>
        <v>7.0300000000000001E-2</v>
      </c>
      <c r="J21" s="138">
        <f>ROUND((G13+G19+G21)/(F13+F19+F21),4)</f>
        <v>4.2299999999999997E-2</v>
      </c>
      <c r="L21" s="254"/>
    </row>
    <row r="22" spans="1:14" x14ac:dyDescent="0.2">
      <c r="A22" s="134">
        <f t="shared" si="2"/>
        <v>12</v>
      </c>
      <c r="C22" s="153" t="s">
        <v>566</v>
      </c>
      <c r="D22" s="154">
        <f>'Sch2'!I163</f>
        <v>19124</v>
      </c>
      <c r="E22" s="31">
        <f>'Sch3'!H156+'Sch3'!H164</f>
        <v>3806544.6999999997</v>
      </c>
      <c r="F22" s="159">
        <f>'Sch1'!F244</f>
        <v>15139499</v>
      </c>
      <c r="G22" s="159">
        <f t="shared" si="0"/>
        <v>1108671</v>
      </c>
      <c r="H22" s="159">
        <f>'Sch 7'!F257</f>
        <v>16248170</v>
      </c>
      <c r="I22" s="138">
        <f t="shared" si="1"/>
        <v>7.3200000000000001E-2</v>
      </c>
      <c r="J22" s="138">
        <f>ROUND((G14+G20+G22)/(F14+F20+F22),4)</f>
        <v>4.0500000000000001E-2</v>
      </c>
      <c r="L22" s="254"/>
    </row>
    <row r="23" spans="1:14" x14ac:dyDescent="0.2">
      <c r="A23" s="134">
        <f t="shared" si="2"/>
        <v>13</v>
      </c>
      <c r="C23" s="153" t="s">
        <v>296</v>
      </c>
      <c r="D23" s="154">
        <f>'Sch2'!I195</f>
        <v>4350</v>
      </c>
      <c r="E23" s="31">
        <f>'Sch3'!H194</f>
        <v>6235631.5</v>
      </c>
      <c r="F23" s="159">
        <f>'Sch1'!F257</f>
        <v>15635794</v>
      </c>
      <c r="G23" s="159">
        <f t="shared" si="0"/>
        <v>2140887</v>
      </c>
      <c r="H23" s="159">
        <f>'Sch 7'!F271</f>
        <v>17776681</v>
      </c>
      <c r="I23" s="138">
        <f t="shared" si="1"/>
        <v>0.13689999999999999</v>
      </c>
      <c r="J23" s="138">
        <f>ROUND((G15+G23)/(F15+F23),4)</f>
        <v>0.1196</v>
      </c>
      <c r="L23" s="254"/>
    </row>
    <row r="24" spans="1:14" x14ac:dyDescent="0.2">
      <c r="A24" s="134">
        <f t="shared" si="2"/>
        <v>14</v>
      </c>
      <c r="C24" s="153" t="s">
        <v>297</v>
      </c>
      <c r="D24" s="154">
        <f>'Sch2'!I221</f>
        <v>1082</v>
      </c>
      <c r="E24" s="31">
        <f>'Sch3'!H216</f>
        <v>20651944</v>
      </c>
      <c r="F24" s="159">
        <f>'Sch1'!F276</f>
        <v>17899205</v>
      </c>
      <c r="G24" s="159">
        <f t="shared" si="0"/>
        <v>2125502</v>
      </c>
      <c r="H24" s="159">
        <f>'Sch 7'!F291</f>
        <v>20024707</v>
      </c>
      <c r="I24" s="138">
        <f t="shared" si="1"/>
        <v>0.1187</v>
      </c>
      <c r="J24" s="138">
        <f>ROUND((G16+G24)/(F16+F24),4)</f>
        <v>0.1187</v>
      </c>
      <c r="L24" s="254"/>
    </row>
    <row r="25" spans="1:14" x14ac:dyDescent="0.2">
      <c r="A25" s="134">
        <f t="shared" si="2"/>
        <v>15</v>
      </c>
      <c r="C25" s="153" t="s">
        <v>298</v>
      </c>
      <c r="D25" s="154">
        <f>'Sch2'!I249</f>
        <v>74</v>
      </c>
      <c r="E25" s="31">
        <f>'Sch3'!H232</f>
        <v>2424000</v>
      </c>
      <c r="F25" s="159">
        <f>'Sch1'!F292</f>
        <v>399245</v>
      </c>
      <c r="G25" s="159">
        <f t="shared" si="0"/>
        <v>25309</v>
      </c>
      <c r="H25" s="159">
        <f>'Sch 7'!F307</f>
        <v>424554</v>
      </c>
      <c r="I25" s="138">
        <f t="shared" si="1"/>
        <v>6.3399999999999998E-2</v>
      </c>
      <c r="J25" s="138">
        <f>ROUND((G17+G25+G26)/(F17+F25+F26),4)</f>
        <v>2.87E-2</v>
      </c>
    </row>
    <row r="26" spans="1:14" x14ac:dyDescent="0.2">
      <c r="A26" s="134">
        <f t="shared" ref="A26:A27" si="3">A25+1</f>
        <v>16</v>
      </c>
      <c r="C26" s="153" t="s">
        <v>299</v>
      </c>
      <c r="D26" s="154">
        <f>'Sch2'!I285</f>
        <v>48</v>
      </c>
      <c r="E26" s="31">
        <f>'Sch3'!H263</f>
        <v>2239000</v>
      </c>
      <c r="F26" s="159">
        <f>'Sch1'!F319</f>
        <v>784207</v>
      </c>
      <c r="G26" s="159">
        <f t="shared" si="0"/>
        <v>12655</v>
      </c>
      <c r="H26" s="159">
        <f>'Sch 7'!F335</f>
        <v>796862</v>
      </c>
      <c r="I26" s="138">
        <f>IF(F26=0,0,ROUND(G26/F26,4))</f>
        <v>1.61E-2</v>
      </c>
      <c r="J26" s="138">
        <f>ROUND((G17+G25+G26)/(F17+F25+F26),4)</f>
        <v>2.87E-2</v>
      </c>
    </row>
    <row r="27" spans="1:14" x14ac:dyDescent="0.2">
      <c r="A27" s="134">
        <f t="shared" si="3"/>
        <v>17</v>
      </c>
      <c r="C27" s="153" t="s">
        <v>301</v>
      </c>
      <c r="F27" s="159">
        <f>'Sch1'!F361</f>
        <v>1590724.3199999998</v>
      </c>
      <c r="G27" s="159">
        <v>101720</v>
      </c>
      <c r="H27" s="159">
        <f>'Sch 7'!F387</f>
        <v>1692444.3199999998</v>
      </c>
      <c r="I27" s="138">
        <f t="shared" si="1"/>
        <v>6.3899999999999998E-2</v>
      </c>
      <c r="J27" s="138">
        <f>ROUND((G27)/(F27),4)</f>
        <v>6.3899999999999998E-2</v>
      </c>
    </row>
    <row r="28" spans="1:14" ht="6" customHeight="1" x14ac:dyDescent="0.2">
      <c r="H28" s="230"/>
      <c r="I28" s="138"/>
    </row>
    <row r="29" spans="1:14" ht="12" thickBot="1" x14ac:dyDescent="0.25">
      <c r="A29" s="134">
        <f>A27+1</f>
        <v>18</v>
      </c>
      <c r="C29" s="153" t="s">
        <v>295</v>
      </c>
      <c r="D29" s="239">
        <f>SUM(D12:D27)</f>
        <v>5283795</v>
      </c>
      <c r="E29" s="240">
        <f>SUM(E12:E27)</f>
        <v>82119330.400000006</v>
      </c>
      <c r="F29" s="241">
        <f>SUM(F12:F27)</f>
        <v>575348119.32000005</v>
      </c>
      <c r="G29" s="242">
        <f>SUM(G12:G27)</f>
        <v>46937082</v>
      </c>
      <c r="H29" s="242">
        <f>SUM(H12:H27)</f>
        <v>622285201.32000005</v>
      </c>
      <c r="I29" s="138">
        <f>ROUND(G29/F29,4)</f>
        <v>8.1600000000000006E-2</v>
      </c>
      <c r="J29" s="138">
        <f>ROUND(G29/F29,4)</f>
        <v>8.1600000000000006E-2</v>
      </c>
    </row>
    <row r="30" spans="1:14" ht="12" thickTop="1" x14ac:dyDescent="0.2">
      <c r="F30" s="154"/>
      <c r="G30" s="154"/>
      <c r="M30" s="154"/>
      <c r="N30" s="154"/>
    </row>
    <row r="31" spans="1:14" x14ac:dyDescent="0.2">
      <c r="A31" s="134">
        <f>A29+1</f>
        <v>19</v>
      </c>
      <c r="C31" s="6" t="s">
        <v>457</v>
      </c>
      <c r="H31" s="154"/>
    </row>
    <row r="32" spans="1:14" x14ac:dyDescent="0.2">
      <c r="A32" s="134">
        <f>A31+1</f>
        <v>20</v>
      </c>
      <c r="C32" s="153" t="s">
        <v>635</v>
      </c>
      <c r="D32" s="154">
        <f>D12</f>
        <v>3905732</v>
      </c>
      <c r="E32" s="31">
        <f>E12</f>
        <v>27512601</v>
      </c>
      <c r="F32" s="159">
        <f>'Sch1'!F122</f>
        <v>217609715</v>
      </c>
      <c r="G32" s="159">
        <f>H32-F32</f>
        <v>27499828</v>
      </c>
      <c r="H32" s="159">
        <f>'Sch 7'!F130</f>
        <v>245109543</v>
      </c>
      <c r="I32" s="138">
        <f>IF(F32=0,0,ROUND(G32/F32,4))</f>
        <v>0.12640000000000001</v>
      </c>
      <c r="J32" s="138">
        <f>ROUND((G32+G38)/(F32+F38),4)</f>
        <v>0.129</v>
      </c>
      <c r="M32" s="230"/>
    </row>
    <row r="33" spans="1:20" x14ac:dyDescent="0.2">
      <c r="A33" s="134">
        <f t="shared" ref="A33:A46" si="4">A32+1</f>
        <v>21</v>
      </c>
      <c r="C33" s="153" t="s">
        <v>561</v>
      </c>
      <c r="D33" s="154">
        <f t="shared" ref="D33:E46" si="5">D13</f>
        <v>287206</v>
      </c>
      <c r="E33" s="31">
        <f t="shared" si="5"/>
        <v>4812979.1000000006</v>
      </c>
      <c r="F33" s="159">
        <f>'Sch1'!F44+'Sch1'!F46</f>
        <v>25773774</v>
      </c>
      <c r="G33" s="159">
        <f t="shared" ref="G33:G46" si="6">H33-F33</f>
        <v>1765448</v>
      </c>
      <c r="H33" s="159">
        <f>'Sch 7'!F45+'Sch 7'!F47</f>
        <v>27539222</v>
      </c>
      <c r="I33" s="138">
        <f t="shared" ref="I33:I45" si="7">IF(F33=0,0,ROUND(G33/F33,4))</f>
        <v>6.8500000000000005E-2</v>
      </c>
      <c r="J33" s="138">
        <f>ROUND((G33+G39+G41)/(F33+F39+F41),4)</f>
        <v>6.8699999999999997E-2</v>
      </c>
      <c r="M33" s="230"/>
    </row>
    <row r="34" spans="1:20" x14ac:dyDescent="0.2">
      <c r="A34" s="134">
        <f t="shared" si="4"/>
        <v>22</v>
      </c>
      <c r="C34" s="153" t="s">
        <v>562</v>
      </c>
      <c r="D34" s="154">
        <f t="shared" si="5"/>
        <v>31073</v>
      </c>
      <c r="E34" s="31">
        <f t="shared" si="5"/>
        <v>4055013.8000000003</v>
      </c>
      <c r="F34" s="159">
        <f>'Sch1'!F59+'Sch1'!F61</f>
        <v>16206338</v>
      </c>
      <c r="G34" s="159">
        <f t="shared" si="6"/>
        <v>727470</v>
      </c>
      <c r="H34" s="159">
        <f>'Sch 7'!F60+'Sch 7'!F62</f>
        <v>16933808</v>
      </c>
      <c r="I34" s="138">
        <f t="shared" si="7"/>
        <v>4.4900000000000002E-2</v>
      </c>
      <c r="J34" s="138">
        <f>ROUND((G34+G40+G42)/(F34+F40+F42),4)</f>
        <v>4.7699999999999999E-2</v>
      </c>
      <c r="L34" s="230"/>
      <c r="M34" s="230"/>
    </row>
    <row r="35" spans="1:20" x14ac:dyDescent="0.2">
      <c r="A35" s="134">
        <f t="shared" si="4"/>
        <v>23</v>
      </c>
      <c r="C35" s="153" t="s">
        <v>489</v>
      </c>
      <c r="D35" s="154">
        <f t="shared" si="5"/>
        <v>818</v>
      </c>
      <c r="E35" s="31">
        <f t="shared" si="5"/>
        <v>766053.20000000007</v>
      </c>
      <c r="F35" s="159">
        <f>'Sch1'!F98+'Sch1'!F99+'Sch1'!F105+'Sch1'!F106</f>
        <v>2051972</v>
      </c>
      <c r="G35" s="159">
        <f t="shared" si="6"/>
        <v>97875</v>
      </c>
      <c r="H35" s="159">
        <f>'Sch 7'!F100+'Sch 7'!F101+'Sch 7'!F107+'Sch 7'!F108</f>
        <v>2149847</v>
      </c>
      <c r="I35" s="138">
        <f t="shared" si="7"/>
        <v>4.7699999999999999E-2</v>
      </c>
      <c r="J35" s="138">
        <f>ROUND((G35+G43)/(F35+F43),4)</f>
        <v>4.8099999999999997E-2</v>
      </c>
      <c r="L35" s="230"/>
      <c r="M35" s="230"/>
    </row>
    <row r="36" spans="1:20" x14ac:dyDescent="0.2">
      <c r="A36" s="134">
        <f t="shared" si="4"/>
        <v>24</v>
      </c>
      <c r="C36" s="153" t="s">
        <v>490</v>
      </c>
      <c r="D36" s="154">
        <f t="shared" si="5"/>
        <v>0</v>
      </c>
      <c r="E36" s="31">
        <f t="shared" si="5"/>
        <v>0</v>
      </c>
      <c r="F36" s="159">
        <f>SUM('Sch1'!F100:F103)+SUM('Sch1'!F107:F110)</f>
        <v>0</v>
      </c>
      <c r="G36" s="159">
        <f t="shared" si="6"/>
        <v>0</v>
      </c>
      <c r="H36" s="159">
        <f>'Sch 7'!F102+'Sch 7'!F103+'Sch 7'!F104+'Sch 7'!F105+'Sch 7'!F109+'Sch 7'!F110+'Sch 7'!F111+'Sch 7'!F112</f>
        <v>0</v>
      </c>
      <c r="I36" s="138">
        <f t="shared" si="7"/>
        <v>0</v>
      </c>
      <c r="J36" s="138">
        <f>ROUND((G36+G44)/(F36+F44),4)</f>
        <v>9.9500000000000005E-2</v>
      </c>
      <c r="L36" s="230"/>
      <c r="M36" s="230"/>
    </row>
    <row r="37" spans="1:20" x14ac:dyDescent="0.2">
      <c r="A37" s="134">
        <f t="shared" si="4"/>
        <v>25</v>
      </c>
      <c r="C37" s="153" t="s">
        <v>300</v>
      </c>
      <c r="D37" s="154">
        <f t="shared" si="5"/>
        <v>12</v>
      </c>
      <c r="E37" s="31">
        <f t="shared" si="5"/>
        <v>72700</v>
      </c>
      <c r="F37" s="159">
        <f>'Sch1'!F139</f>
        <v>20600</v>
      </c>
      <c r="G37" s="159">
        <f t="shared" si="6"/>
        <v>0</v>
      </c>
      <c r="H37" s="159">
        <f>'Sch 7'!F148</f>
        <v>20600</v>
      </c>
      <c r="I37" s="138">
        <f t="shared" si="7"/>
        <v>0</v>
      </c>
      <c r="J37" s="138">
        <f>ROUND((G37+G45+G46)/(F37+F45+F46),4)</f>
        <v>0</v>
      </c>
      <c r="L37" s="230"/>
      <c r="M37" s="230"/>
    </row>
    <row r="38" spans="1:20" x14ac:dyDescent="0.2">
      <c r="A38" s="134">
        <f t="shared" si="4"/>
        <v>26</v>
      </c>
      <c r="C38" s="153" t="s">
        <v>620</v>
      </c>
      <c r="D38" s="154">
        <f t="shared" si="5"/>
        <v>922450</v>
      </c>
      <c r="E38" s="31">
        <f t="shared" si="5"/>
        <v>6925000</v>
      </c>
      <c r="F38" s="159">
        <f>'Sch1'!F323</f>
        <v>53757368</v>
      </c>
      <c r="G38" s="159">
        <f>H38-F38</f>
        <v>7494295</v>
      </c>
      <c r="H38" s="159">
        <f>'Sch 7'!F341</f>
        <v>61251663</v>
      </c>
      <c r="I38" s="138">
        <f t="shared" si="7"/>
        <v>0.1394</v>
      </c>
      <c r="J38" s="138">
        <f>ROUND((G32+G38)/(F32+F38),4)</f>
        <v>0.129</v>
      </c>
      <c r="M38" s="230"/>
    </row>
    <row r="39" spans="1:20" x14ac:dyDescent="0.2">
      <c r="A39" s="134">
        <f t="shared" si="4"/>
        <v>27</v>
      </c>
      <c r="C39" s="153" t="s">
        <v>563</v>
      </c>
      <c r="D39" s="154">
        <f t="shared" si="5"/>
        <v>92997</v>
      </c>
      <c r="E39" s="31">
        <f t="shared" si="5"/>
        <v>1392058.1</v>
      </c>
      <c r="F39" s="159">
        <f>'Sch1'!F179+'Sch1'!F181</f>
        <v>7665527</v>
      </c>
      <c r="G39" s="159">
        <f t="shared" si="6"/>
        <v>525514</v>
      </c>
      <c r="H39" s="159">
        <f>'Sch 7'!F190+'Sch 7'!F192</f>
        <v>8191041</v>
      </c>
      <c r="I39" s="138">
        <f t="shared" si="7"/>
        <v>6.8599999999999994E-2</v>
      </c>
      <c r="J39" s="138">
        <f>ROUND((G33+G39+G41)/(F33+F39+F41),4)</f>
        <v>6.8699999999999997E-2</v>
      </c>
      <c r="M39" s="230"/>
    </row>
    <row r="40" spans="1:20" x14ac:dyDescent="0.2">
      <c r="A40" s="134">
        <f t="shared" si="4"/>
        <v>28</v>
      </c>
      <c r="C40" s="153" t="s">
        <v>564</v>
      </c>
      <c r="D40" s="154">
        <f t="shared" si="5"/>
        <v>7782</v>
      </c>
      <c r="E40" s="31">
        <f t="shared" si="5"/>
        <v>973921.5</v>
      </c>
      <c r="F40" s="159">
        <f>'Sch1'!F192+'Sch1'!F194</f>
        <v>3907702</v>
      </c>
      <c r="G40" s="159">
        <f t="shared" si="6"/>
        <v>174722</v>
      </c>
      <c r="H40" s="159">
        <f>'Sch 7'!F202+'Sch 7'!F204</f>
        <v>4082424</v>
      </c>
      <c r="I40" s="138">
        <f t="shared" si="7"/>
        <v>4.4699999999999997E-2</v>
      </c>
      <c r="J40" s="138">
        <f>ROUND((G34+G40+G42)/(F34+F40+F42),4)</f>
        <v>4.7699999999999999E-2</v>
      </c>
      <c r="L40" s="6"/>
      <c r="M40" s="230"/>
    </row>
    <row r="41" spans="1:20" x14ac:dyDescent="0.2">
      <c r="A41" s="134">
        <f t="shared" si="4"/>
        <v>29</v>
      </c>
      <c r="C41" s="153" t="s">
        <v>565</v>
      </c>
      <c r="D41" s="154">
        <f t="shared" si="5"/>
        <v>11047</v>
      </c>
      <c r="E41" s="31">
        <f t="shared" si="5"/>
        <v>251883.5</v>
      </c>
      <c r="F41" s="159">
        <f>'Sch1'!F205+'Sch1'!F208+'Sch1'!F210+'Sch1'!F215</f>
        <v>1228844</v>
      </c>
      <c r="G41" s="159">
        <f t="shared" si="6"/>
        <v>89773</v>
      </c>
      <c r="H41" s="159">
        <f>'Sch 7'!F217+'Sch 7'!F220+'Sch 7'!F222+'Sch 7'!F227</f>
        <v>1318617</v>
      </c>
      <c r="I41" s="138">
        <f>IF(F41=0,0,ROUND(G41/F41,4))</f>
        <v>7.3099999999999998E-2</v>
      </c>
      <c r="J41" s="138">
        <f>ROUND((G33+G39+G41)/(F33+F39+F41),4)</f>
        <v>6.8699999999999997E-2</v>
      </c>
      <c r="K41" s="155"/>
      <c r="L41" s="155"/>
      <c r="M41" s="324"/>
      <c r="N41" s="155"/>
      <c r="O41" s="155"/>
      <c r="P41" s="155"/>
      <c r="Q41" s="155"/>
      <c r="R41" s="155"/>
      <c r="S41" s="155"/>
      <c r="T41" s="155"/>
    </row>
    <row r="42" spans="1:20" x14ac:dyDescent="0.2">
      <c r="A42" s="134">
        <f t="shared" si="4"/>
        <v>30</v>
      </c>
      <c r="C42" s="153" t="s">
        <v>566</v>
      </c>
      <c r="D42" s="154">
        <f t="shared" si="5"/>
        <v>19124</v>
      </c>
      <c r="E42" s="31">
        <f t="shared" si="5"/>
        <v>3806544.6999999997</v>
      </c>
      <c r="F42" s="159">
        <f>'Sch1'!F232+'Sch1'!F235+'Sch1'!F237+'Sch1'!F242</f>
        <v>14159309</v>
      </c>
      <c r="G42" s="159">
        <f t="shared" si="6"/>
        <v>732821</v>
      </c>
      <c r="H42" s="159">
        <f>'Sch 7'!F244+'Sch 7'!F247+'Sch 7'!F249+'Sch 7'!F254</f>
        <v>14892130</v>
      </c>
      <c r="I42" s="138">
        <f>IF(F42=0,0,ROUND(G42/F42,4))</f>
        <v>5.1799999999999999E-2</v>
      </c>
      <c r="J42" s="138">
        <f>ROUND((G34+G40+G42)/(F34+F40+F42),4)</f>
        <v>4.7699999999999999E-2</v>
      </c>
      <c r="K42" s="155"/>
      <c r="L42" s="360"/>
      <c r="M42" s="360"/>
      <c r="N42" s="360"/>
      <c r="O42" s="360"/>
      <c r="P42" s="155"/>
      <c r="Q42" s="360"/>
      <c r="R42" s="360"/>
      <c r="S42" s="360"/>
      <c r="T42" s="360"/>
    </row>
    <row r="43" spans="1:20" x14ac:dyDescent="0.2">
      <c r="A43" s="134">
        <f t="shared" si="4"/>
        <v>31</v>
      </c>
      <c r="C43" s="153" t="s">
        <v>296</v>
      </c>
      <c r="D43" s="154">
        <f t="shared" si="5"/>
        <v>4350</v>
      </c>
      <c r="E43" s="31">
        <f t="shared" si="5"/>
        <v>6235631.5</v>
      </c>
      <c r="F43" s="159">
        <f>'Sch1'!F249+'Sch1'!F250+'Sch1'!F252+'Sch1'!F253+'Sch1'!F256</f>
        <v>15635794</v>
      </c>
      <c r="G43" s="159">
        <f t="shared" si="6"/>
        <v>753184</v>
      </c>
      <c r="H43" s="159">
        <f>'Sch 7'!F262+'Sch 7'!F263+'Sch 7'!F265+'Sch 7'!F266+'Sch 7'!F269</f>
        <v>16388978</v>
      </c>
      <c r="I43" s="138">
        <f t="shared" si="7"/>
        <v>4.82E-2</v>
      </c>
      <c r="J43" s="138">
        <f>ROUND((G35+G43)/(F35+F43),4)</f>
        <v>4.8099999999999997E-2</v>
      </c>
      <c r="K43" s="155"/>
      <c r="L43" s="361"/>
      <c r="M43" s="361"/>
      <c r="N43" s="361"/>
      <c r="O43" s="361"/>
      <c r="P43" s="155"/>
      <c r="Q43" s="361"/>
      <c r="R43" s="361"/>
      <c r="S43" s="361"/>
      <c r="T43" s="361"/>
    </row>
    <row r="44" spans="1:20" x14ac:dyDescent="0.2">
      <c r="A44" s="134">
        <f t="shared" si="4"/>
        <v>32</v>
      </c>
      <c r="C44" s="153" t="s">
        <v>297</v>
      </c>
      <c r="D44" s="154">
        <f t="shared" si="5"/>
        <v>1082</v>
      </c>
      <c r="E44" s="31">
        <f t="shared" si="5"/>
        <v>20651944</v>
      </c>
      <c r="F44" s="159">
        <f>'Sch1'!F336</f>
        <v>17899205</v>
      </c>
      <c r="G44" s="159">
        <f t="shared" si="6"/>
        <v>1780343</v>
      </c>
      <c r="H44" s="159">
        <f>'Sch 7'!F360</f>
        <v>19679548</v>
      </c>
      <c r="I44" s="138">
        <f t="shared" si="7"/>
        <v>9.9500000000000005E-2</v>
      </c>
      <c r="J44" s="138">
        <f>ROUND((G36+G44)/(F36+F44),4)</f>
        <v>9.9500000000000005E-2</v>
      </c>
      <c r="L44" s="154"/>
      <c r="M44" s="154"/>
      <c r="N44" s="154"/>
      <c r="O44" s="246"/>
      <c r="Q44" s="154"/>
      <c r="R44" s="154"/>
      <c r="S44" s="154"/>
      <c r="T44" s="246"/>
    </row>
    <row r="45" spans="1:20" x14ac:dyDescent="0.2">
      <c r="A45" s="134">
        <f t="shared" si="4"/>
        <v>33</v>
      </c>
      <c r="C45" s="153" t="s">
        <v>298</v>
      </c>
      <c r="D45" s="154">
        <f t="shared" si="5"/>
        <v>74</v>
      </c>
      <c r="E45" s="31">
        <f t="shared" si="5"/>
        <v>2424000</v>
      </c>
      <c r="F45" s="159">
        <f>'Sch1'!F289+'Sch1'!F291</f>
        <v>399245</v>
      </c>
      <c r="G45" s="159">
        <f t="shared" si="6"/>
        <v>0</v>
      </c>
      <c r="H45" s="159">
        <f>'Sch 7'!F296+'Sch 7'!F297+'Sch 7'!F298+'Sch 7'!F299+'Sch 7'!F300+'Sch 7'!F302+'Sch 7'!F305</f>
        <v>399245</v>
      </c>
      <c r="I45" s="138">
        <f t="shared" si="7"/>
        <v>0</v>
      </c>
      <c r="J45" s="138">
        <f>ROUND((G37+G45+G46)/(F37+F45+F46),4)</f>
        <v>0</v>
      </c>
      <c r="M45" s="230"/>
    </row>
    <row r="46" spans="1:20" x14ac:dyDescent="0.2">
      <c r="A46" s="134">
        <f t="shared" si="4"/>
        <v>34</v>
      </c>
      <c r="C46" s="153" t="s">
        <v>299</v>
      </c>
      <c r="D46" s="154">
        <f t="shared" si="5"/>
        <v>48</v>
      </c>
      <c r="E46" s="31">
        <f t="shared" si="5"/>
        <v>2239000</v>
      </c>
      <c r="F46" s="159">
        <f>'Sch1'!F316+'Sch1'!F318</f>
        <v>784207</v>
      </c>
      <c r="G46" s="159">
        <f t="shared" si="6"/>
        <v>0</v>
      </c>
      <c r="H46" s="159">
        <f>+'Sch 7'!F323+'Sch 7'!F324+'Sch 7'!F325+'Sch 7'!F327+'Sch 7'!F328+'Sch 7'!F329+'Sch 7'!F333</f>
        <v>784207</v>
      </c>
      <c r="I46" s="138">
        <f>IF(F46=0,0,ROUND(G46/F46,4))</f>
        <v>0</v>
      </c>
      <c r="J46" s="138">
        <f>ROUND((G37+G45+G46)/(F37+F45+F46),4)</f>
        <v>0</v>
      </c>
      <c r="M46" s="230"/>
      <c r="N46" s="138"/>
      <c r="R46" s="154"/>
    </row>
    <row r="47" spans="1:20" x14ac:dyDescent="0.2">
      <c r="I47" s="138"/>
      <c r="J47" s="138"/>
    </row>
    <row r="48" spans="1:20" ht="12" thickBot="1" x14ac:dyDescent="0.25">
      <c r="A48" s="134">
        <f>A46+1</f>
        <v>35</v>
      </c>
      <c r="C48" s="153" t="s">
        <v>458</v>
      </c>
      <c r="D48" s="239">
        <f>SUM(D32:D46)</f>
        <v>5283795</v>
      </c>
      <c r="E48" s="240">
        <f>SUM(E32:E46)</f>
        <v>82119330.400000006</v>
      </c>
      <c r="F48" s="241">
        <f>SUM(F32:F46)</f>
        <v>377099600</v>
      </c>
      <c r="G48" s="241">
        <f>SUM(G32:G46)</f>
        <v>41641273</v>
      </c>
      <c r="H48" s="241">
        <f>SUM(H32:H46)</f>
        <v>418740873</v>
      </c>
      <c r="I48" s="138">
        <f>ROUND(G48/F48,4)</f>
        <v>0.1104</v>
      </c>
      <c r="J48" s="138">
        <f>ROUND(G48/F48,4)</f>
        <v>0.1104</v>
      </c>
    </row>
    <row r="49" spans="1:13" ht="6.75" customHeight="1" thickTop="1" x14ac:dyDescent="0.2">
      <c r="D49" s="20"/>
      <c r="E49" s="97"/>
      <c r="F49" s="258"/>
      <c r="G49" s="258"/>
      <c r="H49" s="258"/>
      <c r="I49" s="138"/>
      <c r="J49" s="138"/>
    </row>
    <row r="50" spans="1:13" x14ac:dyDescent="0.2">
      <c r="A50" s="134">
        <f>A48+1</f>
        <v>36</v>
      </c>
      <c r="C50" s="6" t="s">
        <v>642</v>
      </c>
      <c r="H50" s="154"/>
    </row>
    <row r="51" spans="1:13" x14ac:dyDescent="0.2">
      <c r="A51" s="134">
        <f>A50+1</f>
        <v>37</v>
      </c>
      <c r="C51" s="153" t="s">
        <v>562</v>
      </c>
      <c r="D51" s="154">
        <f>'Sch 7'!C65</f>
        <v>300</v>
      </c>
      <c r="E51" s="31"/>
      <c r="F51" s="159">
        <v>0</v>
      </c>
      <c r="G51" s="159">
        <f t="shared" ref="G51:G54" si="8">H51-F51</f>
        <v>95880</v>
      </c>
      <c r="H51" s="159">
        <f>'Sch 7'!F65</f>
        <v>95880</v>
      </c>
      <c r="I51" s="138"/>
      <c r="J51" s="138"/>
    </row>
    <row r="52" spans="1:13" x14ac:dyDescent="0.2">
      <c r="A52" s="134">
        <f t="shared" ref="A52:A60" si="9">A51+1</f>
        <v>38</v>
      </c>
      <c r="C52" s="153" t="s">
        <v>489</v>
      </c>
      <c r="D52" s="154">
        <f>'Sch 7'!C117</f>
        <v>818</v>
      </c>
      <c r="E52" s="31"/>
      <c r="F52" s="159">
        <v>0</v>
      </c>
      <c r="G52" s="159">
        <f t="shared" si="8"/>
        <v>261433</v>
      </c>
      <c r="H52" s="159">
        <f>'Sch 7'!F117</f>
        <v>261433</v>
      </c>
      <c r="I52" s="138"/>
      <c r="J52" s="138"/>
    </row>
    <row r="53" spans="1:13" x14ac:dyDescent="0.2">
      <c r="A53" s="134">
        <f t="shared" si="9"/>
        <v>39</v>
      </c>
      <c r="C53" s="153" t="s">
        <v>490</v>
      </c>
      <c r="D53" s="154">
        <f>'Sch 7'!C118</f>
        <v>0</v>
      </c>
      <c r="E53" s="31"/>
      <c r="F53" s="159">
        <v>0</v>
      </c>
      <c r="G53" s="159">
        <f t="shared" si="8"/>
        <v>0</v>
      </c>
      <c r="H53" s="159">
        <f>'Sch 7'!F118</f>
        <v>0</v>
      </c>
      <c r="I53" s="138"/>
      <c r="J53" s="138"/>
    </row>
    <row r="54" spans="1:13" x14ac:dyDescent="0.2">
      <c r="A54" s="134">
        <f t="shared" si="9"/>
        <v>40</v>
      </c>
      <c r="C54" s="153" t="s">
        <v>300</v>
      </c>
      <c r="D54" s="154">
        <f>'Sch 7'!C89</f>
        <v>12</v>
      </c>
      <c r="E54" s="31"/>
      <c r="F54" s="159">
        <v>0</v>
      </c>
      <c r="G54" s="159">
        <f t="shared" si="8"/>
        <v>4218</v>
      </c>
      <c r="H54" s="159">
        <f>'Sch 7'!F89</f>
        <v>4218</v>
      </c>
      <c r="I54" s="138"/>
      <c r="J54" s="138"/>
    </row>
    <row r="55" spans="1:13" x14ac:dyDescent="0.2">
      <c r="A55" s="134">
        <f t="shared" si="9"/>
        <v>41</v>
      </c>
      <c r="C55" s="153" t="s">
        <v>564</v>
      </c>
      <c r="D55" s="154">
        <f>'Sch 7'!C207</f>
        <v>156</v>
      </c>
      <c r="E55" s="31"/>
      <c r="F55" s="159">
        <v>0</v>
      </c>
      <c r="G55" s="159">
        <f t="shared" ref="G55:G60" si="10">H55-F55</f>
        <v>49858</v>
      </c>
      <c r="H55" s="159">
        <f>'Sch 7'!F207</f>
        <v>49858</v>
      </c>
      <c r="I55" s="138"/>
      <c r="J55" s="138"/>
    </row>
    <row r="56" spans="1:13" x14ac:dyDescent="0.2">
      <c r="A56" s="134">
        <f t="shared" si="9"/>
        <v>42</v>
      </c>
      <c r="C56" s="153" t="s">
        <v>566</v>
      </c>
      <c r="D56" s="154">
        <f>'Sch 7'!C255</f>
        <v>1176</v>
      </c>
      <c r="E56" s="31"/>
      <c r="F56" s="159">
        <v>0</v>
      </c>
      <c r="G56" s="159">
        <f t="shared" si="10"/>
        <v>375850</v>
      </c>
      <c r="H56" s="159">
        <f>'Sch 7'!F255</f>
        <v>375850</v>
      </c>
      <c r="I56" s="138"/>
      <c r="J56" s="138"/>
    </row>
    <row r="57" spans="1:13" x14ac:dyDescent="0.2">
      <c r="A57" s="134">
        <f t="shared" si="9"/>
        <v>43</v>
      </c>
      <c r="C57" s="153" t="s">
        <v>296</v>
      </c>
      <c r="D57" s="154">
        <f>'Sch 7'!C270</f>
        <v>4342</v>
      </c>
      <c r="E57" s="31"/>
      <c r="F57" s="159">
        <v>0</v>
      </c>
      <c r="G57" s="159">
        <f t="shared" si="10"/>
        <v>1387703</v>
      </c>
      <c r="H57" s="159">
        <f>'Sch 7'!F270</f>
        <v>1387703</v>
      </c>
      <c r="I57" s="138"/>
      <c r="J57" s="138"/>
    </row>
    <row r="58" spans="1:13" x14ac:dyDescent="0.2">
      <c r="A58" s="134">
        <f t="shared" si="9"/>
        <v>44</v>
      </c>
      <c r="C58" s="153" t="s">
        <v>297</v>
      </c>
      <c r="D58" s="154">
        <f>'Sch 7'!C290</f>
        <v>936</v>
      </c>
      <c r="E58" s="31"/>
      <c r="F58" s="159">
        <v>0</v>
      </c>
      <c r="G58" s="159">
        <f t="shared" si="10"/>
        <v>345159</v>
      </c>
      <c r="H58" s="159">
        <f>'Sch 7'!F290</f>
        <v>345159</v>
      </c>
      <c r="I58" s="138"/>
      <c r="J58" s="138"/>
    </row>
    <row r="59" spans="1:13" x14ac:dyDescent="0.2">
      <c r="A59" s="134">
        <f t="shared" si="9"/>
        <v>45</v>
      </c>
      <c r="C59" s="153" t="s">
        <v>298</v>
      </c>
      <c r="D59" s="154">
        <f>'Sch 7'!C306</f>
        <v>72</v>
      </c>
      <c r="E59" s="31"/>
      <c r="F59" s="159">
        <v>0</v>
      </c>
      <c r="G59" s="159">
        <f t="shared" si="10"/>
        <v>25309</v>
      </c>
      <c r="H59" s="159">
        <f>'Sch 7'!F306</f>
        <v>25309</v>
      </c>
      <c r="I59" s="138"/>
      <c r="J59" s="138"/>
    </row>
    <row r="60" spans="1:13" x14ac:dyDescent="0.2">
      <c r="A60" s="134">
        <f t="shared" si="9"/>
        <v>46</v>
      </c>
      <c r="C60" s="153" t="s">
        <v>299</v>
      </c>
      <c r="D60" s="154">
        <f>'Sch 7'!C334</f>
        <v>36</v>
      </c>
      <c r="E60" s="31"/>
      <c r="F60" s="159">
        <v>0</v>
      </c>
      <c r="G60" s="159">
        <f t="shared" si="10"/>
        <v>12655</v>
      </c>
      <c r="H60" s="159">
        <f>'Sch 7'!F334</f>
        <v>12655</v>
      </c>
      <c r="I60" s="138"/>
      <c r="J60" s="138"/>
    </row>
    <row r="61" spans="1:13" ht="4.5" customHeight="1" x14ac:dyDescent="0.2">
      <c r="I61" s="138"/>
      <c r="J61" s="138"/>
    </row>
    <row r="62" spans="1:13" ht="12" thickBot="1" x14ac:dyDescent="0.25">
      <c r="A62" s="134">
        <f>A60+1</f>
        <v>47</v>
      </c>
      <c r="C62" s="153" t="s">
        <v>643</v>
      </c>
      <c r="D62" s="239">
        <f>SUM(D51:D60)</f>
        <v>7848</v>
      </c>
      <c r="E62" s="240">
        <f>SUM(E51:E60)</f>
        <v>0</v>
      </c>
      <c r="F62" s="241">
        <f>SUM(F51:F60)</f>
        <v>0</v>
      </c>
      <c r="G62" s="241">
        <f>SUM(G51:G60)</f>
        <v>2558065</v>
      </c>
      <c r="H62" s="241">
        <f>SUM(H51:H60)</f>
        <v>2558065</v>
      </c>
      <c r="I62" s="138"/>
      <c r="J62" s="138"/>
    </row>
    <row r="63" spans="1:13" ht="12" thickTop="1" x14ac:dyDescent="0.2">
      <c r="A63" s="353" t="str">
        <f>coname</f>
        <v>Columbia Gas of Pennsylvania, Inc.</v>
      </c>
      <c r="B63" s="353"/>
      <c r="C63" s="353"/>
      <c r="D63" s="353"/>
      <c r="E63" s="353"/>
      <c r="F63" s="353"/>
      <c r="G63" s="353"/>
      <c r="H63" s="353"/>
      <c r="I63" s="353"/>
      <c r="J63" s="353"/>
      <c r="K63" s="2" t="s">
        <v>257</v>
      </c>
      <c r="M63" s="230"/>
    </row>
    <row r="64" spans="1:13" x14ac:dyDescent="0.2">
      <c r="A64" s="353" t="s">
        <v>293</v>
      </c>
      <c r="B64" s="353"/>
      <c r="C64" s="353"/>
      <c r="D64" s="353"/>
      <c r="E64" s="353"/>
      <c r="F64" s="353"/>
      <c r="G64" s="353"/>
      <c r="H64" s="353"/>
      <c r="I64" s="353"/>
      <c r="J64" s="353"/>
      <c r="K64" s="2" t="s">
        <v>535</v>
      </c>
      <c r="M64" s="230"/>
    </row>
    <row r="65" spans="1:13" x14ac:dyDescent="0.2">
      <c r="A65" s="353" t="str">
        <f>TYDESC</f>
        <v>For the 12 Months Ended December 31, 2019</v>
      </c>
      <c r="B65" s="353"/>
      <c r="C65" s="353"/>
      <c r="D65" s="353"/>
      <c r="E65" s="353"/>
      <c r="F65" s="353"/>
      <c r="G65" s="353"/>
      <c r="H65" s="353"/>
      <c r="I65" s="353"/>
      <c r="J65" s="353"/>
      <c r="K65" s="2" t="s">
        <v>602</v>
      </c>
      <c r="M65" s="230"/>
    </row>
    <row r="66" spans="1:13" x14ac:dyDescent="0.2">
      <c r="A66" s="351"/>
      <c r="B66" s="351"/>
      <c r="C66" s="351"/>
      <c r="D66" s="351"/>
      <c r="E66" s="351"/>
      <c r="F66" s="351"/>
      <c r="G66" s="351"/>
      <c r="H66" s="351"/>
      <c r="I66" s="351"/>
      <c r="J66" s="351"/>
      <c r="K66" s="2" t="str">
        <f>K4</f>
        <v>Witness: P. A. Strauss</v>
      </c>
      <c r="M66" s="230"/>
    </row>
    <row r="67" spans="1:13" x14ac:dyDescent="0.2">
      <c r="M67" s="230"/>
    </row>
    <row r="68" spans="1:13" x14ac:dyDescent="0.2">
      <c r="A68" s="351"/>
      <c r="B68" s="351"/>
      <c r="C68" s="351"/>
      <c r="D68" s="351"/>
      <c r="E68" s="351"/>
      <c r="F68" s="351" t="s">
        <v>178</v>
      </c>
      <c r="G68" s="351" t="s">
        <v>180</v>
      </c>
      <c r="H68" s="351" t="s">
        <v>20</v>
      </c>
      <c r="I68" s="351" t="s">
        <v>294</v>
      </c>
      <c r="J68" s="351" t="s">
        <v>180</v>
      </c>
      <c r="M68" s="230"/>
    </row>
    <row r="69" spans="1:13" x14ac:dyDescent="0.2">
      <c r="A69" s="351" t="s">
        <v>3</v>
      </c>
      <c r="B69" s="351"/>
      <c r="C69" s="351"/>
      <c r="D69" s="351" t="s">
        <v>11</v>
      </c>
      <c r="E69" s="351" t="s">
        <v>11</v>
      </c>
      <c r="F69" s="351" t="s">
        <v>272</v>
      </c>
      <c r="G69" s="351" t="s">
        <v>31</v>
      </c>
      <c r="H69" s="351" t="s">
        <v>180</v>
      </c>
      <c r="I69" s="351" t="s">
        <v>332</v>
      </c>
      <c r="J69" s="351" t="s">
        <v>332</v>
      </c>
      <c r="M69" s="230"/>
    </row>
    <row r="70" spans="1:13" x14ac:dyDescent="0.2">
      <c r="A70" s="172" t="s">
        <v>6</v>
      </c>
      <c r="B70" s="172"/>
      <c r="C70" s="172" t="s">
        <v>7</v>
      </c>
      <c r="D70" s="172" t="s">
        <v>35</v>
      </c>
      <c r="E70" s="172" t="s">
        <v>40</v>
      </c>
      <c r="F70" s="172" t="s">
        <v>271</v>
      </c>
      <c r="G70" s="172" t="s">
        <v>273</v>
      </c>
      <c r="H70" s="172" t="s">
        <v>31</v>
      </c>
      <c r="I70" s="172" t="s">
        <v>333</v>
      </c>
      <c r="J70" s="172" t="s">
        <v>334</v>
      </c>
      <c r="K70" s="277"/>
      <c r="M70" s="230"/>
    </row>
    <row r="71" spans="1:13" x14ac:dyDescent="0.2">
      <c r="D71" s="352" t="s">
        <v>12</v>
      </c>
      <c r="E71" s="352" t="s">
        <v>13</v>
      </c>
      <c r="F71" s="352" t="s">
        <v>32</v>
      </c>
      <c r="G71" s="352" t="s">
        <v>14</v>
      </c>
      <c r="H71" s="352" t="s">
        <v>320</v>
      </c>
      <c r="I71" s="352" t="s">
        <v>16</v>
      </c>
      <c r="J71" s="352" t="s">
        <v>236</v>
      </c>
      <c r="M71" s="230"/>
    </row>
    <row r="72" spans="1:13" x14ac:dyDescent="0.2">
      <c r="D72" s="6"/>
      <c r="E72" s="351" t="s">
        <v>241</v>
      </c>
      <c r="F72" s="351" t="s">
        <v>33</v>
      </c>
      <c r="G72" s="351" t="s">
        <v>33</v>
      </c>
      <c r="H72" s="351" t="s">
        <v>33</v>
      </c>
      <c r="I72" s="351" t="s">
        <v>199</v>
      </c>
      <c r="J72" s="351" t="s">
        <v>199</v>
      </c>
      <c r="M72" s="230"/>
    </row>
    <row r="73" spans="1:13" x14ac:dyDescent="0.2">
      <c r="D73" s="351" t="s">
        <v>317</v>
      </c>
      <c r="E73" s="351" t="s">
        <v>318</v>
      </c>
      <c r="F73" s="351" t="s">
        <v>319</v>
      </c>
      <c r="G73" s="351"/>
      <c r="H73" s="351" t="s">
        <v>371</v>
      </c>
      <c r="I73" s="6"/>
      <c r="J73" s="6"/>
      <c r="M73" s="230"/>
    </row>
    <row r="74" spans="1:13" x14ac:dyDescent="0.2">
      <c r="F74" s="154"/>
      <c r="G74" s="230"/>
      <c r="M74" s="230"/>
    </row>
    <row r="75" spans="1:13" x14ac:dyDescent="0.2">
      <c r="A75" s="134">
        <v>1</v>
      </c>
      <c r="C75" s="6" t="s">
        <v>151</v>
      </c>
      <c r="F75" s="230"/>
    </row>
    <row r="76" spans="1:13" x14ac:dyDescent="0.2">
      <c r="A76" s="134">
        <f>A75+1</f>
        <v>2</v>
      </c>
      <c r="C76" s="153" t="s">
        <v>635</v>
      </c>
      <c r="D76" s="20"/>
      <c r="E76" s="97"/>
      <c r="F76" s="159">
        <f>'Sch1'!F123</f>
        <v>0</v>
      </c>
      <c r="G76" s="159">
        <f>H76-F76</f>
        <v>0</v>
      </c>
      <c r="H76" s="159">
        <f>'Sch 7'!F131</f>
        <v>0</v>
      </c>
      <c r="I76" s="138">
        <f>IF(F76=0,0,ROUND(G76/F76,4))</f>
        <v>0</v>
      </c>
      <c r="J76" s="138">
        <f>IF((F76+F82)=0,0,ROUND((G76+G82)/(F76+F82),4))</f>
        <v>0</v>
      </c>
    </row>
    <row r="77" spans="1:13" x14ac:dyDescent="0.2">
      <c r="A77" s="134">
        <f t="shared" ref="A77:A91" si="11">A76+1</f>
        <v>3</v>
      </c>
      <c r="C77" s="153" t="s">
        <v>561</v>
      </c>
      <c r="D77" s="20"/>
      <c r="E77" s="97"/>
      <c r="F77" s="159">
        <f>'Sch1'!F50</f>
        <v>0</v>
      </c>
      <c r="G77" s="159">
        <f t="shared" ref="G77:G90" si="12">H77-F77</f>
        <v>0</v>
      </c>
      <c r="H77" s="159">
        <f>'Sch 7'!F51</f>
        <v>0</v>
      </c>
      <c r="I77" s="138">
        <f t="shared" ref="I77:I87" si="13">IF(F77=0,0,ROUND(G77/F77,4))</f>
        <v>0</v>
      </c>
      <c r="J77" s="138">
        <f>IF((F77+F83+F85)=0,0,ROUND((G77+G83+G85)/(F77+F83+F85),4))</f>
        <v>0</v>
      </c>
    </row>
    <row r="78" spans="1:13" x14ac:dyDescent="0.2">
      <c r="A78" s="134">
        <f t="shared" si="11"/>
        <v>4</v>
      </c>
      <c r="C78" s="153" t="s">
        <v>562</v>
      </c>
      <c r="D78" s="20"/>
      <c r="E78" s="97"/>
      <c r="F78" s="159">
        <f>'Sch1'!F65</f>
        <v>0</v>
      </c>
      <c r="G78" s="159">
        <f t="shared" si="12"/>
        <v>0</v>
      </c>
      <c r="H78" s="159">
        <f>'Sch 7'!F67</f>
        <v>0</v>
      </c>
      <c r="I78" s="138">
        <f t="shared" si="13"/>
        <v>0</v>
      </c>
      <c r="J78" s="138">
        <f>IF((F78+F84+F86)=0,0,ROUND((G78+G84+G86)/(F78+F84+F86),4))</f>
        <v>0</v>
      </c>
    </row>
    <row r="79" spans="1:13" x14ac:dyDescent="0.2">
      <c r="A79" s="134">
        <f t="shared" si="11"/>
        <v>5</v>
      </c>
      <c r="C79" s="153" t="s">
        <v>489</v>
      </c>
      <c r="D79" s="20"/>
      <c r="E79" s="97"/>
      <c r="F79" s="159">
        <f>'Sch1'!F113</f>
        <v>0</v>
      </c>
      <c r="G79" s="159">
        <f t="shared" si="12"/>
        <v>0</v>
      </c>
      <c r="H79" s="159">
        <f>'Sch 7'!F120</f>
        <v>0</v>
      </c>
      <c r="I79" s="138">
        <f t="shared" si="13"/>
        <v>0</v>
      </c>
      <c r="J79" s="138">
        <f>IF((F79+F87)=0,0,ROUND((G79+G87)/(F79+F87),4))</f>
        <v>0</v>
      </c>
    </row>
    <row r="80" spans="1:13" x14ac:dyDescent="0.2">
      <c r="A80" s="134">
        <f t="shared" si="11"/>
        <v>6</v>
      </c>
      <c r="C80" s="153" t="s">
        <v>490</v>
      </c>
      <c r="D80" s="20"/>
      <c r="E80" s="97"/>
      <c r="F80" s="159">
        <f>'Sch1'!F114</f>
        <v>0</v>
      </c>
      <c r="G80" s="159">
        <f t="shared" si="12"/>
        <v>0</v>
      </c>
      <c r="H80" s="159">
        <f>'Sch 7'!F121</f>
        <v>0</v>
      </c>
      <c r="I80" s="138">
        <f t="shared" si="13"/>
        <v>0</v>
      </c>
      <c r="J80" s="138">
        <f>IF((F80+F88)=0,0,ROUND((G80+G88)/(F80+F88),4))</f>
        <v>0</v>
      </c>
    </row>
    <row r="81" spans="1:10" x14ac:dyDescent="0.2">
      <c r="A81" s="134">
        <f t="shared" si="11"/>
        <v>7</v>
      </c>
      <c r="C81" s="153" t="s">
        <v>300</v>
      </c>
      <c r="D81" s="20"/>
      <c r="E81" s="97"/>
      <c r="F81" s="159">
        <f>'Sch1'!F140</f>
        <v>0</v>
      </c>
      <c r="G81" s="159">
        <f t="shared" si="12"/>
        <v>0</v>
      </c>
      <c r="H81" s="159">
        <f>'Sch 7'!F149</f>
        <v>0</v>
      </c>
      <c r="I81" s="138">
        <f t="shared" si="13"/>
        <v>0</v>
      </c>
      <c r="J81" s="138">
        <f>IF((F81+F89+F90)=0,0,ROUND((G81+G89+G90)/(F81+F89+F90),4))</f>
        <v>0</v>
      </c>
    </row>
    <row r="82" spans="1:10" x14ac:dyDescent="0.2">
      <c r="A82" s="134">
        <f t="shared" si="11"/>
        <v>8</v>
      </c>
      <c r="C82" s="153" t="s">
        <v>620</v>
      </c>
      <c r="D82" s="20"/>
      <c r="E82" s="97"/>
      <c r="F82" s="159">
        <f>'Sch1'!F324</f>
        <v>0</v>
      </c>
      <c r="G82" s="159">
        <f t="shared" si="12"/>
        <v>0</v>
      </c>
      <c r="H82" s="159">
        <f>'Sch 7'!F342</f>
        <v>0</v>
      </c>
      <c r="I82" s="138">
        <f t="shared" si="13"/>
        <v>0</v>
      </c>
      <c r="J82" s="138">
        <f>IF((F76+F82)=0,0,ROUND((G76+G82)/(F76+F82),4))</f>
        <v>0</v>
      </c>
    </row>
    <row r="83" spans="1:10" x14ac:dyDescent="0.2">
      <c r="A83" s="134">
        <f t="shared" si="11"/>
        <v>9</v>
      </c>
      <c r="C83" s="153" t="s">
        <v>563</v>
      </c>
      <c r="D83" s="20"/>
      <c r="E83" s="97"/>
      <c r="F83" s="159">
        <f>'Sch1'!F184</f>
        <v>0</v>
      </c>
      <c r="G83" s="159">
        <f t="shared" si="12"/>
        <v>0</v>
      </c>
      <c r="H83" s="159">
        <f>'Sch 7'!F195</f>
        <v>0</v>
      </c>
      <c r="I83" s="138">
        <f t="shared" si="13"/>
        <v>0</v>
      </c>
      <c r="J83" s="138">
        <f>IF((F77+F83+F85)=0,0,ROUND((G77+G83+G85)/(F77+F83+F85),4))</f>
        <v>0</v>
      </c>
    </row>
    <row r="84" spans="1:10" x14ac:dyDescent="0.2">
      <c r="A84" s="134">
        <f t="shared" si="11"/>
        <v>10</v>
      </c>
      <c r="C84" s="153" t="s">
        <v>564</v>
      </c>
      <c r="D84" s="20"/>
      <c r="E84" s="97"/>
      <c r="F84" s="159">
        <f>'Sch1'!F197</f>
        <v>0</v>
      </c>
      <c r="G84" s="159">
        <f t="shared" si="12"/>
        <v>0</v>
      </c>
      <c r="H84" s="159">
        <f>'Sch 7'!F209</f>
        <v>0</v>
      </c>
      <c r="I84" s="138">
        <f t="shared" si="13"/>
        <v>0</v>
      </c>
      <c r="J84" s="138">
        <f>IF((F78+F84+F86)=0,0,ROUND((G78+G84+G86)/(F78+F84+F86),4))</f>
        <v>0</v>
      </c>
    </row>
    <row r="85" spans="1:10" x14ac:dyDescent="0.2">
      <c r="A85" s="134">
        <f t="shared" si="11"/>
        <v>11</v>
      </c>
      <c r="C85" s="153" t="s">
        <v>565</v>
      </c>
      <c r="D85" s="20"/>
      <c r="E85" s="97"/>
      <c r="F85" s="159">
        <f>'Sch1'!F213</f>
        <v>0</v>
      </c>
      <c r="G85" s="159">
        <f t="shared" si="12"/>
        <v>0</v>
      </c>
      <c r="H85" s="159">
        <f>'Sch 7'!F225</f>
        <v>0</v>
      </c>
      <c r="I85" s="138">
        <f t="shared" si="13"/>
        <v>0</v>
      </c>
      <c r="J85" s="138">
        <f>IF((F77+F83+F85)=0,0,ROUND((G77+G83+G85)/(F77+F83+F85),4))</f>
        <v>0</v>
      </c>
    </row>
    <row r="86" spans="1:10" x14ac:dyDescent="0.2">
      <c r="A86" s="134">
        <f t="shared" si="11"/>
        <v>12</v>
      </c>
      <c r="C86" s="153" t="s">
        <v>566</v>
      </c>
      <c r="D86" s="20"/>
      <c r="E86" s="97"/>
      <c r="F86" s="159">
        <f>'Sch1'!F240</f>
        <v>0</v>
      </c>
      <c r="G86" s="159">
        <f t="shared" si="12"/>
        <v>0</v>
      </c>
      <c r="H86" s="159">
        <f>'Sch 7'!F252</f>
        <v>0</v>
      </c>
      <c r="I86" s="138">
        <f t="shared" si="13"/>
        <v>0</v>
      </c>
      <c r="J86" s="138">
        <f>IF((F78+F84+F86)=0,0,ROUND((G78+G84+G86)/(F78+F84+F86),4))</f>
        <v>0</v>
      </c>
    </row>
    <row r="87" spans="1:10" x14ac:dyDescent="0.2">
      <c r="A87" s="134">
        <f t="shared" si="11"/>
        <v>13</v>
      </c>
      <c r="C87" s="153" t="s">
        <v>296</v>
      </c>
      <c r="D87" s="20"/>
      <c r="E87" s="97"/>
      <c r="F87" s="159">
        <f>'Sch1'!F255</f>
        <v>0</v>
      </c>
      <c r="G87" s="159">
        <f t="shared" si="12"/>
        <v>0</v>
      </c>
      <c r="H87" s="159">
        <f>'Sch 7'!F268</f>
        <v>0</v>
      </c>
      <c r="I87" s="138">
        <f t="shared" si="13"/>
        <v>0</v>
      </c>
      <c r="J87" s="138">
        <f>IF((F79+F87)=0,0,ROUND((G79+G87)/(F79+F87),4))</f>
        <v>0</v>
      </c>
    </row>
    <row r="88" spans="1:10" x14ac:dyDescent="0.2">
      <c r="A88" s="134">
        <f t="shared" si="11"/>
        <v>14</v>
      </c>
      <c r="C88" s="153" t="s">
        <v>297</v>
      </c>
      <c r="D88" s="20"/>
      <c r="E88" s="97"/>
      <c r="F88" s="159">
        <f>'Sch1'!F274</f>
        <v>0</v>
      </c>
      <c r="G88" s="159">
        <f t="shared" si="12"/>
        <v>0</v>
      </c>
      <c r="H88" s="159">
        <f>'Sch 7'!F362</f>
        <v>0</v>
      </c>
      <c r="I88" s="138">
        <f>IF(F88=0,0,ROUND(G88/F88,4))</f>
        <v>0</v>
      </c>
      <c r="J88" s="138">
        <f>IF((F80+F88)=0,0,ROUND((G80+G88)/(F80+F88),4))</f>
        <v>0</v>
      </c>
    </row>
    <row r="89" spans="1:10" x14ac:dyDescent="0.2">
      <c r="A89" s="134">
        <f t="shared" si="11"/>
        <v>15</v>
      </c>
      <c r="C89" s="153" t="s">
        <v>298</v>
      </c>
      <c r="D89" s="20"/>
      <c r="E89" s="97"/>
      <c r="F89" s="159">
        <f>'Sch1'!F290</f>
        <v>0</v>
      </c>
      <c r="G89" s="159">
        <f t="shared" si="12"/>
        <v>0</v>
      </c>
      <c r="H89" s="159">
        <f>'Sch 7'!F304</f>
        <v>0</v>
      </c>
      <c r="I89" s="138">
        <f t="shared" ref="I89:I90" si="14">IF(F89=0,0,ROUND(G89/F89,4))</f>
        <v>0</v>
      </c>
      <c r="J89" s="138">
        <f>IF((F81+F89+F90)=0,0,ROUND((G81+G89+G90)/(F81+F89+F90),4))</f>
        <v>0</v>
      </c>
    </row>
    <row r="90" spans="1:10" x14ac:dyDescent="0.2">
      <c r="A90" s="134">
        <f t="shared" si="11"/>
        <v>16</v>
      </c>
      <c r="C90" s="153" t="s">
        <v>299</v>
      </c>
      <c r="D90" s="20"/>
      <c r="E90" s="97"/>
      <c r="F90" s="159">
        <f>'Sch1'!F317</f>
        <v>0</v>
      </c>
      <c r="G90" s="159">
        <f t="shared" si="12"/>
        <v>0</v>
      </c>
      <c r="H90" s="159">
        <f>'Sch 7'!F332</f>
        <v>0</v>
      </c>
      <c r="I90" s="138">
        <f t="shared" si="14"/>
        <v>0</v>
      </c>
      <c r="J90" s="138">
        <f>IF((F81+F89+F90)=0,0,ROUND((G81+G89+G90)/(F81+F89+F90),4))</f>
        <v>0</v>
      </c>
    </row>
    <row r="91" spans="1:10" ht="12" thickBot="1" x14ac:dyDescent="0.25">
      <c r="A91" s="134">
        <f t="shared" si="11"/>
        <v>17</v>
      </c>
      <c r="C91" s="153" t="s">
        <v>453</v>
      </c>
      <c r="D91" s="20"/>
      <c r="E91" s="97"/>
      <c r="F91" s="241">
        <f>SUM(F76:F90)</f>
        <v>0</v>
      </c>
      <c r="G91" s="241">
        <f>SUM(G76:G90)</f>
        <v>0</v>
      </c>
      <c r="H91" s="241">
        <f>SUM(H76:H90)</f>
        <v>0</v>
      </c>
      <c r="I91" s="138">
        <f>IF(F91=0,0,ROUND(G91/F91,4))</f>
        <v>0</v>
      </c>
      <c r="J91" s="138">
        <f>IF(F91=0,0,ROUND(G91/F91,4))</f>
        <v>0</v>
      </c>
    </row>
    <row r="92" spans="1:10" ht="12" thickTop="1" x14ac:dyDescent="0.2"/>
    <row r="93" spans="1:10" x14ac:dyDescent="0.2">
      <c r="A93" s="134">
        <f>A91+1</f>
        <v>18</v>
      </c>
      <c r="C93" s="6" t="s">
        <v>441</v>
      </c>
    </row>
    <row r="94" spans="1:10" x14ac:dyDescent="0.2">
      <c r="A94" s="134">
        <f>A93+1</f>
        <v>19</v>
      </c>
      <c r="C94" s="153" t="s">
        <v>635</v>
      </c>
      <c r="D94" s="20"/>
      <c r="E94" s="97"/>
      <c r="F94" s="159">
        <f>'Sch1'!F127</f>
        <v>24988</v>
      </c>
      <c r="G94" s="159">
        <f>H94-F94</f>
        <v>0</v>
      </c>
      <c r="H94" s="159">
        <f>'Sch 7'!F135</f>
        <v>24988</v>
      </c>
      <c r="I94" s="138">
        <f>IF(H94=0,0,ROUND(G94/H94,4))</f>
        <v>0</v>
      </c>
      <c r="J94" s="138">
        <f>ROUND((G94+G100)/(F94+F100),4)</f>
        <v>0</v>
      </c>
    </row>
    <row r="95" spans="1:10" x14ac:dyDescent="0.2">
      <c r="A95" s="134">
        <f t="shared" ref="A95:A108" si="15">A94+1</f>
        <v>20</v>
      </c>
      <c r="C95" s="153" t="s">
        <v>561</v>
      </c>
      <c r="D95" s="20"/>
      <c r="E95" s="97"/>
      <c r="F95" s="159">
        <f>'Sch1'!F47</f>
        <v>4813</v>
      </c>
      <c r="G95" s="159">
        <f t="shared" ref="G95:G108" si="16">H95-F95</f>
        <v>0</v>
      </c>
      <c r="H95" s="159">
        <f>'Sch 7'!F48</f>
        <v>4813</v>
      </c>
      <c r="I95" s="138">
        <f t="shared" ref="I95:I108" si="17">IF(H95=0,0,ROUND(G95/H95,4))</f>
        <v>0</v>
      </c>
      <c r="J95" s="138">
        <f>ROUND((G95+G101+G103)/(F95+F101+F103),4)</f>
        <v>0</v>
      </c>
    </row>
    <row r="96" spans="1:10" x14ac:dyDescent="0.2">
      <c r="A96" s="134">
        <f t="shared" si="15"/>
        <v>21</v>
      </c>
      <c r="C96" s="153" t="s">
        <v>562</v>
      </c>
      <c r="D96" s="20"/>
      <c r="E96" s="97"/>
      <c r="F96" s="159">
        <f>'Sch1'!F62</f>
        <v>4055</v>
      </c>
      <c r="G96" s="159">
        <f t="shared" si="16"/>
        <v>0</v>
      </c>
      <c r="H96" s="159">
        <f>'Sch 7'!F63</f>
        <v>4055</v>
      </c>
      <c r="I96" s="138">
        <f t="shared" si="17"/>
        <v>0</v>
      </c>
      <c r="J96" s="138">
        <f>ROUND((G96+G102+G104)/(F96+F102+F104),4)</f>
        <v>0</v>
      </c>
    </row>
    <row r="97" spans="1:11" x14ac:dyDescent="0.2">
      <c r="A97" s="134">
        <f t="shared" si="15"/>
        <v>22</v>
      </c>
      <c r="C97" s="153" t="s">
        <v>489</v>
      </c>
      <c r="D97" s="20"/>
      <c r="E97" s="97"/>
      <c r="F97" s="159">
        <v>0</v>
      </c>
      <c r="G97" s="159">
        <f t="shared" si="16"/>
        <v>0</v>
      </c>
      <c r="H97" s="159">
        <v>0</v>
      </c>
      <c r="I97" s="138">
        <f t="shared" si="17"/>
        <v>0</v>
      </c>
      <c r="J97" s="138">
        <f>IF((F97+F105)=0,0,ROUND((G97+G105)/(F97+F105),4))</f>
        <v>0</v>
      </c>
    </row>
    <row r="98" spans="1:11" x14ac:dyDescent="0.2">
      <c r="A98" s="134">
        <f t="shared" si="15"/>
        <v>23</v>
      </c>
      <c r="C98" s="153" t="s">
        <v>490</v>
      </c>
      <c r="D98" s="20"/>
      <c r="E98" s="97"/>
      <c r="F98" s="159">
        <v>0</v>
      </c>
      <c r="G98" s="159">
        <f t="shared" si="16"/>
        <v>0</v>
      </c>
      <c r="H98" s="159">
        <v>0</v>
      </c>
      <c r="I98" s="138">
        <f t="shared" si="17"/>
        <v>0</v>
      </c>
      <c r="J98" s="138">
        <f>IF((F98+F106)=0,0,ROUND((G98+G106)/(F98+F106),4))</f>
        <v>0</v>
      </c>
    </row>
    <row r="99" spans="1:11" x14ac:dyDescent="0.2">
      <c r="A99" s="134">
        <f t="shared" si="15"/>
        <v>24</v>
      </c>
      <c r="C99" s="153" t="s">
        <v>300</v>
      </c>
      <c r="D99" s="20"/>
      <c r="E99" s="97"/>
      <c r="F99" s="159">
        <v>0</v>
      </c>
      <c r="G99" s="159">
        <f t="shared" si="16"/>
        <v>0</v>
      </c>
      <c r="H99" s="159">
        <v>0</v>
      </c>
      <c r="I99" s="138">
        <f t="shared" si="17"/>
        <v>0</v>
      </c>
      <c r="J99" s="138">
        <f>IF((F99+F107+F108)=0,0,ROUND((G99+G107+G108)/(F99+F107+F108),4))</f>
        <v>0</v>
      </c>
    </row>
    <row r="100" spans="1:11" x14ac:dyDescent="0.2">
      <c r="A100" s="134">
        <f t="shared" si="15"/>
        <v>25</v>
      </c>
      <c r="C100" s="153" t="s">
        <v>620</v>
      </c>
      <c r="D100" s="20"/>
      <c r="E100" s="97"/>
      <c r="F100" s="159">
        <f>'Sch1'!F326</f>
        <v>6925</v>
      </c>
      <c r="G100" s="159">
        <f t="shared" si="16"/>
        <v>0</v>
      </c>
      <c r="H100" s="159">
        <f>'Sch 7'!F344</f>
        <v>6925</v>
      </c>
      <c r="I100" s="138">
        <f t="shared" si="17"/>
        <v>0</v>
      </c>
      <c r="J100" s="138">
        <f>ROUND((G94+G100)/(F94+F100),4)</f>
        <v>0</v>
      </c>
    </row>
    <row r="101" spans="1:11" x14ac:dyDescent="0.2">
      <c r="A101" s="134">
        <f t="shared" si="15"/>
        <v>26</v>
      </c>
      <c r="C101" s="153" t="s">
        <v>563</v>
      </c>
      <c r="D101" s="20"/>
      <c r="E101" s="97"/>
      <c r="F101" s="159">
        <f>'Sch1'!F182</f>
        <v>1392</v>
      </c>
      <c r="G101" s="159">
        <f t="shared" si="16"/>
        <v>0</v>
      </c>
      <c r="H101" s="159">
        <f>'Sch 7'!F193</f>
        <v>1392</v>
      </c>
      <c r="I101" s="138">
        <f t="shared" si="17"/>
        <v>0</v>
      </c>
      <c r="J101" s="138">
        <f>ROUND((G95+G101+G103)/(F95+F101+F103),4)</f>
        <v>0</v>
      </c>
    </row>
    <row r="102" spans="1:11" x14ac:dyDescent="0.2">
      <c r="A102" s="134">
        <f t="shared" si="15"/>
        <v>27</v>
      </c>
      <c r="C102" s="153" t="s">
        <v>564</v>
      </c>
      <c r="D102" s="20"/>
      <c r="E102" s="97"/>
      <c r="F102" s="159">
        <f>'Sch1'!F195</f>
        <v>974</v>
      </c>
      <c r="G102" s="159">
        <f t="shared" si="16"/>
        <v>0</v>
      </c>
      <c r="H102" s="159">
        <f>'Sch 7'!F206</f>
        <v>974</v>
      </c>
      <c r="I102" s="138">
        <f t="shared" si="17"/>
        <v>0</v>
      </c>
      <c r="J102" s="138">
        <f>ROUND((G96+G102+G104)/(F96+F102+F104),4)</f>
        <v>0</v>
      </c>
    </row>
    <row r="103" spans="1:11" x14ac:dyDescent="0.2">
      <c r="A103" s="134">
        <f t="shared" si="15"/>
        <v>28</v>
      </c>
      <c r="C103" s="153" t="s">
        <v>565</v>
      </c>
      <c r="D103" s="20"/>
      <c r="E103" s="97"/>
      <c r="F103" s="159">
        <f>'Sch1'!F211</f>
        <v>251</v>
      </c>
      <c r="G103" s="159">
        <f t="shared" si="16"/>
        <v>0</v>
      </c>
      <c r="H103" s="159">
        <f>'Sch 7'!F223</f>
        <v>251</v>
      </c>
      <c r="I103" s="138">
        <f t="shared" si="17"/>
        <v>0</v>
      </c>
      <c r="J103" s="138">
        <f>ROUND((G95+G101+G103)/(F95+F101+F103),4)</f>
        <v>0</v>
      </c>
    </row>
    <row r="104" spans="1:11" x14ac:dyDescent="0.2">
      <c r="A104" s="134">
        <f t="shared" si="15"/>
        <v>29</v>
      </c>
      <c r="C104" s="153" t="s">
        <v>566</v>
      </c>
      <c r="D104" s="20"/>
      <c r="E104" s="97"/>
      <c r="F104" s="159">
        <f>'Sch1'!F238</f>
        <v>3779</v>
      </c>
      <c r="G104" s="159">
        <f t="shared" si="16"/>
        <v>0</v>
      </c>
      <c r="H104" s="159">
        <f>'Sch 7'!F250</f>
        <v>3779</v>
      </c>
      <c r="I104" s="138">
        <f t="shared" si="17"/>
        <v>0</v>
      </c>
      <c r="J104" s="138">
        <f>ROUND((G96+G102+G104)/(F96+F102+F104),4)</f>
        <v>0</v>
      </c>
    </row>
    <row r="105" spans="1:11" x14ac:dyDescent="0.2">
      <c r="A105" s="134">
        <f t="shared" si="15"/>
        <v>30</v>
      </c>
      <c r="C105" s="153" t="s">
        <v>296</v>
      </c>
      <c r="D105" s="20"/>
      <c r="E105" s="97"/>
      <c r="F105" s="159">
        <v>0</v>
      </c>
      <c r="G105" s="159">
        <f t="shared" si="16"/>
        <v>0</v>
      </c>
      <c r="H105" s="159">
        <v>0</v>
      </c>
      <c r="I105" s="138">
        <f t="shared" si="17"/>
        <v>0</v>
      </c>
      <c r="J105" s="138">
        <f>IF((F97+F105)=0,0,ROUND((G97+G105)/(F97+F105),4))</f>
        <v>0</v>
      </c>
    </row>
    <row r="106" spans="1:11" x14ac:dyDescent="0.2">
      <c r="A106" s="134">
        <f t="shared" si="15"/>
        <v>31</v>
      </c>
      <c r="C106" s="153" t="s">
        <v>297</v>
      </c>
      <c r="D106" s="20"/>
      <c r="E106" s="97"/>
      <c r="F106" s="159">
        <v>0</v>
      </c>
      <c r="G106" s="159">
        <f t="shared" si="16"/>
        <v>0</v>
      </c>
      <c r="H106" s="159">
        <v>0</v>
      </c>
      <c r="I106" s="138">
        <f t="shared" si="17"/>
        <v>0</v>
      </c>
      <c r="J106" s="138">
        <f>IF((F98+F106)=0,0,ROUND((G98+G106)/(F98+F106),4))</f>
        <v>0</v>
      </c>
    </row>
    <row r="107" spans="1:11" x14ac:dyDescent="0.2">
      <c r="A107" s="134">
        <f t="shared" si="15"/>
        <v>32</v>
      </c>
      <c r="C107" s="153" t="s">
        <v>298</v>
      </c>
      <c r="D107" s="20"/>
      <c r="E107" s="97"/>
      <c r="F107" s="159">
        <v>0</v>
      </c>
      <c r="G107" s="159">
        <f t="shared" si="16"/>
        <v>0</v>
      </c>
      <c r="H107" s="159">
        <v>0</v>
      </c>
      <c r="I107" s="138">
        <f t="shared" si="17"/>
        <v>0</v>
      </c>
      <c r="J107" s="138">
        <f>IF((F99+F107+F108)=0,0,ROUND((G99+G107+G108)/(F99+F107+F108),4))</f>
        <v>0</v>
      </c>
    </row>
    <row r="108" spans="1:11" x14ac:dyDescent="0.2">
      <c r="A108" s="134">
        <f t="shared" si="15"/>
        <v>33</v>
      </c>
      <c r="C108" s="153" t="s">
        <v>299</v>
      </c>
      <c r="D108" s="20"/>
      <c r="E108" s="97"/>
      <c r="F108" s="159">
        <v>0</v>
      </c>
      <c r="G108" s="159">
        <f t="shared" si="16"/>
        <v>0</v>
      </c>
      <c r="H108" s="159">
        <v>0</v>
      </c>
      <c r="I108" s="138">
        <f t="shared" si="17"/>
        <v>0</v>
      </c>
      <c r="J108" s="138">
        <f>IF((F99+F107+F108)=0,0,ROUND((G99+G107+G108)/(F99+F107+F108),4))</f>
        <v>0</v>
      </c>
    </row>
    <row r="109" spans="1:11" ht="12" thickBot="1" x14ac:dyDescent="0.25">
      <c r="A109" s="134">
        <f>A108+1</f>
        <v>34</v>
      </c>
      <c r="C109" s="153" t="s">
        <v>454</v>
      </c>
      <c r="D109" s="20"/>
      <c r="E109" s="97"/>
      <c r="F109" s="241">
        <f>SUM(F94:F108)</f>
        <v>47177</v>
      </c>
      <c r="G109" s="241">
        <f>SUM(G94:G108)</f>
        <v>0</v>
      </c>
      <c r="H109" s="241">
        <f>SUM(H94:H108)</f>
        <v>47177</v>
      </c>
      <c r="I109" s="138">
        <f>ROUND(G109/H109,4)</f>
        <v>0</v>
      </c>
      <c r="J109" s="138">
        <f>IF(F109=0,0,ROUND(G109/F109,4))</f>
        <v>0</v>
      </c>
    </row>
    <row r="110" spans="1:11" ht="12" thickTop="1" x14ac:dyDescent="0.2">
      <c r="G110" s="230"/>
    </row>
    <row r="111" spans="1:11" x14ac:dyDescent="0.2">
      <c r="A111" s="353" t="str">
        <f>coname</f>
        <v>Columbia Gas of Pennsylvania, Inc.</v>
      </c>
      <c r="B111" s="353"/>
      <c r="C111" s="353"/>
      <c r="D111" s="353"/>
      <c r="E111" s="353"/>
      <c r="F111" s="353"/>
      <c r="G111" s="353"/>
      <c r="H111" s="353"/>
      <c r="I111" s="353"/>
      <c r="J111" s="353"/>
      <c r="K111" s="2" t="s">
        <v>257</v>
      </c>
    </row>
    <row r="112" spans="1:11" x14ac:dyDescent="0.2">
      <c r="A112" s="353" t="s">
        <v>293</v>
      </c>
      <c r="B112" s="353"/>
      <c r="C112" s="353"/>
      <c r="D112" s="353"/>
      <c r="E112" s="353"/>
      <c r="F112" s="353"/>
      <c r="G112" s="353"/>
      <c r="H112" s="353"/>
      <c r="I112" s="353"/>
      <c r="J112" s="353"/>
      <c r="K112" s="2" t="s">
        <v>535</v>
      </c>
    </row>
    <row r="113" spans="1:11" x14ac:dyDescent="0.2">
      <c r="A113" s="353" t="str">
        <f>TYDESC</f>
        <v>For the 12 Months Ended December 31, 2019</v>
      </c>
      <c r="B113" s="353"/>
      <c r="C113" s="353"/>
      <c r="D113" s="353"/>
      <c r="E113" s="353"/>
      <c r="F113" s="353"/>
      <c r="G113" s="353"/>
      <c r="H113" s="353"/>
      <c r="I113" s="353"/>
      <c r="J113" s="353"/>
      <c r="K113" s="2" t="s">
        <v>603</v>
      </c>
    </row>
    <row r="114" spans="1:11" x14ac:dyDescent="0.2">
      <c r="A114" s="351"/>
      <c r="B114" s="351"/>
      <c r="C114" s="351"/>
      <c r="D114" s="351"/>
      <c r="E114" s="351"/>
      <c r="F114" s="351"/>
      <c r="G114" s="351"/>
      <c r="H114" s="351"/>
      <c r="I114" s="351"/>
      <c r="J114" s="351"/>
      <c r="K114" s="2" t="str">
        <f>K4</f>
        <v>Witness: P. A. Strauss</v>
      </c>
    </row>
    <row r="116" spans="1:11" x14ac:dyDescent="0.2">
      <c r="A116" s="351"/>
      <c r="B116" s="351"/>
      <c r="C116" s="351"/>
      <c r="D116" s="351"/>
      <c r="E116" s="351"/>
      <c r="F116" s="351" t="s">
        <v>178</v>
      </c>
      <c r="G116" s="351" t="s">
        <v>180</v>
      </c>
      <c r="H116" s="351" t="s">
        <v>20</v>
      </c>
      <c r="I116" s="351" t="s">
        <v>294</v>
      </c>
      <c r="J116" s="351" t="s">
        <v>180</v>
      </c>
    </row>
    <row r="117" spans="1:11" x14ac:dyDescent="0.2">
      <c r="A117" s="351" t="s">
        <v>3</v>
      </c>
      <c r="B117" s="351"/>
      <c r="C117" s="351"/>
      <c r="D117" s="351" t="s">
        <v>11</v>
      </c>
      <c r="E117" s="351" t="s">
        <v>11</v>
      </c>
      <c r="F117" s="351" t="s">
        <v>272</v>
      </c>
      <c r="G117" s="351" t="s">
        <v>31</v>
      </c>
      <c r="H117" s="351" t="s">
        <v>180</v>
      </c>
      <c r="I117" s="351" t="s">
        <v>332</v>
      </c>
      <c r="J117" s="351" t="s">
        <v>332</v>
      </c>
    </row>
    <row r="118" spans="1:11" x14ac:dyDescent="0.2">
      <c r="A118" s="172" t="s">
        <v>6</v>
      </c>
      <c r="B118" s="172"/>
      <c r="C118" s="172" t="s">
        <v>7</v>
      </c>
      <c r="D118" s="172" t="s">
        <v>35</v>
      </c>
      <c r="E118" s="172" t="s">
        <v>40</v>
      </c>
      <c r="F118" s="172" t="s">
        <v>271</v>
      </c>
      <c r="G118" s="172" t="s">
        <v>273</v>
      </c>
      <c r="H118" s="172" t="s">
        <v>31</v>
      </c>
      <c r="I118" s="172" t="s">
        <v>333</v>
      </c>
      <c r="J118" s="172" t="s">
        <v>334</v>
      </c>
      <c r="K118" s="277"/>
    </row>
    <row r="119" spans="1:11" x14ac:dyDescent="0.2">
      <c r="D119" s="352" t="s">
        <v>12</v>
      </c>
      <c r="E119" s="352" t="s">
        <v>13</v>
      </c>
      <c r="F119" s="352" t="s">
        <v>32</v>
      </c>
      <c r="G119" s="352" t="s">
        <v>14</v>
      </c>
      <c r="H119" s="352" t="s">
        <v>320</v>
      </c>
      <c r="I119" s="352" t="s">
        <v>16</v>
      </c>
      <c r="J119" s="352" t="s">
        <v>236</v>
      </c>
    </row>
    <row r="120" spans="1:11" x14ac:dyDescent="0.2">
      <c r="D120" s="6"/>
      <c r="E120" s="351" t="s">
        <v>241</v>
      </c>
      <c r="F120" s="351" t="s">
        <v>33</v>
      </c>
      <c r="G120" s="351" t="s">
        <v>33</v>
      </c>
      <c r="H120" s="351" t="s">
        <v>33</v>
      </c>
      <c r="I120" s="351" t="s">
        <v>199</v>
      </c>
      <c r="J120" s="351" t="s">
        <v>199</v>
      </c>
    </row>
    <row r="121" spans="1:11" x14ac:dyDescent="0.2">
      <c r="D121" s="351" t="s">
        <v>317</v>
      </c>
      <c r="E121" s="351" t="s">
        <v>318</v>
      </c>
      <c r="F121" s="351" t="s">
        <v>319</v>
      </c>
      <c r="G121" s="351"/>
      <c r="H121" s="351" t="s">
        <v>371</v>
      </c>
      <c r="I121" s="6"/>
      <c r="J121" s="6"/>
    </row>
    <row r="122" spans="1:11" x14ac:dyDescent="0.2">
      <c r="G122" s="230"/>
    </row>
    <row r="123" spans="1:11" x14ac:dyDescent="0.2">
      <c r="A123" s="134">
        <v>1</v>
      </c>
      <c r="C123" s="6" t="s">
        <v>292</v>
      </c>
    </row>
    <row r="124" spans="1:11" x14ac:dyDescent="0.2">
      <c r="A124" s="134">
        <f>A123+1</f>
        <v>2</v>
      </c>
      <c r="C124" s="153" t="s">
        <v>635</v>
      </c>
      <c r="D124" s="20"/>
      <c r="E124" s="97"/>
      <c r="F124" s="159">
        <f>'Sch1'!F126</f>
        <v>1912126</v>
      </c>
      <c r="G124" s="159">
        <f>H124-F124</f>
        <v>0</v>
      </c>
      <c r="H124" s="159">
        <f>'Sch 7'!F134</f>
        <v>1912126</v>
      </c>
      <c r="I124" s="138">
        <f>IF(H124=0,0,ROUND(G124/F124,4))</f>
        <v>0</v>
      </c>
      <c r="J124" s="138">
        <f>ROUND((G124+G130)/(F124+F130),4)</f>
        <v>0</v>
      </c>
    </row>
    <row r="125" spans="1:11" x14ac:dyDescent="0.2">
      <c r="A125" s="134">
        <f t="shared" ref="A125:A138" si="18">A124+1</f>
        <v>3</v>
      </c>
      <c r="C125" s="153" t="s">
        <v>561</v>
      </c>
      <c r="D125" s="20"/>
      <c r="E125" s="97"/>
      <c r="F125" s="159">
        <f>'Sch1'!F48</f>
        <v>334502</v>
      </c>
      <c r="G125" s="159">
        <f t="shared" ref="G125:G138" si="19">H125-F125</f>
        <v>0</v>
      </c>
      <c r="H125" s="159">
        <f>'Sch 7'!F49</f>
        <v>334502</v>
      </c>
      <c r="I125" s="138">
        <f t="shared" ref="I125:I128" si="20">IF(H125=0,0,ROUND(G125/F125,4))</f>
        <v>0</v>
      </c>
      <c r="J125" s="138">
        <f>ROUND((G125+G131+G133)/(F125+F131+F133),4)</f>
        <v>0</v>
      </c>
    </row>
    <row r="126" spans="1:11" x14ac:dyDescent="0.2">
      <c r="A126" s="134">
        <f t="shared" si="18"/>
        <v>4</v>
      </c>
      <c r="C126" s="153" t="s">
        <v>562</v>
      </c>
      <c r="D126" s="20"/>
      <c r="E126" s="97"/>
      <c r="F126" s="159">
        <f>'Sch1'!F63</f>
        <v>281823</v>
      </c>
      <c r="G126" s="159">
        <f t="shared" si="19"/>
        <v>0</v>
      </c>
      <c r="H126" s="159">
        <f>'Sch 7'!F64</f>
        <v>281823</v>
      </c>
      <c r="I126" s="138">
        <f t="shared" si="20"/>
        <v>0</v>
      </c>
      <c r="J126" s="138">
        <f>ROUND((G126+G132+G134)/(F126+F132+F134),4)</f>
        <v>0</v>
      </c>
    </row>
    <row r="127" spans="1:11" x14ac:dyDescent="0.2">
      <c r="A127" s="134">
        <f t="shared" si="18"/>
        <v>5</v>
      </c>
      <c r="C127" s="153" t="s">
        <v>489</v>
      </c>
      <c r="D127" s="20"/>
      <c r="E127" s="97"/>
      <c r="F127" s="159">
        <f>'Sch1'!F111</f>
        <v>53241</v>
      </c>
      <c r="G127" s="159">
        <f t="shared" si="19"/>
        <v>0</v>
      </c>
      <c r="H127" s="159">
        <f>'Sch 7'!F115</f>
        <v>53241</v>
      </c>
      <c r="I127" s="138">
        <f t="shared" si="20"/>
        <v>0</v>
      </c>
      <c r="J127" s="138">
        <f>ROUND((G127+G135)/(F127+F135),4)</f>
        <v>0</v>
      </c>
    </row>
    <row r="128" spans="1:11" x14ac:dyDescent="0.2">
      <c r="A128" s="134">
        <f t="shared" si="18"/>
        <v>6</v>
      </c>
      <c r="C128" s="153" t="s">
        <v>490</v>
      </c>
      <c r="D128" s="20"/>
      <c r="E128" s="97"/>
      <c r="F128" s="159">
        <f>'Sch1'!F112</f>
        <v>0</v>
      </c>
      <c r="G128" s="159">
        <f t="shared" si="19"/>
        <v>0</v>
      </c>
      <c r="H128" s="159">
        <f>'Sch 7'!F116</f>
        <v>0</v>
      </c>
      <c r="I128" s="138">
        <f t="shared" si="20"/>
        <v>0</v>
      </c>
      <c r="J128" s="138">
        <f>IF((F128+F136+F137)=0,0,ROUND((G128+G136+G137)/(F128+F136+F137),4))</f>
        <v>0</v>
      </c>
    </row>
    <row r="129" spans="1:10" x14ac:dyDescent="0.2">
      <c r="A129" s="134">
        <f t="shared" si="18"/>
        <v>7</v>
      </c>
      <c r="C129" s="153" t="s">
        <v>300</v>
      </c>
      <c r="D129" s="20"/>
      <c r="E129" s="97"/>
      <c r="F129" s="159">
        <v>0</v>
      </c>
      <c r="G129" s="159">
        <f t="shared" si="19"/>
        <v>0</v>
      </c>
      <c r="H129" s="159">
        <v>0</v>
      </c>
      <c r="I129" s="138">
        <v>0</v>
      </c>
      <c r="J129" s="138">
        <v>0</v>
      </c>
    </row>
    <row r="130" spans="1:10" x14ac:dyDescent="0.2">
      <c r="A130" s="134">
        <f t="shared" si="18"/>
        <v>8</v>
      </c>
      <c r="C130" s="153" t="s">
        <v>620</v>
      </c>
      <c r="D130" s="20"/>
      <c r="E130" s="97"/>
      <c r="F130" s="159">
        <v>0</v>
      </c>
      <c r="G130" s="159">
        <f t="shared" si="19"/>
        <v>0</v>
      </c>
      <c r="H130" s="159">
        <v>0</v>
      </c>
      <c r="I130" s="138">
        <v>0</v>
      </c>
      <c r="J130" s="138">
        <v>0</v>
      </c>
    </row>
    <row r="131" spans="1:10" x14ac:dyDescent="0.2">
      <c r="A131" s="134">
        <f t="shared" si="18"/>
        <v>9</v>
      </c>
      <c r="C131" s="153" t="s">
        <v>563</v>
      </c>
      <c r="D131" s="20"/>
      <c r="E131" s="97"/>
      <c r="F131" s="159">
        <v>0</v>
      </c>
      <c r="G131" s="159">
        <f t="shared" si="19"/>
        <v>0</v>
      </c>
      <c r="H131" s="159">
        <v>0</v>
      </c>
      <c r="I131" s="138">
        <v>0</v>
      </c>
      <c r="J131" s="138">
        <v>0</v>
      </c>
    </row>
    <row r="132" spans="1:10" x14ac:dyDescent="0.2">
      <c r="A132" s="134">
        <f t="shared" si="18"/>
        <v>10</v>
      </c>
      <c r="C132" s="153" t="s">
        <v>564</v>
      </c>
      <c r="D132" s="20"/>
      <c r="E132" s="97"/>
      <c r="F132" s="159">
        <v>0</v>
      </c>
      <c r="G132" s="159">
        <f t="shared" si="19"/>
        <v>0</v>
      </c>
      <c r="H132" s="159">
        <v>0</v>
      </c>
      <c r="I132" s="138">
        <v>0</v>
      </c>
      <c r="J132" s="138">
        <v>0</v>
      </c>
    </row>
    <row r="133" spans="1:10" x14ac:dyDescent="0.2">
      <c r="A133" s="134">
        <f t="shared" si="18"/>
        <v>11</v>
      </c>
      <c r="C133" s="153" t="s">
        <v>565</v>
      </c>
      <c r="D133" s="20"/>
      <c r="E133" s="97"/>
      <c r="F133" s="159">
        <v>0</v>
      </c>
      <c r="G133" s="159">
        <f t="shared" si="19"/>
        <v>0</v>
      </c>
      <c r="H133" s="159">
        <v>0</v>
      </c>
      <c r="I133" s="138">
        <v>0</v>
      </c>
      <c r="J133" s="138">
        <v>0</v>
      </c>
    </row>
    <row r="134" spans="1:10" x14ac:dyDescent="0.2">
      <c r="A134" s="134">
        <f t="shared" si="18"/>
        <v>12</v>
      </c>
      <c r="C134" s="153" t="s">
        <v>566</v>
      </c>
      <c r="D134" s="20"/>
      <c r="E134" s="97"/>
      <c r="F134" s="159">
        <v>0</v>
      </c>
      <c r="G134" s="159">
        <f t="shared" si="19"/>
        <v>0</v>
      </c>
      <c r="H134" s="159">
        <v>0</v>
      </c>
      <c r="I134" s="138">
        <v>0</v>
      </c>
      <c r="J134" s="138">
        <v>0</v>
      </c>
    </row>
    <row r="135" spans="1:10" x14ac:dyDescent="0.2">
      <c r="A135" s="134">
        <f t="shared" si="18"/>
        <v>13</v>
      </c>
      <c r="C135" s="153" t="s">
        <v>296</v>
      </c>
      <c r="D135" s="20"/>
      <c r="E135" s="97"/>
      <c r="F135" s="159">
        <v>0</v>
      </c>
      <c r="G135" s="159">
        <f t="shared" si="19"/>
        <v>0</v>
      </c>
      <c r="H135" s="159">
        <v>0</v>
      </c>
      <c r="I135" s="138">
        <v>0</v>
      </c>
      <c r="J135" s="138">
        <v>0</v>
      </c>
    </row>
    <row r="136" spans="1:10" x14ac:dyDescent="0.2">
      <c r="A136" s="134">
        <f t="shared" si="18"/>
        <v>14</v>
      </c>
      <c r="C136" s="153" t="s">
        <v>297</v>
      </c>
      <c r="D136" s="20"/>
      <c r="E136" s="97"/>
      <c r="F136" s="159">
        <v>0</v>
      </c>
      <c r="G136" s="159">
        <f t="shared" si="19"/>
        <v>0</v>
      </c>
      <c r="H136" s="159">
        <v>0</v>
      </c>
      <c r="I136" s="138">
        <v>0</v>
      </c>
      <c r="J136" s="138">
        <v>0</v>
      </c>
    </row>
    <row r="137" spans="1:10" x14ac:dyDescent="0.2">
      <c r="A137" s="134">
        <f t="shared" si="18"/>
        <v>15</v>
      </c>
      <c r="C137" s="153" t="s">
        <v>298</v>
      </c>
      <c r="D137" s="20"/>
      <c r="E137" s="97"/>
      <c r="F137" s="159">
        <v>0</v>
      </c>
      <c r="G137" s="159">
        <f t="shared" si="19"/>
        <v>0</v>
      </c>
      <c r="H137" s="159">
        <v>0</v>
      </c>
      <c r="I137" s="138">
        <v>0</v>
      </c>
      <c r="J137" s="138">
        <v>0</v>
      </c>
    </row>
    <row r="138" spans="1:10" x14ac:dyDescent="0.2">
      <c r="A138" s="134">
        <f t="shared" si="18"/>
        <v>16</v>
      </c>
      <c r="C138" s="153" t="s">
        <v>299</v>
      </c>
      <c r="D138" s="20"/>
      <c r="E138" s="97"/>
      <c r="F138" s="159">
        <v>0</v>
      </c>
      <c r="G138" s="159">
        <f t="shared" si="19"/>
        <v>0</v>
      </c>
      <c r="H138" s="159">
        <v>0</v>
      </c>
      <c r="I138" s="138">
        <v>0</v>
      </c>
      <c r="J138" s="138">
        <v>0</v>
      </c>
    </row>
    <row r="139" spans="1:10" ht="12" thickBot="1" x14ac:dyDescent="0.25">
      <c r="A139" s="134">
        <f>A138+1</f>
        <v>17</v>
      </c>
      <c r="C139" s="153" t="s">
        <v>455</v>
      </c>
      <c r="D139" s="20"/>
      <c r="E139" s="97"/>
      <c r="F139" s="241">
        <f>SUM(F124:F138)</f>
        <v>2581692</v>
      </c>
      <c r="G139" s="241">
        <f>SUM(G124:G138)</f>
        <v>0</v>
      </c>
      <c r="H139" s="241">
        <f>SUM(H124:H138)</f>
        <v>2581692</v>
      </c>
      <c r="I139" s="138">
        <f>ROUND(G139/F139,4)</f>
        <v>0</v>
      </c>
      <c r="J139" s="138">
        <f>IF(F139=0,0,ROUND(G139/F139,4))</f>
        <v>0</v>
      </c>
    </row>
    <row r="140" spans="1:10" ht="12" thickTop="1" x14ac:dyDescent="0.2"/>
    <row r="141" spans="1:10" x14ac:dyDescent="0.2">
      <c r="A141" s="134">
        <f>A139+1</f>
        <v>18</v>
      </c>
      <c r="C141" s="6" t="s">
        <v>534</v>
      </c>
    </row>
    <row r="142" spans="1:10" x14ac:dyDescent="0.2">
      <c r="A142" s="134">
        <f t="shared" ref="A142:A157" si="21">A141+1</f>
        <v>19</v>
      </c>
      <c r="C142" s="153" t="s">
        <v>646</v>
      </c>
      <c r="D142" s="20"/>
      <c r="E142" s="97"/>
      <c r="F142" s="159">
        <f>'Sch1'!F18</f>
        <v>22946588</v>
      </c>
      <c r="G142" s="159">
        <f t="shared" ref="G142:G156" si="22">H142-F142</f>
        <v>2064019</v>
      </c>
      <c r="H142" s="159">
        <f>'Sch 7'!F18</f>
        <v>25010607</v>
      </c>
      <c r="I142" s="138">
        <f t="shared" ref="I142:I156" si="23">IF(H142=0,0,ROUND(G142/F142,4))</f>
        <v>8.9899999999999994E-2</v>
      </c>
      <c r="J142" s="138">
        <f>ROUND((G142+G148)/(F142+F148),4)</f>
        <v>8.9899999999999994E-2</v>
      </c>
    </row>
    <row r="143" spans="1:10" x14ac:dyDescent="0.2">
      <c r="A143" s="134">
        <f t="shared" si="21"/>
        <v>20</v>
      </c>
      <c r="C143" s="153" t="s">
        <v>561</v>
      </c>
      <c r="D143" s="20"/>
      <c r="E143" s="97"/>
      <c r="F143" s="159">
        <v>0</v>
      </c>
      <c r="G143" s="159">
        <f t="shared" si="22"/>
        <v>0</v>
      </c>
      <c r="H143" s="159">
        <v>0</v>
      </c>
      <c r="I143" s="138">
        <f t="shared" si="23"/>
        <v>0</v>
      </c>
      <c r="J143" s="138">
        <f>IF((F143+F149+F151)=0,0,ROUND((G143+G149+G151)/(F143+F149+F151),4))</f>
        <v>0</v>
      </c>
    </row>
    <row r="144" spans="1:10" x14ac:dyDescent="0.2">
      <c r="A144" s="134">
        <f t="shared" si="21"/>
        <v>21</v>
      </c>
      <c r="C144" s="153" t="s">
        <v>562</v>
      </c>
      <c r="D144" s="20"/>
      <c r="E144" s="97"/>
      <c r="F144" s="159">
        <v>0</v>
      </c>
      <c r="G144" s="159">
        <f t="shared" si="22"/>
        <v>0</v>
      </c>
      <c r="H144" s="159">
        <v>0</v>
      </c>
      <c r="I144" s="138">
        <f t="shared" si="23"/>
        <v>0</v>
      </c>
      <c r="J144" s="138">
        <f>IF((F144+F150+F152)=0,0,ROUND((G144+G150+G152)/(F144+F150+F152),4))</f>
        <v>0</v>
      </c>
    </row>
    <row r="145" spans="1:11" x14ac:dyDescent="0.2">
      <c r="A145" s="134">
        <f t="shared" si="21"/>
        <v>22</v>
      </c>
      <c r="C145" s="153" t="s">
        <v>489</v>
      </c>
      <c r="D145" s="20"/>
      <c r="E145" s="97"/>
      <c r="F145" s="159">
        <v>0</v>
      </c>
      <c r="G145" s="159">
        <f t="shared" si="22"/>
        <v>0</v>
      </c>
      <c r="H145" s="159">
        <v>0</v>
      </c>
      <c r="I145" s="138">
        <f t="shared" si="23"/>
        <v>0</v>
      </c>
      <c r="J145" s="138">
        <f>IF((F145+F151+F153)=0,0,ROUND((G145+G151+G153)/(F145+F151+F153),4))</f>
        <v>0</v>
      </c>
    </row>
    <row r="146" spans="1:11" x14ac:dyDescent="0.2">
      <c r="A146" s="134">
        <f t="shared" si="21"/>
        <v>23</v>
      </c>
      <c r="C146" s="153" t="s">
        <v>490</v>
      </c>
      <c r="D146" s="20"/>
      <c r="E146" s="97"/>
      <c r="F146" s="159">
        <v>0</v>
      </c>
      <c r="G146" s="159">
        <f t="shared" si="22"/>
        <v>0</v>
      </c>
      <c r="H146" s="159">
        <v>0</v>
      </c>
      <c r="I146" s="138">
        <f t="shared" si="23"/>
        <v>0</v>
      </c>
      <c r="J146" s="138">
        <f>IF((F146+F154)=0,0,ROUND((G146+G154)/(F146+F154),4))</f>
        <v>0</v>
      </c>
    </row>
    <row r="147" spans="1:11" x14ac:dyDescent="0.2">
      <c r="A147" s="134">
        <f t="shared" si="21"/>
        <v>24</v>
      </c>
      <c r="C147" s="153" t="s">
        <v>300</v>
      </c>
      <c r="D147" s="20"/>
      <c r="E147" s="97"/>
      <c r="F147" s="159">
        <v>0</v>
      </c>
      <c r="G147" s="159">
        <f t="shared" si="22"/>
        <v>0</v>
      </c>
      <c r="H147" s="159">
        <v>0</v>
      </c>
      <c r="I147" s="138">
        <f t="shared" si="23"/>
        <v>0</v>
      </c>
      <c r="J147" s="138">
        <f>IF((F147+F155+F156)=0,0,ROUND((G147+G155+G156)/(F147+F155+F156),4))</f>
        <v>0</v>
      </c>
    </row>
    <row r="148" spans="1:11" x14ac:dyDescent="0.2">
      <c r="A148" s="134">
        <f t="shared" si="21"/>
        <v>25</v>
      </c>
      <c r="C148" s="153" t="s">
        <v>620</v>
      </c>
      <c r="D148" s="20"/>
      <c r="E148" s="97"/>
      <c r="F148" s="159">
        <f>'Sch1'!F168</f>
        <v>6359228</v>
      </c>
      <c r="G148" s="159">
        <f>H148-F148</f>
        <v>572005</v>
      </c>
      <c r="H148" s="159">
        <f>'Sch 7'!F179</f>
        <v>6931233</v>
      </c>
      <c r="I148" s="138">
        <f t="shared" si="23"/>
        <v>8.9899999999999994E-2</v>
      </c>
      <c r="J148" s="138">
        <f>ROUND((G142+G148)/(F142+F148),4)</f>
        <v>8.9899999999999994E-2</v>
      </c>
    </row>
    <row r="149" spans="1:11" x14ac:dyDescent="0.2">
      <c r="A149" s="134">
        <f t="shared" si="21"/>
        <v>26</v>
      </c>
      <c r="C149" s="153" t="s">
        <v>563</v>
      </c>
      <c r="D149" s="20"/>
      <c r="E149" s="97"/>
      <c r="F149" s="159">
        <v>0</v>
      </c>
      <c r="G149" s="159">
        <f t="shared" si="22"/>
        <v>0</v>
      </c>
      <c r="H149" s="159">
        <v>0</v>
      </c>
      <c r="I149" s="138">
        <f t="shared" si="23"/>
        <v>0</v>
      </c>
      <c r="J149" s="138">
        <f>IF((F143+F149+F151)=0,0,ROUND((G143+G149+G151)/(F143+F149+F151),4))</f>
        <v>0</v>
      </c>
    </row>
    <row r="150" spans="1:11" x14ac:dyDescent="0.2">
      <c r="A150" s="134">
        <f t="shared" si="21"/>
        <v>27</v>
      </c>
      <c r="C150" s="153" t="s">
        <v>564</v>
      </c>
      <c r="D150" s="20"/>
      <c r="E150" s="97"/>
      <c r="F150" s="159">
        <v>0</v>
      </c>
      <c r="G150" s="159">
        <f t="shared" si="22"/>
        <v>0</v>
      </c>
      <c r="H150" s="159">
        <v>0</v>
      </c>
      <c r="I150" s="138">
        <f t="shared" si="23"/>
        <v>0</v>
      </c>
      <c r="J150" s="138">
        <f>IF((F144+F150+F152)=0,0,ROUND((G144+G150+G152)/(F144+F150+F152),4))</f>
        <v>0</v>
      </c>
    </row>
    <row r="151" spans="1:11" x14ac:dyDescent="0.2">
      <c r="A151" s="134">
        <f t="shared" si="21"/>
        <v>28</v>
      </c>
      <c r="C151" s="153" t="s">
        <v>565</v>
      </c>
      <c r="D151" s="20"/>
      <c r="E151" s="97"/>
      <c r="F151" s="159">
        <v>0</v>
      </c>
      <c r="G151" s="159">
        <f t="shared" si="22"/>
        <v>0</v>
      </c>
      <c r="H151" s="159">
        <v>0</v>
      </c>
      <c r="I151" s="138">
        <f t="shared" si="23"/>
        <v>0</v>
      </c>
      <c r="J151" s="138">
        <f>IF((F145+F151+F153)=0,0,ROUND((G145+G151+G153)/(F145+F151+F153),4))</f>
        <v>0</v>
      </c>
    </row>
    <row r="152" spans="1:11" x14ac:dyDescent="0.2">
      <c r="A152" s="134">
        <f t="shared" si="21"/>
        <v>29</v>
      </c>
      <c r="C152" s="153" t="s">
        <v>566</v>
      </c>
      <c r="D152" s="20"/>
      <c r="E152" s="97"/>
      <c r="F152" s="159">
        <v>0</v>
      </c>
      <c r="G152" s="159">
        <f t="shared" si="22"/>
        <v>0</v>
      </c>
      <c r="H152" s="159">
        <v>0</v>
      </c>
      <c r="I152" s="138">
        <f t="shared" si="23"/>
        <v>0</v>
      </c>
      <c r="J152" s="138">
        <f>IF((F146+F152+F154)=0,0,ROUND((G146+G152+G154)/(F146+F152+F154),4))</f>
        <v>0</v>
      </c>
    </row>
    <row r="153" spans="1:11" x14ac:dyDescent="0.2">
      <c r="A153" s="134">
        <f t="shared" si="21"/>
        <v>30</v>
      </c>
      <c r="C153" s="153" t="s">
        <v>296</v>
      </c>
      <c r="D153" s="20"/>
      <c r="E153" s="97"/>
      <c r="F153" s="159">
        <v>0</v>
      </c>
      <c r="G153" s="159">
        <f t="shared" si="22"/>
        <v>0</v>
      </c>
      <c r="H153" s="159">
        <v>0</v>
      </c>
      <c r="I153" s="138">
        <f t="shared" si="23"/>
        <v>0</v>
      </c>
      <c r="J153" s="138">
        <f>IF((F147+F153+F155)=0,0,ROUND((G147+G153+G155)/(F147+F153+F155),4))</f>
        <v>0</v>
      </c>
    </row>
    <row r="154" spans="1:11" x14ac:dyDescent="0.2">
      <c r="A154" s="134">
        <f t="shared" si="21"/>
        <v>31</v>
      </c>
      <c r="C154" s="153" t="s">
        <v>297</v>
      </c>
      <c r="D154" s="20"/>
      <c r="E154" s="97"/>
      <c r="F154" s="159">
        <v>0</v>
      </c>
      <c r="G154" s="159">
        <f t="shared" si="22"/>
        <v>0</v>
      </c>
      <c r="H154" s="159">
        <v>0</v>
      </c>
      <c r="I154" s="138">
        <f t="shared" si="23"/>
        <v>0</v>
      </c>
      <c r="J154" s="138">
        <f>IF((F146+F154)=0,0,ROUND((G146+G154)/(F146+F154),4))</f>
        <v>0</v>
      </c>
    </row>
    <row r="155" spans="1:11" x14ac:dyDescent="0.2">
      <c r="A155" s="134">
        <f t="shared" si="21"/>
        <v>32</v>
      </c>
      <c r="C155" s="153" t="s">
        <v>298</v>
      </c>
      <c r="D155" s="20"/>
      <c r="E155" s="97"/>
      <c r="F155" s="159">
        <v>0</v>
      </c>
      <c r="G155" s="159">
        <f t="shared" si="22"/>
        <v>0</v>
      </c>
      <c r="H155" s="159">
        <v>0</v>
      </c>
      <c r="I155" s="138">
        <f t="shared" si="23"/>
        <v>0</v>
      </c>
      <c r="J155" s="138">
        <f>IF((F147+F155+F156)=0,0,ROUND((G147+G155+G156)/(F147+F155+F156),4))</f>
        <v>0</v>
      </c>
    </row>
    <row r="156" spans="1:11" x14ac:dyDescent="0.2">
      <c r="A156" s="134">
        <f t="shared" si="21"/>
        <v>33</v>
      </c>
      <c r="C156" s="153" t="s">
        <v>299</v>
      </c>
      <c r="D156" s="20"/>
      <c r="E156" s="97"/>
      <c r="F156" s="159">
        <v>0</v>
      </c>
      <c r="G156" s="159">
        <f t="shared" si="22"/>
        <v>0</v>
      </c>
      <c r="H156" s="159">
        <v>0</v>
      </c>
      <c r="I156" s="138">
        <f t="shared" si="23"/>
        <v>0</v>
      </c>
      <c r="J156" s="138">
        <f>IF((F147+F155+F156)=0,0,ROUND((G147+G155+G156)/(F147+F155+F156),4))</f>
        <v>0</v>
      </c>
    </row>
    <row r="157" spans="1:11" ht="12" thickBot="1" x14ac:dyDescent="0.25">
      <c r="A157" s="134">
        <f t="shared" si="21"/>
        <v>34</v>
      </c>
      <c r="C157" s="153" t="s">
        <v>542</v>
      </c>
      <c r="D157" s="20"/>
      <c r="E157" s="97"/>
      <c r="F157" s="241">
        <f>SUM(F142:F156)</f>
        <v>29305816</v>
      </c>
      <c r="G157" s="241">
        <f>SUM(G142:G156)</f>
        <v>2636024</v>
      </c>
      <c r="H157" s="241">
        <f>SUM(H142:H156)</f>
        <v>31941840</v>
      </c>
      <c r="I157" s="138">
        <f>ROUND(G157/F157,4)</f>
        <v>8.9899999999999994E-2</v>
      </c>
      <c r="J157" s="138">
        <f>IF(F157=0,0,ROUND(G157/F157,4))</f>
        <v>8.9899999999999994E-2</v>
      </c>
    </row>
    <row r="158" spans="1:11" ht="12" thickTop="1" x14ac:dyDescent="0.2"/>
    <row r="159" spans="1:11" x14ac:dyDescent="0.2">
      <c r="A159" s="353" t="str">
        <f>coname</f>
        <v>Columbia Gas of Pennsylvania, Inc.</v>
      </c>
      <c r="B159" s="353"/>
      <c r="C159" s="353"/>
      <c r="D159" s="353"/>
      <c r="E159" s="353"/>
      <c r="F159" s="353"/>
      <c r="G159" s="353"/>
      <c r="H159" s="353"/>
      <c r="I159" s="353"/>
      <c r="J159" s="353"/>
      <c r="K159" s="2" t="s">
        <v>257</v>
      </c>
    </row>
    <row r="160" spans="1:11" x14ac:dyDescent="0.2">
      <c r="A160" s="353" t="s">
        <v>293</v>
      </c>
      <c r="B160" s="353"/>
      <c r="C160" s="353"/>
      <c r="D160" s="353"/>
      <c r="E160" s="353"/>
      <c r="F160" s="353"/>
      <c r="G160" s="353"/>
      <c r="H160" s="353"/>
      <c r="I160" s="353"/>
      <c r="J160" s="353"/>
      <c r="K160" s="2" t="s">
        <v>535</v>
      </c>
    </row>
    <row r="161" spans="1:11" x14ac:dyDescent="0.2">
      <c r="A161" s="353" t="str">
        <f>TYDESC</f>
        <v>For the 12 Months Ended December 31, 2019</v>
      </c>
      <c r="B161" s="353"/>
      <c r="C161" s="353"/>
      <c r="D161" s="353"/>
      <c r="E161" s="353"/>
      <c r="F161" s="353"/>
      <c r="G161" s="353"/>
      <c r="H161" s="353"/>
      <c r="I161" s="353"/>
      <c r="J161" s="353"/>
      <c r="K161" s="2" t="s">
        <v>604</v>
      </c>
    </row>
    <row r="162" spans="1:11" x14ac:dyDescent="0.2">
      <c r="A162" s="351"/>
      <c r="B162" s="351"/>
      <c r="C162" s="351"/>
      <c r="D162" s="351"/>
      <c r="E162" s="351"/>
      <c r="F162" s="351"/>
      <c r="G162" s="351"/>
      <c r="H162" s="351"/>
      <c r="I162" s="351"/>
      <c r="J162" s="351"/>
      <c r="K162" s="2" t="str">
        <f>K4</f>
        <v>Witness: P. A. Strauss</v>
      </c>
    </row>
    <row r="164" spans="1:11" x14ac:dyDescent="0.2">
      <c r="A164" s="351"/>
      <c r="B164" s="351"/>
      <c r="C164" s="351"/>
      <c r="D164" s="351"/>
      <c r="E164" s="351"/>
      <c r="F164" s="351" t="s">
        <v>178</v>
      </c>
      <c r="G164" s="351" t="s">
        <v>180</v>
      </c>
      <c r="H164" s="351" t="s">
        <v>20</v>
      </c>
      <c r="I164" s="351" t="s">
        <v>294</v>
      </c>
      <c r="J164" s="351" t="s">
        <v>180</v>
      </c>
    </row>
    <row r="165" spans="1:11" x14ac:dyDescent="0.2">
      <c r="A165" s="351" t="s">
        <v>3</v>
      </c>
      <c r="B165" s="351"/>
      <c r="C165" s="351"/>
      <c r="D165" s="351" t="s">
        <v>11</v>
      </c>
      <c r="E165" s="351" t="s">
        <v>11</v>
      </c>
      <c r="F165" s="351" t="s">
        <v>272</v>
      </c>
      <c r="G165" s="351" t="s">
        <v>31</v>
      </c>
      <c r="H165" s="351" t="s">
        <v>180</v>
      </c>
      <c r="I165" s="351" t="s">
        <v>332</v>
      </c>
      <c r="J165" s="351" t="s">
        <v>332</v>
      </c>
    </row>
    <row r="166" spans="1:11" x14ac:dyDescent="0.2">
      <c r="A166" s="172" t="s">
        <v>6</v>
      </c>
      <c r="B166" s="172"/>
      <c r="C166" s="172" t="s">
        <v>7</v>
      </c>
      <c r="D166" s="172" t="s">
        <v>35</v>
      </c>
      <c r="E166" s="172" t="s">
        <v>40</v>
      </c>
      <c r="F166" s="172" t="s">
        <v>271</v>
      </c>
      <c r="G166" s="172" t="s">
        <v>273</v>
      </c>
      <c r="H166" s="172" t="s">
        <v>31</v>
      </c>
      <c r="I166" s="172" t="s">
        <v>333</v>
      </c>
      <c r="J166" s="172" t="s">
        <v>334</v>
      </c>
      <c r="K166" s="277"/>
    </row>
    <row r="167" spans="1:11" x14ac:dyDescent="0.2">
      <c r="D167" s="352" t="s">
        <v>12</v>
      </c>
      <c r="E167" s="352" t="s">
        <v>13</v>
      </c>
      <c r="F167" s="352" t="s">
        <v>32</v>
      </c>
      <c r="G167" s="352" t="s">
        <v>14</v>
      </c>
      <c r="H167" s="352" t="s">
        <v>320</v>
      </c>
      <c r="I167" s="352" t="s">
        <v>16</v>
      </c>
      <c r="J167" s="352" t="s">
        <v>236</v>
      </c>
    </row>
    <row r="168" spans="1:11" x14ac:dyDescent="0.2">
      <c r="D168" s="6"/>
      <c r="E168" s="351" t="s">
        <v>241</v>
      </c>
      <c r="F168" s="351" t="s">
        <v>33</v>
      </c>
      <c r="G168" s="351" t="s">
        <v>33</v>
      </c>
      <c r="H168" s="351" t="s">
        <v>33</v>
      </c>
      <c r="I168" s="351" t="s">
        <v>199</v>
      </c>
      <c r="J168" s="351" t="s">
        <v>199</v>
      </c>
    </row>
    <row r="169" spans="1:11" x14ac:dyDescent="0.2">
      <c r="D169" s="351" t="s">
        <v>317</v>
      </c>
      <c r="E169" s="351" t="s">
        <v>318</v>
      </c>
      <c r="F169" s="351" t="s">
        <v>319</v>
      </c>
      <c r="G169" s="351"/>
      <c r="H169" s="351" t="s">
        <v>371</v>
      </c>
      <c r="I169" s="6"/>
      <c r="J169" s="6"/>
    </row>
    <row r="171" spans="1:11" x14ac:dyDescent="0.2">
      <c r="A171" s="134">
        <v>1</v>
      </c>
      <c r="C171" s="6" t="s">
        <v>323</v>
      </c>
    </row>
    <row r="172" spans="1:11" x14ac:dyDescent="0.2">
      <c r="A172" s="134">
        <f>A171+1</f>
        <v>2</v>
      </c>
      <c r="C172" s="153" t="s">
        <v>635</v>
      </c>
      <c r="D172" s="20"/>
      <c r="E172" s="97"/>
      <c r="F172" s="159">
        <f>'Sch1'!F125</f>
        <v>1139022</v>
      </c>
      <c r="G172" s="159">
        <f>H172-F172</f>
        <v>0</v>
      </c>
      <c r="H172" s="159">
        <f>'Sch 7'!F133</f>
        <v>1139022</v>
      </c>
      <c r="I172" s="138">
        <f>IF(H172=0,0,ROUND(G172/F172,4))</f>
        <v>0</v>
      </c>
      <c r="J172" s="138">
        <f>ROUND((G172+G178)/(F172+F178),4)</f>
        <v>0</v>
      </c>
    </row>
    <row r="173" spans="1:11" x14ac:dyDescent="0.2">
      <c r="A173" s="134">
        <f t="shared" ref="A173:A186" si="24">A172+1</f>
        <v>3</v>
      </c>
      <c r="C173" s="153" t="s">
        <v>561</v>
      </c>
      <c r="D173" s="20"/>
      <c r="E173" s="97"/>
      <c r="F173" s="159">
        <f>'Sch1'!F53</f>
        <v>41873</v>
      </c>
      <c r="G173" s="159">
        <f t="shared" ref="G173:G186" si="25">H173-F173</f>
        <v>0</v>
      </c>
      <c r="H173" s="159">
        <f>'Sch 7'!F54</f>
        <v>41873</v>
      </c>
      <c r="I173" s="138">
        <f t="shared" ref="I173:I186" si="26">IF(H173=0,0,ROUND(G173/F173,4))</f>
        <v>0</v>
      </c>
      <c r="J173" s="138">
        <f>IF((F173+F179+F181)=0,0,ROUND((G173+G179+G181)/(F173+F179+F181),4))</f>
        <v>0</v>
      </c>
    </row>
    <row r="174" spans="1:11" x14ac:dyDescent="0.2">
      <c r="A174" s="134">
        <f t="shared" si="24"/>
        <v>4</v>
      </c>
      <c r="C174" s="153" t="s">
        <v>562</v>
      </c>
      <c r="D174" s="20"/>
      <c r="E174" s="97"/>
      <c r="F174" s="159">
        <f>'Sch1'!F68</f>
        <v>35279</v>
      </c>
      <c r="G174" s="159">
        <f t="shared" si="25"/>
        <v>0</v>
      </c>
      <c r="H174" s="159">
        <f>'Sch 7'!F70</f>
        <v>35279</v>
      </c>
      <c r="I174" s="138">
        <f t="shared" si="26"/>
        <v>0</v>
      </c>
      <c r="J174" s="138">
        <f>IF((F174+F180+F182)=0,0,ROUND((G174+G180+G182)/(F174+F180+F182),4))</f>
        <v>0</v>
      </c>
    </row>
    <row r="175" spans="1:11" x14ac:dyDescent="0.2">
      <c r="A175" s="134">
        <f t="shared" si="24"/>
        <v>5</v>
      </c>
      <c r="C175" s="153" t="s">
        <v>489</v>
      </c>
      <c r="D175" s="20"/>
      <c r="E175" s="97"/>
      <c r="F175" s="159">
        <v>0</v>
      </c>
      <c r="G175" s="159">
        <f t="shared" si="25"/>
        <v>0</v>
      </c>
      <c r="H175" s="159">
        <v>0</v>
      </c>
      <c r="I175" s="138">
        <f t="shared" si="26"/>
        <v>0</v>
      </c>
      <c r="J175" s="138">
        <f>IF((F175+F183)=0,0,ROUND((G175+G183)/(F175+F183),4))</f>
        <v>0</v>
      </c>
    </row>
    <row r="176" spans="1:11" x14ac:dyDescent="0.2">
      <c r="A176" s="134">
        <f t="shared" si="24"/>
        <v>6</v>
      </c>
      <c r="C176" s="153" t="s">
        <v>490</v>
      </c>
      <c r="D176" s="20"/>
      <c r="E176" s="97"/>
      <c r="F176" s="159">
        <v>0</v>
      </c>
      <c r="G176" s="159">
        <f t="shared" si="25"/>
        <v>0</v>
      </c>
      <c r="H176" s="159">
        <v>0</v>
      </c>
      <c r="I176" s="138">
        <f t="shared" si="26"/>
        <v>0</v>
      </c>
      <c r="J176" s="138">
        <f>IF((F176+F184)=0,0,ROUND((G176+G184)/(F176+F184),4))</f>
        <v>0</v>
      </c>
    </row>
    <row r="177" spans="1:10" x14ac:dyDescent="0.2">
      <c r="A177" s="134">
        <f t="shared" si="24"/>
        <v>7</v>
      </c>
      <c r="C177" s="153" t="s">
        <v>300</v>
      </c>
      <c r="D177" s="20"/>
      <c r="E177" s="97"/>
      <c r="F177" s="159">
        <v>0</v>
      </c>
      <c r="G177" s="159">
        <f t="shared" si="25"/>
        <v>0</v>
      </c>
      <c r="H177" s="159">
        <v>0</v>
      </c>
      <c r="I177" s="138">
        <f t="shared" si="26"/>
        <v>0</v>
      </c>
      <c r="J177" s="138">
        <f>IF((F177+F185+F186)=0,0,ROUND((G177+G185+G186)/(F177+F185+F186),4))</f>
        <v>0</v>
      </c>
    </row>
    <row r="178" spans="1:10" x14ac:dyDescent="0.2">
      <c r="A178" s="134">
        <f t="shared" si="24"/>
        <v>8</v>
      </c>
      <c r="C178" s="153" t="s">
        <v>620</v>
      </c>
      <c r="D178" s="20"/>
      <c r="E178" s="97"/>
      <c r="F178" s="159">
        <v>0</v>
      </c>
      <c r="G178" s="159">
        <f t="shared" si="25"/>
        <v>0</v>
      </c>
      <c r="H178" s="159">
        <v>0</v>
      </c>
      <c r="I178" s="138">
        <f t="shared" si="26"/>
        <v>0</v>
      </c>
      <c r="J178" s="138">
        <f>ROUND((G172+G178)/(F172+F178),4)</f>
        <v>0</v>
      </c>
    </row>
    <row r="179" spans="1:10" x14ac:dyDescent="0.2">
      <c r="A179" s="134">
        <f t="shared" si="24"/>
        <v>9</v>
      </c>
      <c r="C179" s="153" t="s">
        <v>563</v>
      </c>
      <c r="D179" s="20"/>
      <c r="E179" s="97"/>
      <c r="F179" s="159">
        <v>0</v>
      </c>
      <c r="G179" s="159">
        <f t="shared" si="25"/>
        <v>0</v>
      </c>
      <c r="H179" s="159">
        <v>0</v>
      </c>
      <c r="I179" s="138">
        <f t="shared" si="26"/>
        <v>0</v>
      </c>
      <c r="J179" s="138">
        <f>IF((F173+F179+F181)=0,0,ROUND((G173+G179+G181)/(F173+F179+F181),4))</f>
        <v>0</v>
      </c>
    </row>
    <row r="180" spans="1:10" x14ac:dyDescent="0.2">
      <c r="A180" s="134">
        <f t="shared" si="24"/>
        <v>10</v>
      </c>
      <c r="C180" s="153" t="s">
        <v>564</v>
      </c>
      <c r="D180" s="20"/>
      <c r="E180" s="97"/>
      <c r="F180" s="159">
        <v>0</v>
      </c>
      <c r="G180" s="159">
        <f t="shared" si="25"/>
        <v>0</v>
      </c>
      <c r="H180" s="159">
        <v>0</v>
      </c>
      <c r="I180" s="138">
        <f t="shared" si="26"/>
        <v>0</v>
      </c>
      <c r="J180" s="138">
        <f>IF((F174+F180+F182)=0,0,ROUND((G174+G180+G182)/(F174+F180+F182),4))</f>
        <v>0</v>
      </c>
    </row>
    <row r="181" spans="1:10" x14ac:dyDescent="0.2">
      <c r="A181" s="134">
        <f t="shared" si="24"/>
        <v>11</v>
      </c>
      <c r="C181" s="153" t="s">
        <v>565</v>
      </c>
      <c r="D181" s="20"/>
      <c r="E181" s="97"/>
      <c r="F181" s="159">
        <v>0</v>
      </c>
      <c r="G181" s="159">
        <f t="shared" si="25"/>
        <v>0</v>
      </c>
      <c r="H181" s="159">
        <v>0</v>
      </c>
      <c r="I181" s="138">
        <f t="shared" si="26"/>
        <v>0</v>
      </c>
      <c r="J181" s="138">
        <f>IF((F173+F179+F181)=0,0,ROUND((G173+G179+G181)/(F173+F179+F181),4))</f>
        <v>0</v>
      </c>
    </row>
    <row r="182" spans="1:10" x14ac:dyDescent="0.2">
      <c r="A182" s="134">
        <f t="shared" si="24"/>
        <v>12</v>
      </c>
      <c r="C182" s="153" t="s">
        <v>566</v>
      </c>
      <c r="D182" s="20"/>
      <c r="E182" s="97"/>
      <c r="F182" s="159">
        <v>0</v>
      </c>
      <c r="G182" s="159">
        <f t="shared" si="25"/>
        <v>0</v>
      </c>
      <c r="H182" s="159">
        <v>0</v>
      </c>
      <c r="I182" s="138">
        <f t="shared" si="26"/>
        <v>0</v>
      </c>
      <c r="J182" s="138">
        <f>IF((F174+F180+F182)=0,0,ROUND((G174+G180+G182)/(F174+F180+F182),4))</f>
        <v>0</v>
      </c>
    </row>
    <row r="183" spans="1:10" x14ac:dyDescent="0.2">
      <c r="A183" s="134">
        <f t="shared" si="24"/>
        <v>13</v>
      </c>
      <c r="C183" s="153" t="s">
        <v>296</v>
      </c>
      <c r="D183" s="20"/>
      <c r="E183" s="97"/>
      <c r="F183" s="159">
        <v>0</v>
      </c>
      <c r="G183" s="159">
        <f t="shared" si="25"/>
        <v>0</v>
      </c>
      <c r="H183" s="159">
        <v>0</v>
      </c>
      <c r="I183" s="138">
        <f t="shared" si="26"/>
        <v>0</v>
      </c>
      <c r="J183" s="138">
        <f>IF((F175+F183)=0,0,ROUND((G175+G183)/(F175+F183),4))</f>
        <v>0</v>
      </c>
    </row>
    <row r="184" spans="1:10" x14ac:dyDescent="0.2">
      <c r="A184" s="134">
        <f t="shared" si="24"/>
        <v>14</v>
      </c>
      <c r="C184" s="153" t="s">
        <v>297</v>
      </c>
      <c r="D184" s="20"/>
      <c r="E184" s="97"/>
      <c r="F184" s="159">
        <v>0</v>
      </c>
      <c r="G184" s="159">
        <f t="shared" si="25"/>
        <v>0</v>
      </c>
      <c r="H184" s="159">
        <v>0</v>
      </c>
      <c r="I184" s="138">
        <f t="shared" si="26"/>
        <v>0</v>
      </c>
      <c r="J184" s="138">
        <f>IF((F176+F184)=0,0,ROUND((G176+G184)/(F176+F184),4))</f>
        <v>0</v>
      </c>
    </row>
    <row r="185" spans="1:10" x14ac:dyDescent="0.2">
      <c r="A185" s="134">
        <f t="shared" si="24"/>
        <v>15</v>
      </c>
      <c r="C185" s="153" t="s">
        <v>298</v>
      </c>
      <c r="D185" s="20"/>
      <c r="E185" s="97"/>
      <c r="F185" s="159">
        <v>0</v>
      </c>
      <c r="G185" s="159">
        <f t="shared" si="25"/>
        <v>0</v>
      </c>
      <c r="H185" s="159">
        <v>0</v>
      </c>
      <c r="I185" s="138">
        <f t="shared" si="26"/>
        <v>0</v>
      </c>
      <c r="J185" s="138">
        <f>IF((F177+F185+F186)=0,0,ROUND((G177+G185+G186)/(F177+F185+F186),4))</f>
        <v>0</v>
      </c>
    </row>
    <row r="186" spans="1:10" x14ac:dyDescent="0.2">
      <c r="A186" s="134">
        <f t="shared" si="24"/>
        <v>16</v>
      </c>
      <c r="C186" s="153" t="s">
        <v>299</v>
      </c>
      <c r="D186" s="20"/>
      <c r="E186" s="97"/>
      <c r="F186" s="159">
        <v>0</v>
      </c>
      <c r="G186" s="159">
        <f t="shared" si="25"/>
        <v>0</v>
      </c>
      <c r="H186" s="159">
        <v>0</v>
      </c>
      <c r="I186" s="138">
        <f t="shared" si="26"/>
        <v>0</v>
      </c>
      <c r="J186" s="138">
        <f>IF((F177+F185+F186)=0,0,ROUND((G177+G185+G186)/(F177+F185+F186),4))</f>
        <v>0</v>
      </c>
    </row>
    <row r="187" spans="1:10" ht="12" thickBot="1" x14ac:dyDescent="0.25">
      <c r="A187" s="134">
        <f>A186+1</f>
        <v>17</v>
      </c>
      <c r="C187" s="153" t="s">
        <v>541</v>
      </c>
      <c r="D187" s="20"/>
      <c r="E187" s="97"/>
      <c r="F187" s="241">
        <f>SUM(F172:F186)</f>
        <v>1216174</v>
      </c>
      <c r="G187" s="241">
        <f>SUM(G172:G186)</f>
        <v>0</v>
      </c>
      <c r="H187" s="241">
        <f>SUM(H172:H186)</f>
        <v>1216174</v>
      </c>
      <c r="I187" s="138">
        <f>ROUND(G187/F187,4)</f>
        <v>0</v>
      </c>
      <c r="J187" s="138">
        <f>IF(F187=0,0,ROUND(G187/F187,4))</f>
        <v>0</v>
      </c>
    </row>
    <row r="188" spans="1:10" ht="12" thickTop="1" x14ac:dyDescent="0.2">
      <c r="D188" s="20"/>
      <c r="E188" s="97"/>
      <c r="F188" s="258"/>
      <c r="G188" s="258"/>
      <c r="H188" s="258"/>
      <c r="I188" s="138"/>
      <c r="J188" s="138"/>
    </row>
    <row r="189" spans="1:10" x14ac:dyDescent="0.2">
      <c r="A189" s="134">
        <f>A187+1</f>
        <v>18</v>
      </c>
      <c r="C189" s="6" t="s">
        <v>66</v>
      </c>
      <c r="D189" s="351"/>
      <c r="E189" s="351"/>
      <c r="F189" s="351"/>
      <c r="G189" s="351"/>
      <c r="H189" s="351"/>
      <c r="I189" s="6"/>
      <c r="J189" s="6"/>
    </row>
    <row r="190" spans="1:10" x14ac:dyDescent="0.2">
      <c r="A190" s="134">
        <f>A189+1</f>
        <v>19</v>
      </c>
      <c r="C190" s="153" t="s">
        <v>635</v>
      </c>
      <c r="D190" s="20"/>
      <c r="E190" s="97"/>
      <c r="F190" s="159">
        <f>'Sch1'!F128</f>
        <v>113767356</v>
      </c>
      <c r="G190" s="159">
        <f>H190-F190</f>
        <v>0</v>
      </c>
      <c r="H190" s="159">
        <f>'Sch 7'!F136</f>
        <v>113767356</v>
      </c>
      <c r="I190" s="138">
        <f>IF(H190=0,0,ROUND(G190/F190,4))</f>
        <v>0</v>
      </c>
      <c r="J190" s="138">
        <f>ROUND((G190+G196)/(F190+F196),4)</f>
        <v>0</v>
      </c>
    </row>
    <row r="191" spans="1:10" x14ac:dyDescent="0.2">
      <c r="A191" s="134">
        <f t="shared" ref="A191:A204" si="27">A190+1</f>
        <v>20</v>
      </c>
      <c r="C191" s="153" t="s">
        <v>561</v>
      </c>
      <c r="D191" s="20"/>
      <c r="E191" s="97"/>
      <c r="F191" s="159">
        <f>'Sch1'!F52</f>
        <v>19902150</v>
      </c>
      <c r="G191" s="159">
        <f t="shared" ref="G191:G204" si="28">H191-F191</f>
        <v>0</v>
      </c>
      <c r="H191" s="159">
        <f>'Sch 7'!F53</f>
        <v>19902150</v>
      </c>
      <c r="I191" s="138">
        <f t="shared" ref="I191:I204" si="29">IF(H191=0,0,ROUND(G191/F191,4))</f>
        <v>0</v>
      </c>
      <c r="J191" s="138">
        <f>IF((F191+F197+F199)=0,0,ROUND((G191+G197+G199)/(F191+F197+F199),4))</f>
        <v>0</v>
      </c>
    </row>
    <row r="192" spans="1:10" x14ac:dyDescent="0.2">
      <c r="A192" s="134">
        <f t="shared" si="27"/>
        <v>21</v>
      </c>
      <c r="C192" s="153" t="s">
        <v>562</v>
      </c>
      <c r="D192" s="20"/>
      <c r="E192" s="97"/>
      <c r="F192" s="159">
        <f>'Sch1'!F67</f>
        <v>16767888</v>
      </c>
      <c r="G192" s="159">
        <f t="shared" si="28"/>
        <v>0</v>
      </c>
      <c r="H192" s="159">
        <f>'Sch 7'!F69</f>
        <v>16767888</v>
      </c>
      <c r="I192" s="138">
        <f t="shared" ref="I192:I201" si="30">IF(H192=0,0,ROUND(G192/F192,4))</f>
        <v>0</v>
      </c>
      <c r="J192" s="138">
        <f t="shared" ref="J192:J201" si="31">IF((F192+F198+F200)=0,0,ROUND((G192+G198+G200)/(F192+F198+F200),4))</f>
        <v>0</v>
      </c>
    </row>
    <row r="193" spans="1:14" x14ac:dyDescent="0.2">
      <c r="A193" s="134">
        <f t="shared" si="27"/>
        <v>22</v>
      </c>
      <c r="C193" s="153" t="s">
        <v>489</v>
      </c>
      <c r="D193" s="20"/>
      <c r="E193" s="97"/>
      <c r="F193" s="159">
        <f>'Sch1'!F116</f>
        <v>3167707</v>
      </c>
      <c r="G193" s="159">
        <f t="shared" si="28"/>
        <v>0</v>
      </c>
      <c r="H193" s="159">
        <f>'Sch 7'!F123</f>
        <v>3167707</v>
      </c>
      <c r="I193" s="138">
        <f t="shared" si="30"/>
        <v>0</v>
      </c>
      <c r="J193" s="138">
        <f t="shared" si="31"/>
        <v>0</v>
      </c>
    </row>
    <row r="194" spans="1:14" x14ac:dyDescent="0.2">
      <c r="A194" s="134">
        <f t="shared" si="27"/>
        <v>23</v>
      </c>
      <c r="C194" s="153" t="s">
        <v>490</v>
      </c>
      <c r="D194" s="20"/>
      <c r="E194" s="97"/>
      <c r="F194" s="159">
        <f>'Sch1'!F117</f>
        <v>0</v>
      </c>
      <c r="G194" s="159">
        <f t="shared" si="28"/>
        <v>0</v>
      </c>
      <c r="H194" s="159">
        <f>'Sch 7'!F124</f>
        <v>0</v>
      </c>
      <c r="I194" s="138">
        <f t="shared" si="30"/>
        <v>0</v>
      </c>
      <c r="J194" s="138">
        <f t="shared" si="31"/>
        <v>0</v>
      </c>
    </row>
    <row r="195" spans="1:14" x14ac:dyDescent="0.2">
      <c r="A195" s="134">
        <f t="shared" si="27"/>
        <v>24</v>
      </c>
      <c r="C195" s="153" t="s">
        <v>300</v>
      </c>
      <c r="D195" s="20"/>
      <c r="E195" s="97"/>
      <c r="F195" s="159">
        <f>'Sch1'!F91+'Sch1'!F92</f>
        <v>268017</v>
      </c>
      <c r="G195" s="159">
        <f t="shared" si="28"/>
        <v>0</v>
      </c>
      <c r="H195" s="159">
        <f>'Sch 7'!F93+'Sch 7'!F94</f>
        <v>268017</v>
      </c>
      <c r="I195" s="138">
        <f t="shared" si="30"/>
        <v>0</v>
      </c>
      <c r="J195" s="138">
        <f>IF((F195+F201+F203)=0,0,ROUND((G195+G201+G203)/(F195+F201+F203),4))</f>
        <v>0</v>
      </c>
    </row>
    <row r="196" spans="1:14" x14ac:dyDescent="0.2">
      <c r="A196" s="134">
        <f t="shared" si="27"/>
        <v>25</v>
      </c>
      <c r="C196" s="153" t="s">
        <v>620</v>
      </c>
      <c r="D196" s="20"/>
      <c r="E196" s="97"/>
      <c r="F196" s="159">
        <f>'Sch1'!F327</f>
        <v>6416705</v>
      </c>
      <c r="G196" s="159">
        <f t="shared" si="28"/>
        <v>0</v>
      </c>
      <c r="H196" s="159">
        <f>'Sch 7'!F345</f>
        <v>6416705</v>
      </c>
      <c r="I196" s="138">
        <f t="shared" si="30"/>
        <v>0</v>
      </c>
      <c r="J196" s="138">
        <f t="shared" si="31"/>
        <v>0</v>
      </c>
    </row>
    <row r="197" spans="1:14" x14ac:dyDescent="0.2">
      <c r="A197" s="134">
        <f t="shared" si="27"/>
        <v>26</v>
      </c>
      <c r="C197" s="153" t="s">
        <v>563</v>
      </c>
      <c r="D197" s="20"/>
      <c r="E197" s="97"/>
      <c r="F197" s="159">
        <f>'Sch1'!F186</f>
        <v>1289881</v>
      </c>
      <c r="G197" s="159">
        <f t="shared" si="28"/>
        <v>0</v>
      </c>
      <c r="H197" s="159">
        <f>'Sch 7'!F197</f>
        <v>1289881</v>
      </c>
      <c r="I197" s="138">
        <f t="shared" si="30"/>
        <v>0</v>
      </c>
      <c r="J197" s="138">
        <f t="shared" si="31"/>
        <v>0</v>
      </c>
    </row>
    <row r="198" spans="1:14" x14ac:dyDescent="0.2">
      <c r="A198" s="134">
        <f t="shared" si="27"/>
        <v>27</v>
      </c>
      <c r="C198" s="153" t="s">
        <v>564</v>
      </c>
      <c r="D198" s="20"/>
      <c r="E198" s="97"/>
      <c r="F198" s="159">
        <f>'Sch1'!F199</f>
        <v>902436</v>
      </c>
      <c r="G198" s="159">
        <f t="shared" si="28"/>
        <v>0</v>
      </c>
      <c r="H198" s="159">
        <f>'Sch 7'!F211</f>
        <v>902436</v>
      </c>
      <c r="I198" s="138">
        <f t="shared" si="30"/>
        <v>0</v>
      </c>
      <c r="J198" s="138">
        <f t="shared" si="31"/>
        <v>0</v>
      </c>
    </row>
    <row r="199" spans="1:14" x14ac:dyDescent="0.2">
      <c r="A199" s="134">
        <f t="shared" si="27"/>
        <v>28</v>
      </c>
      <c r="C199" s="153" t="s">
        <v>565</v>
      </c>
      <c r="D199" s="20"/>
      <c r="E199" s="97"/>
      <c r="F199" s="159">
        <f>'Sch1'!F216</f>
        <v>48385</v>
      </c>
      <c r="G199" s="159">
        <f t="shared" si="28"/>
        <v>0</v>
      </c>
      <c r="H199" s="159">
        <f>'Sch 7'!F228</f>
        <v>48385</v>
      </c>
      <c r="I199" s="138">
        <f t="shared" si="30"/>
        <v>0</v>
      </c>
      <c r="J199" s="138">
        <f t="shared" si="31"/>
        <v>0</v>
      </c>
    </row>
    <row r="200" spans="1:14" x14ac:dyDescent="0.2">
      <c r="A200" s="134">
        <f t="shared" si="27"/>
        <v>29</v>
      </c>
      <c r="C200" s="153" t="s">
        <v>566</v>
      </c>
      <c r="D200" s="20"/>
      <c r="E200" s="97"/>
      <c r="F200" s="159">
        <f>'Sch1'!F243</f>
        <v>976411</v>
      </c>
      <c r="G200" s="159">
        <f t="shared" si="28"/>
        <v>0</v>
      </c>
      <c r="H200" s="159">
        <f>'Sch 7'!F256</f>
        <v>976411</v>
      </c>
      <c r="I200" s="138">
        <f t="shared" si="30"/>
        <v>0</v>
      </c>
      <c r="J200" s="138">
        <f t="shared" si="31"/>
        <v>0</v>
      </c>
    </row>
    <row r="201" spans="1:14" x14ac:dyDescent="0.2">
      <c r="A201" s="134">
        <f t="shared" si="27"/>
        <v>30</v>
      </c>
      <c r="C201" s="153" t="s">
        <v>296</v>
      </c>
      <c r="D201" s="20"/>
      <c r="E201" s="97"/>
      <c r="F201" s="159">
        <v>0</v>
      </c>
      <c r="G201" s="159">
        <f t="shared" si="28"/>
        <v>0</v>
      </c>
      <c r="H201" s="159">
        <v>0</v>
      </c>
      <c r="I201" s="138">
        <f t="shared" si="30"/>
        <v>0</v>
      </c>
      <c r="J201" s="138">
        <f t="shared" si="31"/>
        <v>0</v>
      </c>
    </row>
    <row r="202" spans="1:14" x14ac:dyDescent="0.2">
      <c r="A202" s="134">
        <f t="shared" si="27"/>
        <v>31</v>
      </c>
      <c r="C202" s="153" t="s">
        <v>297</v>
      </c>
      <c r="D202" s="20"/>
      <c r="E202" s="97"/>
      <c r="F202" s="159">
        <v>0</v>
      </c>
      <c r="G202" s="159">
        <f t="shared" si="28"/>
        <v>0</v>
      </c>
      <c r="H202" s="159">
        <v>0</v>
      </c>
      <c r="I202" s="138">
        <f t="shared" si="29"/>
        <v>0</v>
      </c>
      <c r="J202" s="138">
        <f>IF((F194+F202)=0,0,ROUND((G194+G202)/(F194+F202),4))</f>
        <v>0</v>
      </c>
    </row>
    <row r="203" spans="1:14" x14ac:dyDescent="0.2">
      <c r="A203" s="134">
        <f t="shared" si="27"/>
        <v>32</v>
      </c>
      <c r="C203" s="153" t="s">
        <v>298</v>
      </c>
      <c r="D203" s="20"/>
      <c r="E203" s="97"/>
      <c r="F203" s="159">
        <v>0</v>
      </c>
      <c r="G203" s="159">
        <f t="shared" si="28"/>
        <v>0</v>
      </c>
      <c r="H203" s="159">
        <v>0</v>
      </c>
      <c r="I203" s="138">
        <f t="shared" si="29"/>
        <v>0</v>
      </c>
      <c r="J203" s="138">
        <f>IF((F195+F203+F204)=0,0,ROUND((G195+G203+G204)/(F195+F203+F204),4))</f>
        <v>0</v>
      </c>
    </row>
    <row r="204" spans="1:14" x14ac:dyDescent="0.2">
      <c r="A204" s="134">
        <f t="shared" si="27"/>
        <v>33</v>
      </c>
      <c r="C204" s="153" t="s">
        <v>299</v>
      </c>
      <c r="D204" s="20"/>
      <c r="E204" s="97"/>
      <c r="F204" s="159">
        <v>0</v>
      </c>
      <c r="G204" s="159">
        <f t="shared" si="28"/>
        <v>0</v>
      </c>
      <c r="H204" s="159">
        <v>0</v>
      </c>
      <c r="I204" s="138">
        <f t="shared" si="29"/>
        <v>0</v>
      </c>
      <c r="J204" s="138">
        <f>IF((F195+F203+F204)=0,0,ROUND((G195+G203+G204)/(F195+F203+F204),4))</f>
        <v>0</v>
      </c>
    </row>
    <row r="205" spans="1:14" ht="12" thickBot="1" x14ac:dyDescent="0.25">
      <c r="A205" s="134">
        <f>A204+1</f>
        <v>34</v>
      </c>
      <c r="C205" s="153" t="s">
        <v>258</v>
      </c>
      <c r="D205" s="20"/>
      <c r="E205" s="97"/>
      <c r="F205" s="241">
        <f>SUM(F190:F204)</f>
        <v>163506936</v>
      </c>
      <c r="G205" s="241">
        <f>SUM(G190:G204)</f>
        <v>0</v>
      </c>
      <c r="H205" s="241">
        <f>SUM(H190:H204)</f>
        <v>163506936</v>
      </c>
      <c r="I205" s="138">
        <f>ROUND(G205/F205,4)</f>
        <v>0</v>
      </c>
      <c r="J205" s="138">
        <f>IF(F205=0,0,ROUND(G205/F205,4))</f>
        <v>0</v>
      </c>
      <c r="M205" s="230"/>
      <c r="N205" s="230"/>
    </row>
    <row r="206" spans="1:14" ht="12" thickTop="1" x14ac:dyDescent="0.2">
      <c r="D206" s="20"/>
      <c r="E206" s="97"/>
      <c r="F206" s="258"/>
      <c r="G206" s="258"/>
      <c r="H206" s="258"/>
      <c r="I206" s="138"/>
      <c r="J206" s="138"/>
    </row>
    <row r="207" spans="1:14" x14ac:dyDescent="0.2">
      <c r="D207" s="20"/>
      <c r="E207" s="97"/>
      <c r="F207" s="258"/>
      <c r="G207" s="258"/>
      <c r="H207" s="258"/>
      <c r="I207" s="138"/>
      <c r="J207" s="138"/>
    </row>
    <row r="208" spans="1:14" x14ac:dyDescent="0.2">
      <c r="D208" s="20"/>
      <c r="E208" s="97"/>
      <c r="F208" s="258"/>
      <c r="G208" s="258"/>
      <c r="H208" s="258"/>
      <c r="I208" s="138"/>
      <c r="J208" s="138"/>
    </row>
    <row r="209" spans="1:15" x14ac:dyDescent="0.2">
      <c r="D209" s="20"/>
      <c r="E209" s="97"/>
      <c r="F209" s="258"/>
      <c r="G209" s="258"/>
      <c r="H209" s="258"/>
      <c r="I209" s="138"/>
      <c r="J209" s="138"/>
    </row>
    <row r="210" spans="1:15" x14ac:dyDescent="0.2">
      <c r="A210" s="353" t="str">
        <f>coname</f>
        <v>Columbia Gas of Pennsylvania, Inc.</v>
      </c>
      <c r="B210" s="353"/>
      <c r="C210" s="353"/>
      <c r="D210" s="353"/>
      <c r="E210" s="353"/>
      <c r="F210" s="353"/>
      <c r="G210" s="353"/>
      <c r="H210" s="353"/>
      <c r="I210" s="353"/>
      <c r="J210" s="353"/>
      <c r="K210" s="2" t="s">
        <v>257</v>
      </c>
    </row>
    <row r="211" spans="1:15" x14ac:dyDescent="0.2">
      <c r="A211" s="353" t="s">
        <v>293</v>
      </c>
      <c r="B211" s="353"/>
      <c r="C211" s="353"/>
      <c r="D211" s="353"/>
      <c r="E211" s="353"/>
      <c r="F211" s="353"/>
      <c r="G211" s="353"/>
      <c r="H211" s="353"/>
      <c r="I211" s="353"/>
      <c r="J211" s="353"/>
      <c r="K211" s="2" t="s">
        <v>535</v>
      </c>
    </row>
    <row r="212" spans="1:15" x14ac:dyDescent="0.2">
      <c r="A212" s="353" t="str">
        <f>TYDESC</f>
        <v>For the 12 Months Ended December 31, 2019</v>
      </c>
      <c r="B212" s="353"/>
      <c r="C212" s="353"/>
      <c r="D212" s="353"/>
      <c r="E212" s="353"/>
      <c r="F212" s="353"/>
      <c r="G212" s="353"/>
      <c r="H212" s="353"/>
      <c r="I212" s="353"/>
      <c r="J212" s="353"/>
      <c r="K212" s="2" t="s">
        <v>605</v>
      </c>
    </row>
    <row r="213" spans="1:15" x14ac:dyDescent="0.2">
      <c r="A213" s="351"/>
      <c r="B213" s="351"/>
      <c r="C213" s="351"/>
      <c r="D213" s="351"/>
      <c r="E213" s="351"/>
      <c r="F213" s="351"/>
      <c r="G213" s="351"/>
      <c r="H213" s="351"/>
      <c r="I213" s="351"/>
      <c r="J213" s="351"/>
      <c r="K213" s="2" t="str">
        <f>K4</f>
        <v>Witness: P. A. Strauss</v>
      </c>
    </row>
    <row r="215" spans="1:15" x14ac:dyDescent="0.2">
      <c r="D215" s="351"/>
      <c r="E215" s="351" t="s">
        <v>329</v>
      </c>
    </row>
    <row r="216" spans="1:15" x14ac:dyDescent="0.2">
      <c r="A216" s="351" t="s">
        <v>3</v>
      </c>
      <c r="B216" s="351"/>
      <c r="C216" s="351"/>
      <c r="D216" s="351"/>
      <c r="E216" s="351" t="s">
        <v>330</v>
      </c>
    </row>
    <row r="217" spans="1:15" x14ac:dyDescent="0.2">
      <c r="A217" s="172" t="s">
        <v>6</v>
      </c>
      <c r="B217" s="172"/>
      <c r="C217" s="172" t="s">
        <v>7</v>
      </c>
      <c r="D217" s="172" t="s">
        <v>20</v>
      </c>
      <c r="E217" s="172" t="s">
        <v>321</v>
      </c>
      <c r="F217" s="172" t="s">
        <v>567</v>
      </c>
      <c r="G217" s="172" t="s">
        <v>568</v>
      </c>
      <c r="H217" s="172" t="s">
        <v>540</v>
      </c>
      <c r="I217" s="172" t="s">
        <v>539</v>
      </c>
      <c r="J217" s="172" t="s">
        <v>512</v>
      </c>
      <c r="K217" s="172"/>
    </row>
    <row r="218" spans="1:15" x14ac:dyDescent="0.2">
      <c r="D218" s="352" t="s">
        <v>12</v>
      </c>
      <c r="E218" s="352" t="s">
        <v>13</v>
      </c>
      <c r="F218" s="352" t="s">
        <v>32</v>
      </c>
      <c r="G218" s="352" t="s">
        <v>32</v>
      </c>
      <c r="H218" s="352" t="s">
        <v>14</v>
      </c>
      <c r="I218" s="352" t="s">
        <v>15</v>
      </c>
      <c r="J218" s="352" t="s">
        <v>16</v>
      </c>
    </row>
    <row r="219" spans="1:15" x14ac:dyDescent="0.2">
      <c r="D219" s="352"/>
      <c r="E219" s="352"/>
      <c r="F219" s="352"/>
      <c r="G219" s="352"/>
      <c r="H219" s="352"/>
      <c r="I219" s="352"/>
      <c r="J219" s="352"/>
    </row>
    <row r="220" spans="1:15" x14ac:dyDescent="0.2">
      <c r="A220" s="134">
        <v>1</v>
      </c>
      <c r="C220" s="6" t="s">
        <v>302</v>
      </c>
      <c r="D220" s="351"/>
      <c r="E220" s="351"/>
      <c r="F220" s="351"/>
      <c r="G220" s="351"/>
      <c r="H220" s="6"/>
    </row>
    <row r="221" spans="1:15" x14ac:dyDescent="0.2">
      <c r="D221" s="230"/>
    </row>
    <row r="222" spans="1:15" x14ac:dyDescent="0.2">
      <c r="A222" s="134">
        <f>A220+1</f>
        <v>2</v>
      </c>
      <c r="C222" s="153" t="s">
        <v>536</v>
      </c>
      <c r="D222" s="265">
        <f>SUM(E222:K222)</f>
        <v>1915996456.6252129</v>
      </c>
      <c r="E222" s="265">
        <v>1366314385.8000002</v>
      </c>
      <c r="F222" s="265">
        <v>171552027.83521241</v>
      </c>
      <c r="G222" s="265">
        <v>149335682.40000007</v>
      </c>
      <c r="H222" s="265">
        <v>97757521.900000036</v>
      </c>
      <c r="I222" s="265">
        <v>130152234.49999997</v>
      </c>
      <c r="J222" s="265">
        <v>884604.19000000029</v>
      </c>
    </row>
    <row r="223" spans="1:15" x14ac:dyDescent="0.2">
      <c r="A223" s="134">
        <f>A222+1</f>
        <v>3</v>
      </c>
      <c r="E223" s="351"/>
      <c r="F223" s="352"/>
      <c r="G223" s="352"/>
      <c r="H223" s="352"/>
      <c r="I223" s="352"/>
      <c r="J223" s="352"/>
    </row>
    <row r="224" spans="1:15" x14ac:dyDescent="0.2">
      <c r="A224" s="134">
        <f>A223+1</f>
        <v>4</v>
      </c>
      <c r="C224" s="153" t="s">
        <v>537</v>
      </c>
      <c r="D224" s="363">
        <v>1</v>
      </c>
      <c r="E224" s="363">
        <f>ROUND(0.05879/0.06302,5)</f>
        <v>0.93288000000000004</v>
      </c>
      <c r="F224" s="363">
        <f>ROUND(0.07079/0.06302,5)</f>
        <v>1.1232899999999999</v>
      </c>
      <c r="G224" s="363">
        <f>ROUND(0.10537/0.06302,5)</f>
        <v>1.67201</v>
      </c>
      <c r="H224" s="363">
        <f>ROUND(0.06616/0.06302,5)</f>
        <v>1.04983</v>
      </c>
      <c r="I224" s="363">
        <f>ROUND(0.04059/0.06302,5)</f>
        <v>0.64407999999999999</v>
      </c>
      <c r="J224" s="363">
        <f>ROUND(0.90614/0.06589,5)</f>
        <v>13.75231</v>
      </c>
      <c r="L224" s="319"/>
      <c r="M224" s="319"/>
      <c r="N224" s="319"/>
      <c r="O224" s="319"/>
    </row>
    <row r="225" spans="1:22" x14ac:dyDescent="0.2">
      <c r="A225" s="134">
        <f>A224+1</f>
        <v>5</v>
      </c>
      <c r="C225" s="6" t="s">
        <v>498</v>
      </c>
      <c r="D225" s="232">
        <v>1</v>
      </c>
      <c r="E225" s="232">
        <v>0.9758</v>
      </c>
      <c r="F225" s="232">
        <v>1</v>
      </c>
      <c r="G225" s="232">
        <v>1.4319999999999999</v>
      </c>
      <c r="H225" s="232">
        <v>1.04982</v>
      </c>
      <c r="I225" s="232">
        <f>ROUND(I228/D228,5)</f>
        <v>0.64876999999999996</v>
      </c>
      <c r="J225" s="232">
        <v>11.6167</v>
      </c>
      <c r="L225" s="319"/>
      <c r="M225" s="246"/>
      <c r="N225" s="246"/>
      <c r="O225" s="246"/>
    </row>
    <row r="226" spans="1:22" x14ac:dyDescent="0.2">
      <c r="A226" s="134">
        <f>A225+1</f>
        <v>6</v>
      </c>
      <c r="C226" s="6" t="s">
        <v>499</v>
      </c>
      <c r="D226" s="232">
        <f>D225-D224</f>
        <v>0</v>
      </c>
      <c r="E226" s="232">
        <f t="shared" ref="E226:F226" si="32">E225-E224</f>
        <v>4.2919999999999958E-2</v>
      </c>
      <c r="F226" s="232">
        <f t="shared" si="32"/>
        <v>-0.1232899999999999</v>
      </c>
      <c r="G226" s="232">
        <f t="shared" ref="G226" si="33">G225-G224</f>
        <v>-0.24001000000000006</v>
      </c>
      <c r="H226" s="232">
        <f>H225-H224</f>
        <v>-1.0000000000065512E-5</v>
      </c>
      <c r="I226" s="232">
        <f>I225-I224</f>
        <v>4.689999999999972E-3</v>
      </c>
      <c r="J226" s="232">
        <f>J225-J224</f>
        <v>-2.1356099999999998</v>
      </c>
    </row>
    <row r="227" spans="1:22" x14ac:dyDescent="0.2">
      <c r="C227" s="6"/>
      <c r="D227" s="232"/>
      <c r="E227" s="232"/>
      <c r="F227" s="232"/>
      <c r="G227" s="232"/>
      <c r="H227" s="232"/>
      <c r="I227" s="232"/>
      <c r="J227" s="232"/>
      <c r="K227" s="319"/>
    </row>
    <row r="228" spans="1:22" x14ac:dyDescent="0.2">
      <c r="A228" s="134">
        <f>A226+1</f>
        <v>7</v>
      </c>
      <c r="C228" s="153" t="s">
        <v>500</v>
      </c>
      <c r="D228" s="264">
        <v>8.1000000000000003E-2</v>
      </c>
      <c r="E228" s="264">
        <f>ROUND(E225*$D228,5)</f>
        <v>7.9039999999999999E-2</v>
      </c>
      <c r="F228" s="264">
        <f>ROUND(F225*$D228,5)</f>
        <v>8.1000000000000003E-2</v>
      </c>
      <c r="G228" s="264">
        <f>ROUND(G225*$D228,5)</f>
        <v>0.11599</v>
      </c>
      <c r="H228" s="264">
        <f>ROUND(H225*$D228,5)</f>
        <v>8.5040000000000004E-2</v>
      </c>
      <c r="I228" s="264">
        <f>ROUND(I229/I222,5)</f>
        <v>5.2549999999999999E-2</v>
      </c>
      <c r="J228" s="264">
        <f>ROUND(J225*$D228,5)</f>
        <v>0.94094999999999995</v>
      </c>
      <c r="L228" s="155"/>
      <c r="M228" s="155"/>
      <c r="N228" s="155"/>
      <c r="O228" s="155"/>
    </row>
    <row r="229" spans="1:22" x14ac:dyDescent="0.2">
      <c r="A229" s="134">
        <f t="shared" ref="A229:A234" si="34">A228+1</f>
        <v>8</v>
      </c>
      <c r="C229" s="153" t="str">
        <f>"Net Operating Income @ Requested Return (Line "&amp;A222&amp;" x Line "&amp;A228&amp;")"</f>
        <v>Net Operating Income @ Requested Return (Line 2 x Line 7)</v>
      </c>
      <c r="D229" s="265">
        <f>ROUND(D222*D228,0)</f>
        <v>155195713</v>
      </c>
      <c r="E229" s="265">
        <f>ROUND(E222*E228,0)</f>
        <v>107993489</v>
      </c>
      <c r="F229" s="265">
        <f t="shared" ref="F229:G229" si="35">ROUND(F222*F228,0)</f>
        <v>13895714</v>
      </c>
      <c r="G229" s="265">
        <f t="shared" si="35"/>
        <v>17321446</v>
      </c>
      <c r="H229" s="265">
        <f>ROUND(H222*H228,0)</f>
        <v>8313300</v>
      </c>
      <c r="I229" s="265">
        <f>D229-E229-F229-G229-H229-J229</f>
        <v>6839396</v>
      </c>
      <c r="J229" s="265">
        <f>ROUND(J222*J228,0)</f>
        <v>832368</v>
      </c>
      <c r="L229" s="155"/>
      <c r="M229" s="155"/>
      <c r="N229" s="324"/>
      <c r="O229" s="155"/>
    </row>
    <row r="230" spans="1:22" x14ac:dyDescent="0.2">
      <c r="A230" s="134">
        <f t="shared" si="34"/>
        <v>9</v>
      </c>
      <c r="C230" s="153" t="s">
        <v>538</v>
      </c>
      <c r="D230" s="265">
        <f>SUM(E230:J230)</f>
        <v>120752883.29000475</v>
      </c>
      <c r="E230" s="265">
        <v>80320085.079105109</v>
      </c>
      <c r="F230" s="265">
        <v>12144540.264988277</v>
      </c>
      <c r="G230" s="265">
        <v>15735824.793085136</v>
      </c>
      <c r="H230" s="265">
        <v>6474806.6971068196</v>
      </c>
      <c r="I230" s="265">
        <v>5276276.714986166</v>
      </c>
      <c r="J230" s="265">
        <v>801349.74073325784</v>
      </c>
      <c r="L230" s="155"/>
      <c r="M230" s="155"/>
      <c r="N230" s="155"/>
      <c r="O230" s="155"/>
    </row>
    <row r="231" spans="1:22" x14ac:dyDescent="0.2">
      <c r="A231" s="134">
        <f t="shared" si="34"/>
        <v>10</v>
      </c>
      <c r="C231" s="153" t="str">
        <f>"Income Deficiency (Line "&amp;A229&amp;" - Line "&amp;A230&amp;")"</f>
        <v>Income Deficiency (Line 8 - Line 9)</v>
      </c>
      <c r="D231" s="265">
        <f>D229-D230</f>
        <v>34442829.709995255</v>
      </c>
      <c r="E231" s="265">
        <f>E229-E230</f>
        <v>27673403.920894891</v>
      </c>
      <c r="F231" s="265">
        <f t="shared" ref="F231" si="36">F229-F230</f>
        <v>1751173.7350117229</v>
      </c>
      <c r="G231" s="265">
        <f t="shared" ref="G231" si="37">G229-G230</f>
        <v>1585621.2069148645</v>
      </c>
      <c r="H231" s="265">
        <f>H229-H230</f>
        <v>1838493.3028931804</v>
      </c>
      <c r="I231" s="265">
        <f>I229-I230</f>
        <v>1563119.285013834</v>
      </c>
      <c r="J231" s="265">
        <f>J229-J230</f>
        <v>31018.259266742156</v>
      </c>
      <c r="L231" s="155"/>
      <c r="M231" s="155"/>
      <c r="N231" s="155"/>
      <c r="O231" s="155"/>
    </row>
    <row r="232" spans="1:22" x14ac:dyDescent="0.2">
      <c r="A232" s="134">
        <f t="shared" si="34"/>
        <v>11</v>
      </c>
      <c r="C232" s="153" t="s">
        <v>501</v>
      </c>
      <c r="D232" s="269">
        <v>1.3627581499999999</v>
      </c>
      <c r="E232" s="269">
        <f t="shared" ref="E232:J232" si="38">$D232</f>
        <v>1.3627581499999999</v>
      </c>
      <c r="F232" s="269">
        <f t="shared" si="38"/>
        <v>1.3627581499999999</v>
      </c>
      <c r="G232" s="269">
        <f t="shared" si="38"/>
        <v>1.3627581499999999</v>
      </c>
      <c r="H232" s="269">
        <f t="shared" si="38"/>
        <v>1.3627581499999999</v>
      </c>
      <c r="I232" s="269">
        <f t="shared" si="38"/>
        <v>1.3627581499999999</v>
      </c>
      <c r="J232" s="269">
        <f t="shared" si="38"/>
        <v>1.3627581499999999</v>
      </c>
    </row>
    <row r="233" spans="1:22" x14ac:dyDescent="0.2">
      <c r="A233" s="134">
        <f t="shared" si="34"/>
        <v>12</v>
      </c>
      <c r="C233" s="6" t="s">
        <v>456</v>
      </c>
      <c r="D233" s="270">
        <f>SUM(E233:J233)</f>
        <v>46937246</v>
      </c>
      <c r="E233" s="270">
        <f>ROUND(E231*E232,0)-1</f>
        <v>37712156</v>
      </c>
      <c r="F233" s="270">
        <f t="shared" ref="F233" si="39">ROUND(F231*F232,0)</f>
        <v>2386426</v>
      </c>
      <c r="G233" s="270">
        <f t="shared" ref="G233" si="40">ROUND(G231*G232,0)</f>
        <v>2160818</v>
      </c>
      <c r="H233" s="270">
        <f>ROUND(H231*H232,0)</f>
        <v>2505422</v>
      </c>
      <c r="I233" s="270">
        <f>ROUND(I231*I232,0)</f>
        <v>2130154</v>
      </c>
      <c r="J233" s="270">
        <f>ROUND(J231*J232,0)</f>
        <v>42270</v>
      </c>
      <c r="L233" s="134"/>
      <c r="O233" s="159"/>
      <c r="P233" s="159"/>
      <c r="Q233" s="159"/>
      <c r="R233" s="159"/>
      <c r="S233" s="159"/>
      <c r="T233" s="159"/>
      <c r="U233" s="159"/>
      <c r="V233" s="159"/>
    </row>
    <row r="234" spans="1:22" x14ac:dyDescent="0.2">
      <c r="A234" s="134">
        <f t="shared" si="34"/>
        <v>13</v>
      </c>
      <c r="C234" s="6" t="s">
        <v>305</v>
      </c>
      <c r="D234" s="268">
        <f>SUM(E234:K234)</f>
        <v>1</v>
      </c>
      <c r="E234" s="268">
        <f>1-SUM(F234:J234)</f>
        <v>0.79220000000000002</v>
      </c>
      <c r="F234" s="268">
        <f>ROUND(F233/D233,4)</f>
        <v>5.0799999999999998E-2</v>
      </c>
      <c r="G234" s="268">
        <f>ROUND(G233/E233,4)</f>
        <v>5.7299999999999997E-2</v>
      </c>
      <c r="H234" s="268">
        <f>ROUND(H233/D233,4)</f>
        <v>5.3400000000000003E-2</v>
      </c>
      <c r="I234" s="268">
        <f>ROUND(I233/D233,4)</f>
        <v>4.5400000000000003E-2</v>
      </c>
      <c r="J234" s="268">
        <f>ROUND(J233/D233,4)</f>
        <v>8.9999999999999998E-4</v>
      </c>
      <c r="L234" s="134"/>
      <c r="O234" s="154"/>
      <c r="P234" s="154"/>
      <c r="Q234" s="154"/>
      <c r="R234" s="154"/>
      <c r="S234" s="154"/>
      <c r="T234" s="154"/>
      <c r="U234" s="154"/>
      <c r="V234" s="154"/>
    </row>
    <row r="235" spans="1:22" x14ac:dyDescent="0.2">
      <c r="D235" s="156"/>
      <c r="E235" s="156"/>
      <c r="F235" s="156"/>
      <c r="G235" s="156"/>
      <c r="H235" s="156"/>
      <c r="I235" s="156"/>
      <c r="J235" s="156"/>
      <c r="L235" s="134"/>
      <c r="O235" s="154"/>
      <c r="P235" s="154"/>
      <c r="Q235" s="154"/>
      <c r="R235" s="154"/>
      <c r="S235" s="154"/>
      <c r="T235" s="154"/>
      <c r="U235" s="154"/>
      <c r="V235" s="154"/>
    </row>
    <row r="236" spans="1:22" x14ac:dyDescent="0.2">
      <c r="A236" s="134">
        <f>A234+1</f>
        <v>14</v>
      </c>
      <c r="B236" s="153" t="s">
        <v>303</v>
      </c>
      <c r="C236" s="153" t="str">
        <f>"Proposed Change in STAS (Page 1 Line "&amp;A75&amp;" through Line "&amp;A91&amp;")"</f>
        <v>Proposed Change in STAS (Page 1 Line 1 through Line 17)</v>
      </c>
      <c r="D236" s="212">
        <f>E236+F236</f>
        <v>0</v>
      </c>
      <c r="E236" s="212">
        <f>(F76+F82)*-1</f>
        <v>0</v>
      </c>
      <c r="F236" s="212">
        <f>(F77+F83+F85)*-1</f>
        <v>0</v>
      </c>
      <c r="G236" s="212">
        <f>(F78+F84+F86)*-1</f>
        <v>0</v>
      </c>
      <c r="H236" s="212">
        <f>(F79+F83+F85)*-1</f>
        <v>0</v>
      </c>
      <c r="I236" s="212">
        <f>(F80+F88)*-1</f>
        <v>0</v>
      </c>
      <c r="J236" s="212">
        <f>(F81+F89+F90)*-1</f>
        <v>0</v>
      </c>
      <c r="L236" s="134"/>
      <c r="O236" s="154"/>
      <c r="P236" s="154"/>
      <c r="Q236" s="154"/>
      <c r="R236" s="154"/>
      <c r="S236" s="154"/>
      <c r="T236" s="154"/>
      <c r="U236" s="154"/>
      <c r="V236" s="154"/>
    </row>
    <row r="237" spans="1:22" x14ac:dyDescent="0.2">
      <c r="A237" s="134">
        <f>A236+1</f>
        <v>15</v>
      </c>
      <c r="B237" s="153" t="s">
        <v>303</v>
      </c>
      <c r="C237" s="153" t="str">
        <f>"Proposed Change Other Gas Department Revenue (Page 1 Line "&amp;A27&amp;")"</f>
        <v>Proposed Change Other Gas Department Revenue (Page 1 Line 17)</v>
      </c>
      <c r="D237" s="212">
        <f>G27</f>
        <v>101720</v>
      </c>
      <c r="E237" s="212">
        <f>D237-SUM(F237:J237)</f>
        <v>81727</v>
      </c>
      <c r="F237" s="212">
        <f>ROUND(F233/$D$233*$D$237,0)</f>
        <v>5172</v>
      </c>
      <c r="G237" s="212">
        <f>ROUND(G233/$D$233*$D$237,0)</f>
        <v>4683</v>
      </c>
      <c r="H237" s="212">
        <f t="shared" ref="H237:J237" si="41">ROUND(H233/$D$233*$D$237,0)</f>
        <v>5430</v>
      </c>
      <c r="I237" s="212">
        <f t="shared" si="41"/>
        <v>4616</v>
      </c>
      <c r="J237" s="212">
        <f t="shared" si="41"/>
        <v>92</v>
      </c>
      <c r="L237" s="134"/>
      <c r="O237" s="154"/>
      <c r="P237" s="154"/>
      <c r="Q237" s="154"/>
      <c r="R237" s="154"/>
      <c r="S237" s="154"/>
      <c r="T237" s="154"/>
      <c r="U237" s="154"/>
      <c r="V237" s="154"/>
    </row>
    <row r="238" spans="1:22" x14ac:dyDescent="0.2">
      <c r="A238" s="134">
        <f t="shared" ref="A238:A240" si="42">A237+1</f>
        <v>16</v>
      </c>
      <c r="B238" s="153" t="s">
        <v>303</v>
      </c>
      <c r="C238" s="153" t="str">
        <f>"Proposed Change in Rider CC (Page 2 Line "&amp;A93&amp;" through Line "&amp;A109&amp;")"</f>
        <v>Proposed Change in Rider CC (Page 2 Line 18 through Line 34)</v>
      </c>
      <c r="D238" s="212">
        <f>SUM(E238:J238)</f>
        <v>0</v>
      </c>
      <c r="E238" s="212">
        <f>G94+G100</f>
        <v>0</v>
      </c>
      <c r="F238" s="212">
        <f>G95+G101+G103</f>
        <v>0</v>
      </c>
      <c r="G238" s="212">
        <f>G96+G102+G104</f>
        <v>0</v>
      </c>
      <c r="H238" s="212">
        <f>G97+G105</f>
        <v>0</v>
      </c>
      <c r="I238" s="212">
        <f>G98+G106</f>
        <v>0</v>
      </c>
      <c r="J238" s="212">
        <f>G99+G107+G108</f>
        <v>0</v>
      </c>
      <c r="L238" s="134"/>
      <c r="O238" s="154"/>
      <c r="P238" s="154"/>
      <c r="Q238" s="154"/>
      <c r="R238" s="154"/>
      <c r="S238" s="154"/>
      <c r="T238" s="154"/>
      <c r="U238" s="154"/>
      <c r="V238" s="154"/>
    </row>
    <row r="239" spans="1:22" x14ac:dyDescent="0.2">
      <c r="A239" s="134">
        <f t="shared" si="42"/>
        <v>17</v>
      </c>
      <c r="B239" s="153" t="s">
        <v>303</v>
      </c>
      <c r="C239" s="153" t="str">
        <f>"Proposed Change in Gas Procurement Revenue (Page 2 Line "&amp;A127&amp;" through Line "&amp;A139&amp;")"</f>
        <v>Proposed Change in Gas Procurement Revenue (Page 2 Line 5 through Line 17)</v>
      </c>
      <c r="D239" s="262">
        <f>SUM(E239:J239)</f>
        <v>0</v>
      </c>
      <c r="E239" s="262">
        <f>G124+G130</f>
        <v>0</v>
      </c>
      <c r="F239" s="262">
        <f>G125+G131+G133</f>
        <v>0</v>
      </c>
      <c r="G239" s="262">
        <f>G126+G132+G134</f>
        <v>0</v>
      </c>
      <c r="H239" s="262">
        <f>G127+G135</f>
        <v>0</v>
      </c>
      <c r="I239" s="262">
        <f>G128+G136</f>
        <v>0</v>
      </c>
      <c r="J239" s="262">
        <f>G129+G137+G138</f>
        <v>0</v>
      </c>
      <c r="L239" s="134"/>
      <c r="O239" s="154"/>
      <c r="P239" s="154"/>
      <c r="Q239" s="154"/>
      <c r="R239" s="154"/>
      <c r="S239" s="154"/>
      <c r="T239" s="154"/>
      <c r="U239" s="154"/>
      <c r="V239" s="154"/>
    </row>
    <row r="240" spans="1:22" x14ac:dyDescent="0.2">
      <c r="A240" s="134">
        <f t="shared" si="42"/>
        <v>18</v>
      </c>
      <c r="C240" s="6" t="s">
        <v>304</v>
      </c>
      <c r="D240" s="271">
        <f t="shared" ref="D240:J240" si="43">D233-SUM(D236:D239)</f>
        <v>46835526</v>
      </c>
      <c r="E240" s="271">
        <f t="shared" si="43"/>
        <v>37630429</v>
      </c>
      <c r="F240" s="271">
        <f t="shared" si="43"/>
        <v>2381254</v>
      </c>
      <c r="G240" s="271">
        <f t="shared" si="43"/>
        <v>2156135</v>
      </c>
      <c r="H240" s="271">
        <f t="shared" si="43"/>
        <v>2499992</v>
      </c>
      <c r="I240" s="271">
        <f t="shared" si="43"/>
        <v>2125538</v>
      </c>
      <c r="J240" s="271">
        <f t="shared" si="43"/>
        <v>42178</v>
      </c>
      <c r="L240" s="134"/>
      <c r="O240" s="156"/>
      <c r="P240" s="156"/>
      <c r="Q240" s="156"/>
      <c r="R240" s="156"/>
      <c r="S240" s="156"/>
      <c r="T240" s="156"/>
      <c r="U240" s="156"/>
      <c r="V240" s="156"/>
    </row>
    <row r="241" spans="1:11" x14ac:dyDescent="0.2">
      <c r="A241" s="134">
        <f t="shared" ref="A241" si="44">A240+1</f>
        <v>19</v>
      </c>
      <c r="C241" s="6" t="s">
        <v>305</v>
      </c>
      <c r="D241" s="272">
        <f>SUM(E241:J241)</f>
        <v>1</v>
      </c>
      <c r="E241" s="272">
        <f>1-SUM(F241:J241)</f>
        <v>0.80349999999999999</v>
      </c>
      <c r="F241" s="272">
        <f t="shared" ref="F241" si="45">ROUND(F240/$D240,4)</f>
        <v>5.0799999999999998E-2</v>
      </c>
      <c r="G241" s="272">
        <f>ROUND(G240/$D240,4)</f>
        <v>4.5999999999999999E-2</v>
      </c>
      <c r="H241" s="272">
        <f>ROUND(H240/$D240,4)</f>
        <v>5.3400000000000003E-2</v>
      </c>
      <c r="I241" s="272">
        <f>ROUND(I240/$D240,4)</f>
        <v>4.5400000000000003E-2</v>
      </c>
      <c r="J241" s="272">
        <f>ROUND(J240/$D240,4)</f>
        <v>8.9999999999999998E-4</v>
      </c>
    </row>
    <row r="243" spans="1:11" x14ac:dyDescent="0.2">
      <c r="A243" s="134">
        <f>A241+1</f>
        <v>20</v>
      </c>
      <c r="C243" s="6" t="s">
        <v>306</v>
      </c>
      <c r="D243" s="271">
        <f>SUM(E243:J243)</f>
        <v>377099600</v>
      </c>
      <c r="E243" s="271">
        <f>F32+F38+F76+F82</f>
        <v>271367083</v>
      </c>
      <c r="F243" s="271">
        <f>F33+F39+F41+F77+F83+F85</f>
        <v>34668145</v>
      </c>
      <c r="G243" s="271">
        <f>F34+F40+F42+F78+F84+F86</f>
        <v>34273349</v>
      </c>
      <c r="H243" s="271">
        <f>F35+F43+F79+F87</f>
        <v>17687766</v>
      </c>
      <c r="I243" s="271">
        <f>F36+F44+F79+F88</f>
        <v>17899205</v>
      </c>
      <c r="J243" s="271">
        <f>F45+F89+F37+F81+F46+F90</f>
        <v>1204052</v>
      </c>
    </row>
    <row r="244" spans="1:11" x14ac:dyDescent="0.2">
      <c r="A244" s="134">
        <f>A243+1</f>
        <v>21</v>
      </c>
      <c r="C244" s="6" t="s">
        <v>307</v>
      </c>
      <c r="D244" s="272">
        <f>SUM(E244:K244)</f>
        <v>0.99999999999999989</v>
      </c>
      <c r="E244" s="272">
        <f>1-SUM(F244:J244)</f>
        <v>0.71961999999999993</v>
      </c>
      <c r="F244" s="272">
        <f t="shared" ref="F244:G244" si="46">ROUND(F243/$D243,5)</f>
        <v>9.1929999999999998E-2</v>
      </c>
      <c r="G244" s="272">
        <f t="shared" si="46"/>
        <v>9.0889999999999999E-2</v>
      </c>
      <c r="H244" s="272">
        <f>ROUND(H243/$D243,5)</f>
        <v>4.6899999999999997E-2</v>
      </c>
      <c r="I244" s="272">
        <f>ROUND(I243/$D243,5)</f>
        <v>4.7469999999999998E-2</v>
      </c>
      <c r="J244" s="272">
        <f>ROUND(J243/$D243,5)</f>
        <v>3.1900000000000001E-3</v>
      </c>
    </row>
    <row r="245" spans="1:11" x14ac:dyDescent="0.2">
      <c r="C245" s="6"/>
      <c r="D245" s="279"/>
      <c r="E245" s="272"/>
      <c r="F245" s="272"/>
      <c r="G245" s="272"/>
      <c r="H245" s="272"/>
      <c r="I245" s="272"/>
      <c r="J245" s="272"/>
    </row>
    <row r="246" spans="1:11" x14ac:dyDescent="0.2">
      <c r="A246" s="134">
        <f>A244+1</f>
        <v>22</v>
      </c>
      <c r="C246" s="6" t="s">
        <v>308</v>
      </c>
      <c r="D246" s="271">
        <f>SUM(E246:J246)</f>
        <v>423935126</v>
      </c>
      <c r="E246" s="271">
        <f>E240+E243</f>
        <v>308997512</v>
      </c>
      <c r="F246" s="271">
        <f t="shared" ref="F246" si="47">F240+F243</f>
        <v>37049399</v>
      </c>
      <c r="G246" s="271">
        <f t="shared" ref="G246" si="48">G240+G243</f>
        <v>36429484</v>
      </c>
      <c r="H246" s="271">
        <f>H240+H243</f>
        <v>20187758</v>
      </c>
      <c r="I246" s="271">
        <f>I240+I243</f>
        <v>20024743</v>
      </c>
      <c r="J246" s="271">
        <f>J240+J243</f>
        <v>1246230</v>
      </c>
    </row>
    <row r="247" spans="1:11" x14ac:dyDescent="0.2">
      <c r="A247" s="134">
        <f>A246+1</f>
        <v>23</v>
      </c>
      <c r="C247" s="6" t="s">
        <v>309</v>
      </c>
      <c r="D247" s="272">
        <f>SUM(E247:K247)</f>
        <v>0.99999999999999989</v>
      </c>
      <c r="E247" s="272">
        <f>1-SUM(F247:J247)</f>
        <v>0.72887999999999997</v>
      </c>
      <c r="F247" s="272">
        <f t="shared" ref="F247:G247" si="49">ROUND(F246/$D246,5)</f>
        <v>8.7389999999999995E-2</v>
      </c>
      <c r="G247" s="272">
        <f t="shared" si="49"/>
        <v>8.5930000000000006E-2</v>
      </c>
      <c r="H247" s="272">
        <f>ROUND(H246/$D246,5)</f>
        <v>4.7620000000000003E-2</v>
      </c>
      <c r="I247" s="272">
        <f>ROUND(I246/$D246,5)</f>
        <v>4.7239999999999997E-2</v>
      </c>
      <c r="J247" s="272">
        <f>ROUND(J246/$D246,5)</f>
        <v>2.9399999999999999E-3</v>
      </c>
    </row>
    <row r="248" spans="1:11" x14ac:dyDescent="0.2">
      <c r="C248" s="6"/>
      <c r="D248" s="279"/>
      <c r="E248" s="272"/>
      <c r="F248" s="272"/>
      <c r="G248" s="272"/>
      <c r="H248" s="272"/>
      <c r="I248" s="272"/>
    </row>
    <row r="249" spans="1:11" x14ac:dyDescent="0.2">
      <c r="A249" s="353" t="str">
        <f>A1</f>
        <v>Columbia Gas of Pennsylvania, Inc.</v>
      </c>
      <c r="B249" s="353"/>
      <c r="C249" s="353"/>
      <c r="D249" s="353"/>
      <c r="E249" s="353"/>
      <c r="F249" s="353"/>
      <c r="G249" s="353"/>
      <c r="H249" s="353"/>
      <c r="I249" s="353"/>
      <c r="J249" s="353"/>
      <c r="K249" s="2" t="s">
        <v>257</v>
      </c>
    </row>
    <row r="250" spans="1:11" x14ac:dyDescent="0.2">
      <c r="A250" s="353" t="str">
        <f>A2</f>
        <v>Allocation of Proposed Annual Revenues by Rate Schedule Based on Revenue Requirement</v>
      </c>
      <c r="B250" s="353"/>
      <c r="C250" s="353"/>
      <c r="D250" s="353"/>
      <c r="E250" s="353"/>
      <c r="F250" s="353"/>
      <c r="G250" s="353"/>
      <c r="H250" s="353"/>
      <c r="I250" s="353"/>
      <c r="J250" s="353"/>
      <c r="K250" s="2" t="s">
        <v>535</v>
      </c>
    </row>
    <row r="251" spans="1:11" x14ac:dyDescent="0.2">
      <c r="A251" s="353" t="str">
        <f>A3</f>
        <v>For the 12 Months Ended December 31, 2019</v>
      </c>
      <c r="B251" s="353"/>
      <c r="C251" s="353"/>
      <c r="D251" s="353"/>
      <c r="E251" s="353"/>
      <c r="F251" s="353"/>
      <c r="G251" s="353"/>
      <c r="H251" s="353"/>
      <c r="I251" s="353"/>
      <c r="J251" s="353"/>
      <c r="K251" s="2" t="s">
        <v>610</v>
      </c>
    </row>
    <row r="252" spans="1:11" x14ac:dyDescent="0.2">
      <c r="A252" s="351"/>
      <c r="B252" s="351"/>
      <c r="C252" s="351"/>
      <c r="D252" s="351"/>
      <c r="E252" s="351"/>
      <c r="F252" s="351"/>
      <c r="G252" s="351"/>
      <c r="H252" s="351"/>
      <c r="I252" s="351"/>
      <c r="J252" s="351"/>
      <c r="K252" s="2" t="str">
        <f>K4</f>
        <v>Witness: P. A. Strauss</v>
      </c>
    </row>
    <row r="253" spans="1:11" x14ac:dyDescent="0.2">
      <c r="A253" s="351"/>
      <c r="B253" s="351"/>
      <c r="C253" s="351"/>
      <c r="D253" s="280"/>
      <c r="E253" s="351"/>
      <c r="F253" s="351"/>
      <c r="G253" s="351"/>
      <c r="H253" s="351"/>
      <c r="I253" s="351"/>
      <c r="J253" s="351"/>
    </row>
    <row r="254" spans="1:11" x14ac:dyDescent="0.2">
      <c r="D254" s="154"/>
      <c r="I254" s="351" t="s">
        <v>331</v>
      </c>
    </row>
    <row r="255" spans="1:11" x14ac:dyDescent="0.2">
      <c r="A255" s="351" t="s">
        <v>3</v>
      </c>
      <c r="D255" s="351"/>
      <c r="E255" s="351"/>
      <c r="F255" s="351" t="s">
        <v>180</v>
      </c>
      <c r="G255" s="351" t="s">
        <v>180</v>
      </c>
      <c r="H255" s="351" t="s">
        <v>272</v>
      </c>
      <c r="I255" s="351" t="s">
        <v>335</v>
      </c>
      <c r="J255" s="351" t="s">
        <v>310</v>
      </c>
      <c r="K255" s="351" t="s">
        <v>180</v>
      </c>
    </row>
    <row r="256" spans="1:11" x14ac:dyDescent="0.2">
      <c r="A256" s="172" t="s">
        <v>6</v>
      </c>
      <c r="D256" s="172" t="s">
        <v>35</v>
      </c>
      <c r="E256" s="172" t="s">
        <v>254</v>
      </c>
      <c r="F256" s="172" t="s">
        <v>2</v>
      </c>
      <c r="G256" s="172" t="s">
        <v>31</v>
      </c>
      <c r="H256" s="172" t="s">
        <v>31</v>
      </c>
      <c r="I256" s="172" t="s">
        <v>31</v>
      </c>
      <c r="J256" s="172" t="s">
        <v>2</v>
      </c>
      <c r="K256" s="172" t="s">
        <v>311</v>
      </c>
    </row>
    <row r="257" spans="1:13" x14ac:dyDescent="0.2">
      <c r="F257" s="351" t="s">
        <v>33</v>
      </c>
      <c r="G257" s="351" t="s">
        <v>33</v>
      </c>
      <c r="H257" s="351" t="s">
        <v>33</v>
      </c>
      <c r="I257" s="351" t="s">
        <v>199</v>
      </c>
      <c r="J257" s="351" t="s">
        <v>33</v>
      </c>
      <c r="K257" s="351" t="s">
        <v>33</v>
      </c>
    </row>
    <row r="259" spans="1:13" x14ac:dyDescent="0.2">
      <c r="A259" s="134">
        <v>1</v>
      </c>
      <c r="C259" s="6" t="s">
        <v>644</v>
      </c>
    </row>
    <row r="261" spans="1:13" x14ac:dyDescent="0.2">
      <c r="A261" s="134">
        <f>A259+1</f>
        <v>2</v>
      </c>
      <c r="C261" s="153" t="s">
        <v>312</v>
      </c>
      <c r="G261" s="230">
        <f>F12+F18</f>
        <v>423940021</v>
      </c>
      <c r="H261" s="230"/>
      <c r="L261" s="230"/>
    </row>
    <row r="262" spans="1:13" x14ac:dyDescent="0.2">
      <c r="A262" s="134">
        <f>A261+1</f>
        <v>3</v>
      </c>
      <c r="B262" s="153" t="s">
        <v>303</v>
      </c>
      <c r="C262" s="153" t="s">
        <v>151</v>
      </c>
      <c r="G262" s="154">
        <f>'Sch1'!F22+'Sch1'!F324</f>
        <v>0</v>
      </c>
      <c r="H262" s="154"/>
    </row>
    <row r="263" spans="1:13" x14ac:dyDescent="0.2">
      <c r="A263" s="134">
        <f>A262+1</f>
        <v>4</v>
      </c>
      <c r="B263" s="153" t="s">
        <v>303</v>
      </c>
      <c r="C263" s="153" t="s">
        <v>313</v>
      </c>
      <c r="G263" s="154">
        <f>F190+F196</f>
        <v>120184061</v>
      </c>
    </row>
    <row r="264" spans="1:13" x14ac:dyDescent="0.2">
      <c r="A264" s="134">
        <f t="shared" ref="A264:A270" si="50">A263+1</f>
        <v>5</v>
      </c>
      <c r="B264" s="153" t="s">
        <v>303</v>
      </c>
      <c r="C264" s="153" t="s">
        <v>292</v>
      </c>
      <c r="G264" s="154">
        <f>'Sch1'!F126</f>
        <v>1912126</v>
      </c>
    </row>
    <row r="265" spans="1:13" x14ac:dyDescent="0.2">
      <c r="A265" s="134">
        <f t="shared" si="50"/>
        <v>6</v>
      </c>
      <c r="B265" s="153" t="s">
        <v>303</v>
      </c>
      <c r="C265" s="153" t="s">
        <v>441</v>
      </c>
      <c r="G265" s="154">
        <f>'Sch1'!F127+'Sch1'!F326</f>
        <v>31913</v>
      </c>
    </row>
    <row r="266" spans="1:13" x14ac:dyDescent="0.2">
      <c r="A266" s="134">
        <f t="shared" si="50"/>
        <v>7</v>
      </c>
      <c r="B266" s="153" t="s">
        <v>303</v>
      </c>
      <c r="C266" s="153" t="s">
        <v>323</v>
      </c>
      <c r="G266" s="154">
        <f>'Sch1'!F125</f>
        <v>1139022</v>
      </c>
    </row>
    <row r="267" spans="1:13" x14ac:dyDescent="0.2">
      <c r="A267" s="134">
        <f t="shared" si="50"/>
        <v>8</v>
      </c>
      <c r="B267" s="153" t="s">
        <v>303</v>
      </c>
      <c r="C267" s="153" t="s">
        <v>224</v>
      </c>
      <c r="G267" s="154">
        <f>'Sch1'!F124+'Sch1'!F325</f>
        <v>29305816</v>
      </c>
    </row>
    <row r="268" spans="1:13" x14ac:dyDescent="0.2">
      <c r="A268" s="134">
        <f t="shared" si="50"/>
        <v>9</v>
      </c>
      <c r="B268" s="153" t="s">
        <v>314</v>
      </c>
      <c r="C268" s="153" t="s">
        <v>315</v>
      </c>
      <c r="G268" s="156">
        <f>E240</f>
        <v>37630429</v>
      </c>
    </row>
    <row r="269" spans="1:13" x14ac:dyDescent="0.2">
      <c r="A269" s="134">
        <f t="shared" si="50"/>
        <v>10</v>
      </c>
      <c r="C269" s="153" t="s">
        <v>308</v>
      </c>
      <c r="G269" s="230">
        <f>G261-SUM(G262:G267)+G268</f>
        <v>308997512</v>
      </c>
      <c r="J269" s="66"/>
    </row>
    <row r="270" spans="1:13" x14ac:dyDescent="0.2">
      <c r="A270" s="134">
        <f t="shared" si="50"/>
        <v>11</v>
      </c>
      <c r="B270" s="153" t="s">
        <v>303</v>
      </c>
      <c r="C270" s="153" t="s">
        <v>324</v>
      </c>
      <c r="D270" s="154">
        <f>D12+D18</f>
        <v>4828182</v>
      </c>
      <c r="F270" s="364">
        <f>16.75+1.5</f>
        <v>18.25</v>
      </c>
      <c r="G270" s="243">
        <f>ROUND(F270*D270,0)</f>
        <v>88114322</v>
      </c>
      <c r="H270" s="154">
        <f>'Sch1'!F15+'Sch1'!F30+'Sch1'!F165</f>
        <v>80872050</v>
      </c>
      <c r="I270" s="138">
        <f>ROUND(H270/SUM(H270:H273),4)</f>
        <v>0.29799999999999999</v>
      </c>
      <c r="J270" s="66">
        <f>'Sch1'!E15</f>
        <v>16.75</v>
      </c>
      <c r="K270" s="237">
        <f>G270-H270</f>
        <v>7242272</v>
      </c>
    </row>
    <row r="271" spans="1:13" x14ac:dyDescent="0.2">
      <c r="A271" s="134">
        <f>A270+1</f>
        <v>12</v>
      </c>
      <c r="C271" s="153" t="s">
        <v>450</v>
      </c>
      <c r="G271" s="230">
        <f>G269-G270</f>
        <v>220883190</v>
      </c>
      <c r="K271" s="237"/>
      <c r="M271" s="66"/>
    </row>
    <row r="272" spans="1:13" x14ac:dyDescent="0.2">
      <c r="F272" s="158"/>
    </row>
    <row r="273" spans="1:12" ht="13.5" x14ac:dyDescent="0.35">
      <c r="A273" s="134">
        <f>A271+1</f>
        <v>13</v>
      </c>
      <c r="C273" s="153" t="s">
        <v>325</v>
      </c>
      <c r="E273" s="31">
        <f>E12+E18</f>
        <v>34437601</v>
      </c>
      <c r="F273" s="266">
        <f>ROUND((G271/E273),4)</f>
        <v>6.4139999999999997</v>
      </c>
      <c r="G273" s="323">
        <f>ROUND(F273*E273,0)</f>
        <v>220882773</v>
      </c>
      <c r="H273" s="323">
        <f>'Sch1'!F17+'Sch1'!F32+'Sch1'!F167</f>
        <v>190495033</v>
      </c>
      <c r="I273" s="244">
        <f>ROUND(H273/SUM(H270:H273),4)</f>
        <v>0.70199999999999996</v>
      </c>
      <c r="J273" s="158">
        <f>'Sch1'!E17</f>
        <v>5.5316000000000001</v>
      </c>
      <c r="K273" s="245">
        <f>G273-H273</f>
        <v>30387740</v>
      </c>
    </row>
    <row r="274" spans="1:12" x14ac:dyDescent="0.2">
      <c r="A274" s="134">
        <f>A273+1</f>
        <v>14</v>
      </c>
      <c r="C274" s="153" t="s">
        <v>316</v>
      </c>
      <c r="F274" s="158"/>
      <c r="G274" s="237"/>
      <c r="I274" s="246">
        <f>I273+I270</f>
        <v>1</v>
      </c>
      <c r="J274" s="158"/>
      <c r="K274" s="271">
        <f>K270+K273</f>
        <v>37630012</v>
      </c>
      <c r="L274" s="323"/>
    </row>
    <row r="275" spans="1:12" x14ac:dyDescent="0.2">
      <c r="F275" s="158"/>
      <c r="G275" s="237"/>
      <c r="I275" s="246"/>
      <c r="J275" s="158"/>
      <c r="K275" s="322"/>
    </row>
    <row r="276" spans="1:12" x14ac:dyDescent="0.2">
      <c r="A276" s="134">
        <f>A274+1</f>
        <v>15</v>
      </c>
      <c r="C276" s="257" t="s">
        <v>228</v>
      </c>
      <c r="F276" s="158"/>
      <c r="G276" s="237"/>
      <c r="I276" s="246"/>
      <c r="J276" s="158"/>
      <c r="K276" s="247"/>
    </row>
    <row r="277" spans="1:12" x14ac:dyDescent="0.2">
      <c r="F277" s="158"/>
      <c r="G277" s="237"/>
      <c r="I277" s="246"/>
      <c r="J277" s="158"/>
      <c r="K277" s="247"/>
    </row>
    <row r="278" spans="1:12" x14ac:dyDescent="0.2">
      <c r="A278" s="134">
        <f>A276+1</f>
        <v>16</v>
      </c>
      <c r="C278" s="153" t="s">
        <v>533</v>
      </c>
      <c r="F278" s="158"/>
      <c r="G278" s="237">
        <f>'Sch1'!F18+'Sch1'!F168</f>
        <v>29305816</v>
      </c>
      <c r="H278" s="237"/>
      <c r="I278" s="246"/>
      <c r="K278" s="247"/>
    </row>
    <row r="279" spans="1:12" ht="13.5" x14ac:dyDescent="0.35">
      <c r="A279" s="134">
        <f>A278+1</f>
        <v>17</v>
      </c>
      <c r="B279" s="153" t="s">
        <v>314</v>
      </c>
      <c r="C279" s="153" t="s">
        <v>532</v>
      </c>
      <c r="F279" s="158"/>
      <c r="G279" s="245">
        <f>'Sch 7'!F33*-1</f>
        <v>2635890</v>
      </c>
      <c r="I279" s="246"/>
      <c r="J279" s="158"/>
      <c r="K279" s="247"/>
    </row>
    <row r="280" spans="1:12" x14ac:dyDescent="0.2">
      <c r="A280" s="134">
        <f>A279+1</f>
        <v>18</v>
      </c>
      <c r="C280" s="153" t="s">
        <v>545</v>
      </c>
      <c r="E280" s="31">
        <f>'Sch 7'!D18+'Sch 7'!D179</f>
        <v>31913117.399999999</v>
      </c>
      <c r="F280" s="158">
        <f>ROUND(G280/E280,4)</f>
        <v>1.0008999999999999</v>
      </c>
      <c r="G280" s="323">
        <f>SUM(G278:G279)</f>
        <v>31941706</v>
      </c>
      <c r="H280" s="237"/>
      <c r="I280" s="246"/>
      <c r="J280" s="158">
        <f>'Sch1'!E18</f>
        <v>0.91830000000000001</v>
      </c>
      <c r="K280" s="247"/>
    </row>
    <row r="281" spans="1:12" x14ac:dyDescent="0.2">
      <c r="F281" s="158"/>
      <c r="J281" s="158"/>
    </row>
    <row r="282" spans="1:12" x14ac:dyDescent="0.2">
      <c r="A282" s="353" t="str">
        <f>A1</f>
        <v>Columbia Gas of Pennsylvania, Inc.</v>
      </c>
      <c r="B282" s="353"/>
      <c r="C282" s="353"/>
      <c r="D282" s="353"/>
      <c r="E282" s="353"/>
      <c r="F282" s="353"/>
      <c r="G282" s="353"/>
      <c r="H282" s="353"/>
      <c r="I282" s="353"/>
      <c r="J282" s="353"/>
      <c r="K282" s="2" t="s">
        <v>257</v>
      </c>
    </row>
    <row r="283" spans="1:12" x14ac:dyDescent="0.2">
      <c r="A283" s="353" t="str">
        <f>A2</f>
        <v>Allocation of Proposed Annual Revenues by Rate Schedule Based on Revenue Requirement</v>
      </c>
      <c r="B283" s="353"/>
      <c r="C283" s="353"/>
      <c r="D283" s="353"/>
      <c r="E283" s="353"/>
      <c r="F283" s="353"/>
      <c r="G283" s="353"/>
      <c r="H283" s="353"/>
      <c r="I283" s="353"/>
      <c r="J283" s="353"/>
      <c r="K283" s="2" t="s">
        <v>535</v>
      </c>
    </row>
    <row r="284" spans="1:12" x14ac:dyDescent="0.2">
      <c r="A284" s="353" t="str">
        <f>A3</f>
        <v>For the 12 Months Ended December 31, 2019</v>
      </c>
      <c r="B284" s="353"/>
      <c r="C284" s="353"/>
      <c r="D284" s="353"/>
      <c r="E284" s="353"/>
      <c r="F284" s="353"/>
      <c r="G284" s="353"/>
      <c r="H284" s="353"/>
      <c r="I284" s="353"/>
      <c r="J284" s="353"/>
      <c r="K284" s="2" t="s">
        <v>606</v>
      </c>
    </row>
    <row r="285" spans="1:12" x14ac:dyDescent="0.2">
      <c r="A285" s="351"/>
      <c r="B285" s="351"/>
      <c r="C285" s="351"/>
      <c r="D285" s="351"/>
      <c r="E285" s="351"/>
      <c r="F285" s="351"/>
      <c r="G285" s="351"/>
      <c r="H285" s="351"/>
      <c r="I285" s="351"/>
      <c r="J285" s="351"/>
      <c r="K285" s="2" t="str">
        <f>K4</f>
        <v>Witness: P. A. Strauss</v>
      </c>
    </row>
    <row r="286" spans="1:12" x14ac:dyDescent="0.2">
      <c r="A286" s="351"/>
      <c r="B286" s="351"/>
      <c r="C286" s="351"/>
      <c r="D286" s="280"/>
      <c r="E286" s="351"/>
      <c r="F286" s="351"/>
      <c r="G286" s="351"/>
      <c r="H286" s="351"/>
      <c r="I286" s="351"/>
      <c r="J286" s="351"/>
    </row>
    <row r="287" spans="1:12" x14ac:dyDescent="0.2">
      <c r="D287" s="154"/>
      <c r="I287" s="351" t="s">
        <v>331</v>
      </c>
    </row>
    <row r="288" spans="1:12" x14ac:dyDescent="0.2">
      <c r="A288" s="351" t="s">
        <v>3</v>
      </c>
      <c r="D288" s="351"/>
      <c r="E288" s="351"/>
      <c r="F288" s="351" t="s">
        <v>180</v>
      </c>
      <c r="G288" s="351" t="s">
        <v>180</v>
      </c>
      <c r="H288" s="351" t="s">
        <v>272</v>
      </c>
      <c r="I288" s="351" t="s">
        <v>335</v>
      </c>
      <c r="J288" s="351" t="s">
        <v>310</v>
      </c>
      <c r="K288" s="351" t="s">
        <v>180</v>
      </c>
    </row>
    <row r="289" spans="1:13" x14ac:dyDescent="0.2">
      <c r="A289" s="172" t="s">
        <v>6</v>
      </c>
      <c r="D289" s="172" t="s">
        <v>35</v>
      </c>
      <c r="E289" s="172" t="s">
        <v>254</v>
      </c>
      <c r="F289" s="172" t="s">
        <v>2</v>
      </c>
      <c r="G289" s="172" t="s">
        <v>31</v>
      </c>
      <c r="H289" s="172" t="s">
        <v>31</v>
      </c>
      <c r="I289" s="172" t="s">
        <v>31</v>
      </c>
      <c r="J289" s="172" t="s">
        <v>2</v>
      </c>
      <c r="K289" s="172" t="s">
        <v>311</v>
      </c>
    </row>
    <row r="290" spans="1:13" x14ac:dyDescent="0.2">
      <c r="F290" s="351" t="s">
        <v>33</v>
      </c>
      <c r="G290" s="351" t="s">
        <v>33</v>
      </c>
      <c r="H290" s="351" t="s">
        <v>33</v>
      </c>
      <c r="I290" s="351" t="s">
        <v>199</v>
      </c>
      <c r="J290" s="351" t="s">
        <v>33</v>
      </c>
      <c r="K290" s="351" t="s">
        <v>33</v>
      </c>
    </row>
    <row r="291" spans="1:13" x14ac:dyDescent="0.2">
      <c r="F291" s="158"/>
      <c r="J291" s="158"/>
    </row>
    <row r="292" spans="1:13" x14ac:dyDescent="0.2">
      <c r="A292" s="134">
        <v>1</v>
      </c>
      <c r="C292" s="6" t="s">
        <v>569</v>
      </c>
    </row>
    <row r="294" spans="1:13" x14ac:dyDescent="0.2">
      <c r="A294" s="134">
        <f>A292+1</f>
        <v>2</v>
      </c>
      <c r="C294" s="153" t="s">
        <v>312</v>
      </c>
      <c r="G294" s="230">
        <f>F13+F21+F19</f>
        <v>56291392</v>
      </c>
      <c r="H294" s="230"/>
      <c r="L294" s="230"/>
    </row>
    <row r="295" spans="1:13" x14ac:dyDescent="0.2">
      <c r="A295" s="134">
        <f>A294+1</f>
        <v>3</v>
      </c>
      <c r="B295" s="153" t="s">
        <v>303</v>
      </c>
      <c r="C295" s="153" t="s">
        <v>151</v>
      </c>
      <c r="G295" s="154">
        <f>F77+F83+F85</f>
        <v>0</v>
      </c>
      <c r="H295" s="230"/>
      <c r="L295" s="230"/>
    </row>
    <row r="296" spans="1:13" x14ac:dyDescent="0.2">
      <c r="A296" s="134">
        <f>A295+1</f>
        <v>4</v>
      </c>
      <c r="B296" s="153" t="s">
        <v>303</v>
      </c>
      <c r="C296" s="153" t="s">
        <v>313</v>
      </c>
      <c r="G296" s="154">
        <f>F191+F197+F199</f>
        <v>21240416</v>
      </c>
      <c r="H296" s="230"/>
      <c r="L296" s="230"/>
    </row>
    <row r="297" spans="1:13" x14ac:dyDescent="0.2">
      <c r="A297" s="134">
        <f>A296+1</f>
        <v>5</v>
      </c>
      <c r="B297" s="153" t="s">
        <v>303</v>
      </c>
      <c r="C297" s="153" t="s">
        <v>292</v>
      </c>
      <c r="G297" s="154">
        <f>F125+F131+F133</f>
        <v>334502</v>
      </c>
      <c r="H297" s="230"/>
      <c r="L297" s="230"/>
    </row>
    <row r="298" spans="1:13" x14ac:dyDescent="0.2">
      <c r="A298" s="134">
        <f>A297+1</f>
        <v>6</v>
      </c>
      <c r="B298" s="153" t="s">
        <v>303</v>
      </c>
      <c r="C298" s="153" t="s">
        <v>441</v>
      </c>
      <c r="G298" s="154">
        <f>F95+F101+F103</f>
        <v>6456</v>
      </c>
      <c r="H298" s="230"/>
      <c r="L298" s="230"/>
    </row>
    <row r="299" spans="1:13" x14ac:dyDescent="0.2">
      <c r="A299" s="134">
        <f t="shared" ref="A299:A302" si="51">A298+1</f>
        <v>7</v>
      </c>
      <c r="B299" s="153" t="s">
        <v>303</v>
      </c>
      <c r="C299" s="153" t="s">
        <v>323</v>
      </c>
      <c r="G299" s="154">
        <f>F173+F179+F181</f>
        <v>41873</v>
      </c>
      <c r="H299" s="230"/>
      <c r="L299" s="230"/>
    </row>
    <row r="300" spans="1:13" x14ac:dyDescent="0.2">
      <c r="A300" s="134">
        <f t="shared" si="51"/>
        <v>8</v>
      </c>
      <c r="B300" s="153" t="s">
        <v>303</v>
      </c>
      <c r="C300" s="153" t="s">
        <v>224</v>
      </c>
      <c r="G300" s="154">
        <f>F143+F149+F151</f>
        <v>0</v>
      </c>
      <c r="H300" s="230"/>
      <c r="L300" s="230"/>
    </row>
    <row r="301" spans="1:13" x14ac:dyDescent="0.2">
      <c r="A301" s="134">
        <f t="shared" si="51"/>
        <v>9</v>
      </c>
      <c r="B301" s="153" t="s">
        <v>314</v>
      </c>
      <c r="C301" s="153" t="s">
        <v>315</v>
      </c>
      <c r="G301" s="156">
        <f>F240</f>
        <v>2381254</v>
      </c>
      <c r="H301" s="230"/>
      <c r="L301" s="230"/>
    </row>
    <row r="302" spans="1:13" x14ac:dyDescent="0.2">
      <c r="A302" s="134">
        <f t="shared" si="51"/>
        <v>10</v>
      </c>
      <c r="C302" s="153" t="s">
        <v>308</v>
      </c>
      <c r="G302" s="230">
        <f>G294-SUM(G295:G300)+G301</f>
        <v>37049399</v>
      </c>
      <c r="H302" s="230"/>
      <c r="L302" s="230"/>
    </row>
    <row r="303" spans="1:13" x14ac:dyDescent="0.2">
      <c r="A303" s="134">
        <f t="shared" ref="A303:A305" si="52">A302+1</f>
        <v>11</v>
      </c>
      <c r="B303" s="153" t="s">
        <v>303</v>
      </c>
      <c r="C303" s="153" t="s">
        <v>587</v>
      </c>
      <c r="G303" s="230">
        <f>'Sch1'!F215</f>
        <v>2678</v>
      </c>
      <c r="H303" s="230"/>
      <c r="L303" s="230"/>
    </row>
    <row r="304" spans="1:13" ht="13.5" x14ac:dyDescent="0.35">
      <c r="A304" s="134">
        <f t="shared" si="52"/>
        <v>12</v>
      </c>
      <c r="B304" s="153" t="s">
        <v>303</v>
      </c>
      <c r="C304" s="276" t="s">
        <v>322</v>
      </c>
      <c r="D304" s="154">
        <f>'Sch1'!C44+'Sch1'!C179+'Sch1'!C205</f>
        <v>391250</v>
      </c>
      <c r="F304" s="365">
        <f>21.25+1.5</f>
        <v>22.75</v>
      </c>
      <c r="G304" s="250">
        <f>ROUND(F304*D304,0)</f>
        <v>8900938</v>
      </c>
      <c r="H304" s="154">
        <f>'Sch1'!F44+'Sch1'!F179+'Sch1'!F205</f>
        <v>8314063</v>
      </c>
      <c r="I304" s="246">
        <f>ROUND(H304/($H$304+$H$314+$H$316),4)</f>
        <v>0.23980000000000001</v>
      </c>
      <c r="J304" s="66">
        <f>'Sch1'!E44</f>
        <v>21.25</v>
      </c>
      <c r="K304" s="237">
        <f>G304-H304</f>
        <v>586875</v>
      </c>
      <c r="L304" s="230"/>
      <c r="M304" s="237"/>
    </row>
    <row r="305" spans="1:13" x14ac:dyDescent="0.2">
      <c r="A305" s="134">
        <f t="shared" si="52"/>
        <v>13</v>
      </c>
      <c r="C305" s="153" t="s">
        <v>450</v>
      </c>
      <c r="G305" s="230">
        <f>G302-G304-G303</f>
        <v>28145783</v>
      </c>
      <c r="L305" s="230"/>
      <c r="M305" s="237"/>
    </row>
    <row r="306" spans="1:13" x14ac:dyDescent="0.2">
      <c r="L306" s="237"/>
    </row>
    <row r="307" spans="1:13" x14ac:dyDescent="0.2">
      <c r="A307" s="134">
        <f>A305+1</f>
        <v>14</v>
      </c>
      <c r="C307" s="153" t="s">
        <v>513</v>
      </c>
      <c r="E307" s="31">
        <f>E314+E316</f>
        <v>6455990.7000000011</v>
      </c>
      <c r="F307" s="251">
        <f>ROUND(($G$305/E307),4)</f>
        <v>4.3596000000000004</v>
      </c>
      <c r="G307" s="237">
        <f>ROUND(F307*E307,0)</f>
        <v>28145537</v>
      </c>
      <c r="H307" s="154"/>
      <c r="I307" s="246"/>
      <c r="L307" s="237"/>
    </row>
    <row r="308" spans="1:13" x14ac:dyDescent="0.2">
      <c r="E308" s="31"/>
      <c r="G308" s="237"/>
      <c r="H308" s="154"/>
    </row>
    <row r="309" spans="1:13" x14ac:dyDescent="0.2">
      <c r="A309" s="134">
        <f>A307+1</f>
        <v>15</v>
      </c>
      <c r="C309" s="153" t="s">
        <v>588</v>
      </c>
      <c r="E309" s="31">
        <f>E314</f>
        <v>6205037.2000000011</v>
      </c>
      <c r="F309" s="251">
        <f>F307</f>
        <v>4.3596000000000004</v>
      </c>
      <c r="G309" s="237">
        <f>ROUND(E309*F309,0)</f>
        <v>27051480</v>
      </c>
      <c r="H309" s="154"/>
    </row>
    <row r="310" spans="1:13" x14ac:dyDescent="0.2">
      <c r="A310" s="134">
        <f>A309+1</f>
        <v>16</v>
      </c>
      <c r="C310" s="153" t="s">
        <v>589</v>
      </c>
      <c r="E310" s="31">
        <f>E316</f>
        <v>250953.5</v>
      </c>
      <c r="F310" s="251">
        <f>F307</f>
        <v>4.3596000000000004</v>
      </c>
      <c r="G310" s="237">
        <f>ROUND(E310*F310,0)</f>
        <v>1094057</v>
      </c>
      <c r="H310" s="154"/>
    </row>
    <row r="311" spans="1:13" x14ac:dyDescent="0.2">
      <c r="E311" s="31"/>
      <c r="G311" s="237"/>
      <c r="H311" s="154"/>
    </row>
    <row r="312" spans="1:13" x14ac:dyDescent="0.2">
      <c r="A312" s="134">
        <f>A310+1</f>
        <v>17</v>
      </c>
      <c r="C312" s="153" t="s">
        <v>590</v>
      </c>
      <c r="E312" s="31"/>
      <c r="G312" s="237">
        <v>29428</v>
      </c>
      <c r="H312" s="154"/>
    </row>
    <row r="313" spans="1:13" x14ac:dyDescent="0.2">
      <c r="E313" s="31"/>
      <c r="G313" s="237"/>
      <c r="H313" s="154"/>
    </row>
    <row r="314" spans="1:13" x14ac:dyDescent="0.2">
      <c r="A314" s="134">
        <f>A312+1</f>
        <v>18</v>
      </c>
      <c r="C314" s="153" t="s">
        <v>591</v>
      </c>
      <c r="E314" s="31">
        <f>'Sch1'!D46+'Sch1'!D181</f>
        <v>6205037.2000000011</v>
      </c>
      <c r="F314" s="252">
        <f>ROUND(G314/E314,4)</f>
        <v>4.3643000000000001</v>
      </c>
      <c r="G314" s="237">
        <f>G309+G312</f>
        <v>27080908</v>
      </c>
      <c r="H314" s="154">
        <f>'Sch1'!F46+'Sch1'!F181</f>
        <v>25359987</v>
      </c>
      <c r="I314" s="246">
        <f>ROUND(H314/($H$304+$H$314+$H$316),4)</f>
        <v>0.73160000000000003</v>
      </c>
      <c r="J314" s="153">
        <f>'Sch1'!E46</f>
        <v>4.0869999999999997</v>
      </c>
      <c r="K314" s="237">
        <f>G314-H314</f>
        <v>1720921</v>
      </c>
    </row>
    <row r="315" spans="1:13" x14ac:dyDescent="0.2">
      <c r="E315" s="31"/>
      <c r="G315" s="237"/>
      <c r="H315" s="154"/>
    </row>
    <row r="316" spans="1:13" ht="13.5" x14ac:dyDescent="0.35">
      <c r="A316" s="134">
        <f>A314+1</f>
        <v>19</v>
      </c>
      <c r="C316" s="153" t="s">
        <v>592</v>
      </c>
      <c r="E316" s="31">
        <f>'Sch1'!D208+'Sch1'!D210</f>
        <v>250953.5</v>
      </c>
      <c r="F316" s="252">
        <f>ROUND(G316/E316,4)</f>
        <v>4.2423000000000002</v>
      </c>
      <c r="G316" s="245">
        <f>G310-G312</f>
        <v>1064629</v>
      </c>
      <c r="H316" s="156">
        <f>'Sch1'!F208+'Sch1'!F210</f>
        <v>991417</v>
      </c>
      <c r="I316" s="263">
        <f>ROUND(H316/($H$304+$H$314+$H$316),4)</f>
        <v>2.86E-2</v>
      </c>
      <c r="J316" s="153">
        <f>'Sch1'!E208</f>
        <v>3.9506000000000001</v>
      </c>
      <c r="K316" s="245">
        <f>G316-H316</f>
        <v>73212</v>
      </c>
    </row>
    <row r="317" spans="1:13" x14ac:dyDescent="0.2">
      <c r="E317" s="31"/>
      <c r="G317" s="237">
        <f>G316+G314+G304</f>
        <v>37046475</v>
      </c>
      <c r="H317" s="230">
        <f>H316+H314+H304</f>
        <v>34665467</v>
      </c>
      <c r="I317" s="246">
        <f>SUM(I304:I316)</f>
        <v>1</v>
      </c>
    </row>
    <row r="318" spans="1:13" x14ac:dyDescent="0.2">
      <c r="A318" s="134">
        <f>A316+1</f>
        <v>20</v>
      </c>
      <c r="C318" s="153" t="s">
        <v>316</v>
      </c>
      <c r="K318" s="271">
        <f>SUM(K304:K317)</f>
        <v>2381008</v>
      </c>
      <c r="L318" s="237"/>
    </row>
    <row r="319" spans="1:13" x14ac:dyDescent="0.2">
      <c r="K319" s="247"/>
    </row>
    <row r="320" spans="1:13" x14ac:dyDescent="0.2">
      <c r="A320" s="353" t="str">
        <f>A1</f>
        <v>Columbia Gas of Pennsylvania, Inc.</v>
      </c>
      <c r="B320" s="353"/>
      <c r="C320" s="353"/>
      <c r="D320" s="353"/>
      <c r="E320" s="353"/>
      <c r="F320" s="353"/>
      <c r="G320" s="353"/>
      <c r="H320" s="353"/>
      <c r="I320" s="353"/>
      <c r="J320" s="353"/>
      <c r="K320" s="2" t="s">
        <v>257</v>
      </c>
    </row>
    <row r="321" spans="1:11" x14ac:dyDescent="0.2">
      <c r="A321" s="353" t="str">
        <f>A2</f>
        <v>Allocation of Proposed Annual Revenues by Rate Schedule Based on Revenue Requirement</v>
      </c>
      <c r="B321" s="353"/>
      <c r="C321" s="353"/>
      <c r="D321" s="353"/>
      <c r="E321" s="353"/>
      <c r="F321" s="353"/>
      <c r="G321" s="353"/>
      <c r="H321" s="353"/>
      <c r="I321" s="353"/>
      <c r="J321" s="353"/>
      <c r="K321" s="2" t="s">
        <v>535</v>
      </c>
    </row>
    <row r="322" spans="1:11" x14ac:dyDescent="0.2">
      <c r="A322" s="353" t="str">
        <f>A3</f>
        <v>For the 12 Months Ended December 31, 2019</v>
      </c>
      <c r="B322" s="353"/>
      <c r="C322" s="353"/>
      <c r="D322" s="353"/>
      <c r="E322" s="353"/>
      <c r="F322" s="353"/>
      <c r="G322" s="353"/>
      <c r="H322" s="353"/>
      <c r="I322" s="353"/>
      <c r="J322" s="353"/>
      <c r="K322" s="2" t="s">
        <v>607</v>
      </c>
    </row>
    <row r="323" spans="1:11" x14ac:dyDescent="0.2">
      <c r="A323" s="351"/>
      <c r="B323" s="351"/>
      <c r="C323" s="351"/>
      <c r="D323" s="351"/>
      <c r="E323" s="351"/>
      <c r="F323" s="351"/>
      <c r="G323" s="351"/>
      <c r="H323" s="351"/>
      <c r="I323" s="351"/>
      <c r="J323" s="351"/>
      <c r="K323" s="2" t="str">
        <f>K4</f>
        <v>Witness: P. A. Strauss</v>
      </c>
    </row>
    <row r="324" spans="1:11" x14ac:dyDescent="0.2">
      <c r="A324" s="351"/>
      <c r="B324" s="351"/>
      <c r="C324" s="351"/>
      <c r="D324" s="280"/>
      <c r="E324" s="351"/>
      <c r="F324" s="351"/>
      <c r="G324" s="351"/>
      <c r="H324" s="351"/>
      <c r="I324" s="351"/>
      <c r="J324" s="351"/>
    </row>
    <row r="325" spans="1:11" x14ac:dyDescent="0.2">
      <c r="D325" s="154"/>
      <c r="I325" s="351" t="s">
        <v>331</v>
      </c>
    </row>
    <row r="326" spans="1:11" x14ac:dyDescent="0.2">
      <c r="A326" s="351" t="s">
        <v>3</v>
      </c>
      <c r="D326" s="351"/>
      <c r="E326" s="351"/>
      <c r="F326" s="351" t="s">
        <v>180</v>
      </c>
      <c r="G326" s="351" t="s">
        <v>180</v>
      </c>
      <c r="H326" s="351" t="s">
        <v>272</v>
      </c>
      <c r="I326" s="351" t="s">
        <v>335</v>
      </c>
      <c r="J326" s="351" t="s">
        <v>310</v>
      </c>
      <c r="K326" s="351" t="s">
        <v>180</v>
      </c>
    </row>
    <row r="327" spans="1:11" x14ac:dyDescent="0.2">
      <c r="A327" s="172" t="s">
        <v>6</v>
      </c>
      <c r="D327" s="172" t="s">
        <v>35</v>
      </c>
      <c r="E327" s="172" t="s">
        <v>254</v>
      </c>
      <c r="F327" s="172" t="s">
        <v>2</v>
      </c>
      <c r="G327" s="172" t="s">
        <v>31</v>
      </c>
      <c r="H327" s="172" t="s">
        <v>31</v>
      </c>
      <c r="I327" s="172" t="s">
        <v>31</v>
      </c>
      <c r="J327" s="172" t="s">
        <v>2</v>
      </c>
      <c r="K327" s="172" t="s">
        <v>311</v>
      </c>
    </row>
    <row r="328" spans="1:11" x14ac:dyDescent="0.2">
      <c r="F328" s="351" t="s">
        <v>33</v>
      </c>
      <c r="G328" s="351" t="s">
        <v>33</v>
      </c>
      <c r="H328" s="351" t="s">
        <v>33</v>
      </c>
      <c r="I328" s="351" t="s">
        <v>199</v>
      </c>
      <c r="J328" s="351" t="s">
        <v>33</v>
      </c>
      <c r="K328" s="351" t="s">
        <v>33</v>
      </c>
    </row>
    <row r="329" spans="1:11" x14ac:dyDescent="0.2">
      <c r="F329" s="158"/>
      <c r="J329" s="158"/>
    </row>
    <row r="330" spans="1:11" x14ac:dyDescent="0.2">
      <c r="A330" s="134">
        <v>1</v>
      </c>
      <c r="C330" s="6" t="s">
        <v>570</v>
      </c>
    </row>
    <row r="332" spans="1:11" x14ac:dyDescent="0.2">
      <c r="A332" s="134">
        <f>A330+1</f>
        <v>2</v>
      </c>
      <c r="C332" s="153" t="s">
        <v>312</v>
      </c>
      <c r="G332" s="230">
        <f>F14+F22+F20</f>
        <v>53245994</v>
      </c>
      <c r="H332" s="230"/>
    </row>
    <row r="333" spans="1:11" x14ac:dyDescent="0.2">
      <c r="A333" s="134">
        <f>A332+1</f>
        <v>3</v>
      </c>
      <c r="B333" s="153" t="s">
        <v>303</v>
      </c>
      <c r="C333" s="153" t="s">
        <v>151</v>
      </c>
      <c r="G333" s="154">
        <f>F78+F84+F86</f>
        <v>0</v>
      </c>
      <c r="H333" s="154"/>
    </row>
    <row r="334" spans="1:11" x14ac:dyDescent="0.2">
      <c r="A334" s="134">
        <f>A333+1</f>
        <v>4</v>
      </c>
      <c r="B334" s="153" t="s">
        <v>303</v>
      </c>
      <c r="C334" s="153" t="s">
        <v>313</v>
      </c>
      <c r="G334" s="154">
        <f>F192+F198+F200</f>
        <v>18646735</v>
      </c>
      <c r="H334" s="230"/>
    </row>
    <row r="335" spans="1:11" x14ac:dyDescent="0.2">
      <c r="A335" s="134">
        <f>A334+1</f>
        <v>5</v>
      </c>
      <c r="B335" s="153" t="s">
        <v>303</v>
      </c>
      <c r="C335" s="153" t="s">
        <v>292</v>
      </c>
      <c r="G335" s="154">
        <f>F126+F132+F134</f>
        <v>281823</v>
      </c>
    </row>
    <row r="336" spans="1:11" x14ac:dyDescent="0.2">
      <c r="A336" s="134">
        <f>A335+1</f>
        <v>6</v>
      </c>
      <c r="B336" s="153" t="s">
        <v>303</v>
      </c>
      <c r="C336" s="153" t="s">
        <v>441</v>
      </c>
      <c r="G336" s="154">
        <f>F96+F102+F104</f>
        <v>8808</v>
      </c>
    </row>
    <row r="337" spans="1:11" x14ac:dyDescent="0.2">
      <c r="A337" s="134">
        <f t="shared" ref="A337:A339" si="53">A336+1</f>
        <v>7</v>
      </c>
      <c r="B337" s="153" t="s">
        <v>303</v>
      </c>
      <c r="C337" s="153" t="s">
        <v>323</v>
      </c>
      <c r="G337" s="154">
        <f>F174+F180+F182</f>
        <v>35279</v>
      </c>
    </row>
    <row r="338" spans="1:11" x14ac:dyDescent="0.2">
      <c r="A338" s="134">
        <f t="shared" si="53"/>
        <v>8</v>
      </c>
      <c r="B338" s="153" t="s">
        <v>303</v>
      </c>
      <c r="C338" s="153" t="s">
        <v>224</v>
      </c>
      <c r="G338" s="154">
        <f>F144+F150+F152</f>
        <v>0</v>
      </c>
    </row>
    <row r="339" spans="1:11" x14ac:dyDescent="0.2">
      <c r="A339" s="134">
        <f t="shared" si="53"/>
        <v>9</v>
      </c>
      <c r="B339" s="153" t="s">
        <v>314</v>
      </c>
      <c r="C339" s="153" t="s">
        <v>315</v>
      </c>
      <c r="G339" s="156">
        <f>G240</f>
        <v>2156135</v>
      </c>
    </row>
    <row r="340" spans="1:11" x14ac:dyDescent="0.2">
      <c r="A340" s="134">
        <f t="shared" ref="A340:A343" si="54">A339+1</f>
        <v>10</v>
      </c>
      <c r="C340" s="153" t="s">
        <v>308</v>
      </c>
      <c r="G340" s="230">
        <f>G332-SUM(G333:G338)+G339</f>
        <v>36429484</v>
      </c>
    </row>
    <row r="341" spans="1:11" x14ac:dyDescent="0.2">
      <c r="A341" s="134">
        <f>A340+1</f>
        <v>11</v>
      </c>
      <c r="B341" s="153" t="s">
        <v>303</v>
      </c>
      <c r="C341" s="153" t="s">
        <v>645</v>
      </c>
      <c r="D341" s="154">
        <f>ROUND(136*12,0)</f>
        <v>1632</v>
      </c>
      <c r="F341" s="365">
        <v>319.60000000000002</v>
      </c>
      <c r="G341" s="248">
        <f>ROUND(F341*D341,0)</f>
        <v>521587</v>
      </c>
      <c r="H341" s="154">
        <v>0</v>
      </c>
      <c r="I341" s="246">
        <f>ROUND(H341/($H$343+$H$353+$H$355+$H$341),4)</f>
        <v>0</v>
      </c>
      <c r="J341" s="66">
        <v>0</v>
      </c>
      <c r="K341" s="237">
        <f>G341-H341</f>
        <v>521587</v>
      </c>
    </row>
    <row r="342" spans="1:11" x14ac:dyDescent="0.2">
      <c r="A342" s="134">
        <f>A341+1</f>
        <v>12</v>
      </c>
      <c r="B342" s="153" t="s">
        <v>303</v>
      </c>
      <c r="C342" s="153" t="s">
        <v>636</v>
      </c>
      <c r="G342" s="230">
        <f>'Sch1'!F242</f>
        <v>43793</v>
      </c>
    </row>
    <row r="343" spans="1:11" ht="13.5" x14ac:dyDescent="0.35">
      <c r="A343" s="134">
        <f t="shared" si="54"/>
        <v>13</v>
      </c>
      <c r="B343" s="153" t="s">
        <v>303</v>
      </c>
      <c r="C343" s="249" t="s">
        <v>328</v>
      </c>
      <c r="D343" s="154">
        <f>'Sch1'!C59+'Sch1'!C192+'Sch1'!C232</f>
        <v>57955</v>
      </c>
      <c r="F343" s="365">
        <v>48</v>
      </c>
      <c r="G343" s="250">
        <f>ROUND(F343*D343,0)</f>
        <v>2781840</v>
      </c>
      <c r="H343" s="154">
        <f>'Sch1'!F232+'Sch1'!F192+'Sch1'!F59</f>
        <v>2781840</v>
      </c>
      <c r="I343" s="246">
        <f>ROUND(H343/($H$343+$H$353+$H$355+$H$341),4)</f>
        <v>8.1299999999999997E-2</v>
      </c>
      <c r="J343" s="66">
        <f>'Sch1'!E59</f>
        <v>48</v>
      </c>
      <c r="K343" s="237">
        <f>G343-H343</f>
        <v>0</v>
      </c>
    </row>
    <row r="344" spans="1:11" x14ac:dyDescent="0.2">
      <c r="A344" s="134">
        <f>A343+1</f>
        <v>14</v>
      </c>
      <c r="C344" s="153" t="s">
        <v>450</v>
      </c>
      <c r="G344" s="230">
        <f>G340-G343-G342-G341</f>
        <v>33082264</v>
      </c>
    </row>
    <row r="345" spans="1:11" x14ac:dyDescent="0.2">
      <c r="H345" s="66"/>
    </row>
    <row r="346" spans="1:11" x14ac:dyDescent="0.2">
      <c r="A346" s="134">
        <f>A344+1</f>
        <v>15</v>
      </c>
      <c r="C346" s="153" t="s">
        <v>513</v>
      </c>
      <c r="D346" s="31"/>
      <c r="E346" s="31">
        <f>E353+E355</f>
        <v>8808311.7000000011</v>
      </c>
      <c r="F346" s="251">
        <f>ROUND(($G$344/E346),4)</f>
        <v>3.7557999999999998</v>
      </c>
      <c r="G346" s="237">
        <f>ROUND(F346*E346,0)</f>
        <v>33082257</v>
      </c>
      <c r="H346" s="154"/>
      <c r="I346" s="246"/>
    </row>
    <row r="347" spans="1:11" x14ac:dyDescent="0.2">
      <c r="E347" s="31"/>
      <c r="G347" s="237"/>
      <c r="H347" s="154"/>
    </row>
    <row r="348" spans="1:11" x14ac:dyDescent="0.2">
      <c r="A348" s="134">
        <f>A346+1</f>
        <v>16</v>
      </c>
      <c r="C348" s="153" t="s">
        <v>593</v>
      </c>
      <c r="E348" s="31">
        <f>E353</f>
        <v>5028935.3000000007</v>
      </c>
      <c r="F348" s="251">
        <f>F346</f>
        <v>3.7557999999999998</v>
      </c>
      <c r="G348" s="237">
        <f>ROUND(E348*F348,0)</f>
        <v>18887675</v>
      </c>
      <c r="H348" s="154"/>
    </row>
    <row r="349" spans="1:11" x14ac:dyDescent="0.2">
      <c r="A349" s="134">
        <f>A348+1</f>
        <v>17</v>
      </c>
      <c r="C349" s="153" t="s">
        <v>594</v>
      </c>
      <c r="E349" s="31">
        <f>E355</f>
        <v>3779376.4</v>
      </c>
      <c r="F349" s="251">
        <f>F346</f>
        <v>3.7557999999999998</v>
      </c>
      <c r="G349" s="237">
        <f>ROUND(E349*F349,0)</f>
        <v>14194582</v>
      </c>
      <c r="H349" s="154"/>
    </row>
    <row r="350" spans="1:11" x14ac:dyDescent="0.2">
      <c r="E350" s="31"/>
      <c r="G350" s="237"/>
      <c r="H350" s="154"/>
    </row>
    <row r="351" spans="1:11" x14ac:dyDescent="0.2">
      <c r="A351" s="134">
        <f>A349+1</f>
        <v>18</v>
      </c>
      <c r="C351" s="153" t="s">
        <v>595</v>
      </c>
      <c r="E351" s="31"/>
      <c r="G351" s="237">
        <v>263465</v>
      </c>
      <c r="H351" s="154">
        <f>G351+G312</f>
        <v>292893</v>
      </c>
    </row>
    <row r="352" spans="1:11" x14ac:dyDescent="0.2">
      <c r="E352" s="31"/>
      <c r="G352" s="248"/>
      <c r="H352" s="20"/>
    </row>
    <row r="353" spans="1:13" x14ac:dyDescent="0.2">
      <c r="A353" s="134">
        <f>A351+1</f>
        <v>19</v>
      </c>
      <c r="C353" s="153" t="s">
        <v>596</v>
      </c>
      <c r="E353" s="31">
        <f>'Sch1'!D61+'Sch1'!D194</f>
        <v>5028935.3000000007</v>
      </c>
      <c r="F353" s="252">
        <f>ROUND(G353/E353,4)</f>
        <v>3.8081999999999998</v>
      </c>
      <c r="G353" s="248">
        <f>G348+G351</f>
        <v>19151140</v>
      </c>
      <c r="H353" s="20">
        <f>'Sch1'!F61+'Sch1'!F194</f>
        <v>18249000</v>
      </c>
      <c r="I353" s="246">
        <f>ROUND(H353/($H$343+$H$353+$H$355+$H$341),4)</f>
        <v>0.53310000000000002</v>
      </c>
      <c r="J353" s="153">
        <f>'Sch1'!E61</f>
        <v>3.6288</v>
      </c>
      <c r="K353" s="237">
        <f>G353-H353</f>
        <v>902140</v>
      </c>
      <c r="M353" s="321"/>
    </row>
    <row r="354" spans="1:13" x14ac:dyDescent="0.2">
      <c r="E354" s="31"/>
      <c r="G354" s="248"/>
      <c r="H354" s="20"/>
    </row>
    <row r="355" spans="1:13" ht="13.5" x14ac:dyDescent="0.35">
      <c r="A355" s="134">
        <f>A353+1</f>
        <v>20</v>
      </c>
      <c r="C355" s="153" t="s">
        <v>597</v>
      </c>
      <c r="E355" s="31">
        <f>'Sch1'!D235+'Sch1'!D237</f>
        <v>3779376.4</v>
      </c>
      <c r="F355" s="252">
        <f>ROUND(G355/E355,4)+0.0001</f>
        <v>3.6862000000000004</v>
      </c>
      <c r="G355" s="325">
        <f>G349-G351</f>
        <v>13931117</v>
      </c>
      <c r="H355" s="22">
        <f>'Sch1'!F235+'Sch1'!F237</f>
        <v>13198716</v>
      </c>
      <c r="I355" s="263">
        <f>ROUND(H355/($H$343+$H$353+$H$355+$H$341),4)</f>
        <v>0.3856</v>
      </c>
      <c r="J355" s="153">
        <f>'Sch1'!E237</f>
        <v>3.4923000000000002</v>
      </c>
      <c r="K355" s="245">
        <f>G355-H355</f>
        <v>732401</v>
      </c>
    </row>
    <row r="356" spans="1:13" x14ac:dyDescent="0.2">
      <c r="E356" s="31"/>
      <c r="F356" s="252"/>
      <c r="G356" s="324">
        <f>G355+G353</f>
        <v>33082257</v>
      </c>
      <c r="H356" s="324">
        <f>H355+H353</f>
        <v>31447716</v>
      </c>
      <c r="I356" s="246">
        <f>SUM(I343:I355)</f>
        <v>1</v>
      </c>
      <c r="K356" s="237"/>
    </row>
    <row r="357" spans="1:13" x14ac:dyDescent="0.2">
      <c r="A357" s="134">
        <f>A355+1</f>
        <v>21</v>
      </c>
      <c r="C357" s="153" t="s">
        <v>316</v>
      </c>
      <c r="G357" s="237"/>
      <c r="K357" s="247">
        <f>SUM(K341:K355)</f>
        <v>2156128</v>
      </c>
      <c r="L357" s="237"/>
    </row>
    <row r="358" spans="1:13" x14ac:dyDescent="0.2">
      <c r="G358" s="237"/>
      <c r="K358" s="247"/>
    </row>
    <row r="359" spans="1:13" x14ac:dyDescent="0.2">
      <c r="A359" s="353" t="str">
        <f>A1</f>
        <v>Columbia Gas of Pennsylvania, Inc.</v>
      </c>
      <c r="B359" s="353"/>
      <c r="C359" s="353"/>
      <c r="D359" s="353"/>
      <c r="E359" s="353"/>
      <c r="F359" s="353"/>
      <c r="G359" s="353"/>
      <c r="H359" s="353"/>
      <c r="I359" s="353"/>
      <c r="J359" s="353"/>
      <c r="K359" s="2" t="s">
        <v>257</v>
      </c>
    </row>
    <row r="360" spans="1:13" x14ac:dyDescent="0.2">
      <c r="A360" s="353" t="str">
        <f>A2</f>
        <v>Allocation of Proposed Annual Revenues by Rate Schedule Based on Revenue Requirement</v>
      </c>
      <c r="B360" s="353"/>
      <c r="C360" s="353"/>
      <c r="D360" s="353"/>
      <c r="E360" s="353"/>
      <c r="F360" s="353"/>
      <c r="G360" s="353"/>
      <c r="H360" s="353"/>
      <c r="I360" s="353"/>
      <c r="J360" s="353"/>
      <c r="K360" s="2" t="s">
        <v>535</v>
      </c>
    </row>
    <row r="361" spans="1:13" x14ac:dyDescent="0.2">
      <c r="A361" s="353" t="str">
        <f>A3</f>
        <v>For the 12 Months Ended December 31, 2019</v>
      </c>
      <c r="B361" s="353"/>
      <c r="C361" s="353"/>
      <c r="D361" s="353"/>
      <c r="E361" s="353"/>
      <c r="F361" s="353"/>
      <c r="G361" s="353"/>
      <c r="H361" s="353"/>
      <c r="I361" s="353"/>
      <c r="J361" s="353"/>
      <c r="K361" s="2" t="s">
        <v>608</v>
      </c>
    </row>
    <row r="362" spans="1:13" x14ac:dyDescent="0.2">
      <c r="J362" s="247"/>
      <c r="K362" s="2" t="str">
        <f>K4</f>
        <v>Witness: P. A. Strauss</v>
      </c>
    </row>
    <row r="363" spans="1:13" x14ac:dyDescent="0.2">
      <c r="I363" s="351" t="s">
        <v>331</v>
      </c>
    </row>
    <row r="364" spans="1:13" x14ac:dyDescent="0.2">
      <c r="A364" s="351" t="s">
        <v>3</v>
      </c>
      <c r="D364" s="351"/>
      <c r="E364" s="351"/>
      <c r="F364" s="351" t="s">
        <v>180</v>
      </c>
      <c r="G364" s="351" t="s">
        <v>180</v>
      </c>
      <c r="H364" s="351" t="s">
        <v>272</v>
      </c>
      <c r="I364" s="351" t="s">
        <v>335</v>
      </c>
      <c r="J364" s="351" t="s">
        <v>310</v>
      </c>
      <c r="K364" s="351" t="s">
        <v>180</v>
      </c>
    </row>
    <row r="365" spans="1:13" x14ac:dyDescent="0.2">
      <c r="A365" s="172" t="s">
        <v>6</v>
      </c>
      <c r="D365" s="172" t="s">
        <v>35</v>
      </c>
      <c r="E365" s="172" t="s">
        <v>254</v>
      </c>
      <c r="F365" s="172" t="s">
        <v>2</v>
      </c>
      <c r="G365" s="172" t="s">
        <v>31</v>
      </c>
      <c r="H365" s="172" t="s">
        <v>31</v>
      </c>
      <c r="I365" s="172" t="s">
        <v>31</v>
      </c>
      <c r="J365" s="172" t="s">
        <v>2</v>
      </c>
      <c r="K365" s="172" t="s">
        <v>311</v>
      </c>
    </row>
    <row r="366" spans="1:13" x14ac:dyDescent="0.2">
      <c r="F366" s="351" t="s">
        <v>33</v>
      </c>
      <c r="G366" s="351" t="s">
        <v>33</v>
      </c>
      <c r="H366" s="351" t="s">
        <v>33</v>
      </c>
      <c r="I366" s="351" t="s">
        <v>199</v>
      </c>
      <c r="J366" s="351" t="s">
        <v>33</v>
      </c>
      <c r="K366" s="351" t="s">
        <v>33</v>
      </c>
    </row>
    <row r="367" spans="1:13" x14ac:dyDescent="0.2">
      <c r="E367" s="31"/>
      <c r="K367" s="247"/>
    </row>
    <row r="368" spans="1:13" x14ac:dyDescent="0.2">
      <c r="F368" s="351"/>
      <c r="G368" s="351"/>
      <c r="H368" s="351"/>
      <c r="I368" s="351"/>
      <c r="J368" s="351"/>
      <c r="K368" s="351"/>
    </row>
    <row r="369" spans="1:13" x14ac:dyDescent="0.2">
      <c r="A369" s="134">
        <v>1</v>
      </c>
      <c r="C369" s="6" t="s">
        <v>543</v>
      </c>
    </row>
    <row r="371" spans="1:13" x14ac:dyDescent="0.2">
      <c r="A371" s="134">
        <f>A369+1</f>
        <v>2</v>
      </c>
      <c r="C371" s="153" t="s">
        <v>312</v>
      </c>
      <c r="G371" s="230">
        <f>F23+F15</f>
        <v>20908714</v>
      </c>
    </row>
    <row r="372" spans="1:13" x14ac:dyDescent="0.2">
      <c r="A372" s="134">
        <f>A371+1</f>
        <v>3</v>
      </c>
      <c r="B372" s="153" t="s">
        <v>303</v>
      </c>
      <c r="C372" s="153" t="s">
        <v>151</v>
      </c>
      <c r="G372" s="154">
        <f>F79+F87</f>
        <v>0</v>
      </c>
    </row>
    <row r="373" spans="1:13" x14ac:dyDescent="0.2">
      <c r="A373" s="134">
        <f t="shared" ref="A373:A379" si="55">A372+1</f>
        <v>4</v>
      </c>
      <c r="B373" s="153" t="s">
        <v>303</v>
      </c>
      <c r="C373" s="153" t="s">
        <v>313</v>
      </c>
      <c r="G373" s="154">
        <f>F193+F201</f>
        <v>3167707</v>
      </c>
      <c r="L373" s="237"/>
      <c r="M373" s="237"/>
    </row>
    <row r="374" spans="1:13" x14ac:dyDescent="0.2">
      <c r="A374" s="134">
        <f t="shared" si="55"/>
        <v>5</v>
      </c>
      <c r="B374" s="153" t="s">
        <v>303</v>
      </c>
      <c r="C374" s="153" t="s">
        <v>292</v>
      </c>
      <c r="G374" s="154">
        <f>F127+F135</f>
        <v>53241</v>
      </c>
      <c r="L374" s="237"/>
      <c r="M374" s="237"/>
    </row>
    <row r="375" spans="1:13" x14ac:dyDescent="0.2">
      <c r="A375" s="134">
        <f t="shared" si="55"/>
        <v>6</v>
      </c>
      <c r="B375" s="153" t="s">
        <v>314</v>
      </c>
      <c r="C375" s="153" t="s">
        <v>315</v>
      </c>
      <c r="G375" s="156">
        <f>H240</f>
        <v>2499992</v>
      </c>
      <c r="L375" s="237"/>
      <c r="M375" s="237"/>
    </row>
    <row r="376" spans="1:13" x14ac:dyDescent="0.2">
      <c r="A376" s="134">
        <f>A375+1</f>
        <v>7</v>
      </c>
      <c r="C376" s="153" t="s">
        <v>308</v>
      </c>
      <c r="F376" s="66"/>
      <c r="G376" s="230">
        <f>G371-SUM(G372:G374)+G375</f>
        <v>20187758</v>
      </c>
    </row>
    <row r="377" spans="1:13" x14ac:dyDescent="0.2">
      <c r="A377" s="134">
        <f t="shared" ref="A377:A378" si="56">A376+1</f>
        <v>8</v>
      </c>
      <c r="B377" s="153" t="s">
        <v>303</v>
      </c>
      <c r="C377" s="153" t="s">
        <v>645</v>
      </c>
      <c r="D377" s="154">
        <f>ROUND(430*12,0)</f>
        <v>5160</v>
      </c>
      <c r="F377" s="365">
        <v>319.60000000000002</v>
      </c>
      <c r="G377" s="248">
        <f>ROUND(F377*D377,0)</f>
        <v>1649136</v>
      </c>
      <c r="H377" s="154">
        <v>0</v>
      </c>
      <c r="I377" s="246"/>
      <c r="J377" s="66">
        <v>0</v>
      </c>
      <c r="K377" s="237">
        <f>G377-H377</f>
        <v>1649136</v>
      </c>
    </row>
    <row r="378" spans="1:13" x14ac:dyDescent="0.2">
      <c r="A378" s="134">
        <f t="shared" si="56"/>
        <v>9</v>
      </c>
      <c r="B378" s="153" t="s">
        <v>303</v>
      </c>
      <c r="C378" s="153" t="s">
        <v>372</v>
      </c>
      <c r="G378" s="248">
        <f>'Sch1'!F256</f>
        <v>163647</v>
      </c>
    </row>
    <row r="379" spans="1:13" x14ac:dyDescent="0.2">
      <c r="A379" s="134">
        <f t="shared" si="55"/>
        <v>10</v>
      </c>
      <c r="B379" s="153" t="s">
        <v>303</v>
      </c>
      <c r="C379" s="153" t="s">
        <v>326</v>
      </c>
      <c r="D379" s="154">
        <f>'Sch2'!I169+'Sch2'!I189+'Sch2'!I65+'Sch2'!I76</f>
        <v>2469</v>
      </c>
      <c r="F379" s="267">
        <f>J379</f>
        <v>229.75</v>
      </c>
      <c r="G379" s="248">
        <f>ROUND(F379*D379,0)</f>
        <v>567253</v>
      </c>
      <c r="H379" s="154">
        <f>'Sch1'!F98+'Sch1'!F249</f>
        <v>567253</v>
      </c>
      <c r="I379" s="138"/>
      <c r="J379" s="66">
        <f>'Sch1'!E249</f>
        <v>229.75</v>
      </c>
      <c r="K379" s="237">
        <f>G379-H379</f>
        <v>0</v>
      </c>
      <c r="L379" s="237"/>
      <c r="M379" s="237"/>
    </row>
    <row r="380" spans="1:13" ht="13.5" x14ac:dyDescent="0.35">
      <c r="A380" s="134">
        <f t="shared" ref="A380:A381" si="57">A379+1</f>
        <v>11</v>
      </c>
      <c r="B380" s="153" t="s">
        <v>303</v>
      </c>
      <c r="C380" s="153" t="s">
        <v>327</v>
      </c>
      <c r="D380" s="154">
        <f>'Sch2'!I170+'Sch2'!I190+'Sch2'!I66+'Sch2'!I77</f>
        <v>2699</v>
      </c>
      <c r="F380" s="267">
        <f>J380</f>
        <v>757.34</v>
      </c>
      <c r="G380" s="250">
        <f>ROUND(F380*D380,0)</f>
        <v>2044061</v>
      </c>
      <c r="H380" s="154">
        <f>'Sch1'!F99+'Sch1'!F250</f>
        <v>2044061</v>
      </c>
      <c r="I380" s="138"/>
      <c r="J380" s="66">
        <f>'Sch1'!E250</f>
        <v>757.34</v>
      </c>
      <c r="K380" s="237">
        <f>G380-H380</f>
        <v>0</v>
      </c>
      <c r="L380" s="237"/>
      <c r="M380" s="154"/>
    </row>
    <row r="381" spans="1:13" x14ac:dyDescent="0.2">
      <c r="A381" s="134">
        <f t="shared" si="57"/>
        <v>12</v>
      </c>
      <c r="C381" s="153" t="s">
        <v>450</v>
      </c>
      <c r="E381" s="31"/>
      <c r="F381" s="158"/>
      <c r="G381" s="230">
        <f>G376-G378-G379-G380-G377</f>
        <v>15763661</v>
      </c>
      <c r="L381" s="237"/>
      <c r="M381" s="237"/>
    </row>
    <row r="383" spans="1:13" x14ac:dyDescent="0.2">
      <c r="A383" s="134">
        <f>A381+1</f>
        <v>13</v>
      </c>
      <c r="C383" s="253" t="s">
        <v>487</v>
      </c>
      <c r="E383" s="31">
        <f>'Sch1'!D105+'Sch1'!D252</f>
        <v>1824714.2000000002</v>
      </c>
      <c r="F383" s="252">
        <f>ROUND(($G383/E383),4)</f>
        <v>2.4365000000000001</v>
      </c>
      <c r="G383" s="237">
        <f>ROUND(G381*I383,0)</f>
        <v>4445939</v>
      </c>
      <c r="H383" s="154">
        <f>'Sch1'!F105+'Sch1'!F252</f>
        <v>4205966</v>
      </c>
      <c r="I383" s="138">
        <f>ROUND(H383/SUM(H383:H384),10)</f>
        <v>0.28203721570000001</v>
      </c>
      <c r="J383" s="153">
        <f>'Sch1'!E252</f>
        <v>2.3050000000000002</v>
      </c>
      <c r="K383" s="237">
        <f>G383-H383</f>
        <v>239973</v>
      </c>
    </row>
    <row r="384" spans="1:13" ht="13.5" x14ac:dyDescent="0.35">
      <c r="A384" s="134">
        <f>A383+1</f>
        <v>14</v>
      </c>
      <c r="C384" s="253" t="s">
        <v>488</v>
      </c>
      <c r="E384" s="31">
        <f>'Sch1'!D106+'Sch1'!D253</f>
        <v>4968370.5</v>
      </c>
      <c r="F384" s="252">
        <f>ROUND(($G384/E384),4)</f>
        <v>2.278</v>
      </c>
      <c r="G384" s="156">
        <f>G381-G383</f>
        <v>11317722</v>
      </c>
      <c r="H384" s="156">
        <f>'Sch1'!F106+'Sch1'!F253</f>
        <v>10706839</v>
      </c>
      <c r="I384" s="244">
        <f>ROUND(H384/SUM(H383:H384),10)</f>
        <v>0.71796278430000005</v>
      </c>
      <c r="J384" s="153">
        <f>'Sch1'!E253</f>
        <v>2.1549999999999998</v>
      </c>
      <c r="K384" s="245">
        <f>G384-H384</f>
        <v>610883</v>
      </c>
    </row>
    <row r="385" spans="1:15" x14ac:dyDescent="0.2">
      <c r="C385" s="253"/>
      <c r="E385" s="31"/>
      <c r="F385" s="252"/>
      <c r="G385" s="230">
        <f>SUM(G383:G384)</f>
        <v>15763661</v>
      </c>
      <c r="H385" s="230">
        <f>SUM(H383:H384)</f>
        <v>14912805</v>
      </c>
      <c r="I385" s="138">
        <f>SUM(I379:I384)</f>
        <v>1</v>
      </c>
      <c r="K385" s="230">
        <f>SUM(K383:K384)</f>
        <v>850856</v>
      </c>
    </row>
    <row r="386" spans="1:15" x14ac:dyDescent="0.2">
      <c r="A386" s="134">
        <f>A384+1</f>
        <v>15</v>
      </c>
      <c r="C386" s="153" t="s">
        <v>316</v>
      </c>
      <c r="G386" s="237"/>
      <c r="K386" s="271">
        <f>K385+SUM(K379:K380)+K377</f>
        <v>2499992</v>
      </c>
      <c r="L386" s="237"/>
    </row>
    <row r="387" spans="1:15" x14ac:dyDescent="0.2">
      <c r="C387" s="167"/>
      <c r="G387" s="237"/>
      <c r="K387" s="247"/>
    </row>
    <row r="388" spans="1:15" x14ac:dyDescent="0.2">
      <c r="A388" s="134">
        <f>A386+1</f>
        <v>16</v>
      </c>
      <c r="C388" s="6" t="s">
        <v>544</v>
      </c>
    </row>
    <row r="390" spans="1:15" x14ac:dyDescent="0.2">
      <c r="A390" s="134">
        <f>A388+1</f>
        <v>17</v>
      </c>
      <c r="C390" s="153" t="s">
        <v>312</v>
      </c>
      <c r="G390" s="230">
        <f>F16+F24</f>
        <v>17899205</v>
      </c>
    </row>
    <row r="391" spans="1:15" x14ac:dyDescent="0.2">
      <c r="A391" s="134">
        <f>A390+1</f>
        <v>18</v>
      </c>
      <c r="B391" s="153" t="s">
        <v>303</v>
      </c>
      <c r="C391" s="153" t="s">
        <v>151</v>
      </c>
      <c r="G391" s="154">
        <f>F80+F88</f>
        <v>0</v>
      </c>
    </row>
    <row r="392" spans="1:15" x14ac:dyDescent="0.2">
      <c r="A392" s="134">
        <f>A391+1</f>
        <v>19</v>
      </c>
      <c r="B392" s="153" t="s">
        <v>303</v>
      </c>
      <c r="C392" s="153" t="s">
        <v>313</v>
      </c>
      <c r="G392" s="154">
        <f>F194+F202</f>
        <v>0</v>
      </c>
      <c r="L392" s="254"/>
    </row>
    <row r="393" spans="1:15" x14ac:dyDescent="0.2">
      <c r="A393" s="134">
        <f t="shared" ref="A393:A397" si="58">A392+1</f>
        <v>20</v>
      </c>
      <c r="B393" s="153" t="s">
        <v>303</v>
      </c>
      <c r="C393" s="153" t="s">
        <v>292</v>
      </c>
      <c r="G393" s="154">
        <f>F128+F136</f>
        <v>0</v>
      </c>
      <c r="L393" s="254"/>
    </row>
    <row r="394" spans="1:15" x14ac:dyDescent="0.2">
      <c r="A394" s="134">
        <f t="shared" si="58"/>
        <v>21</v>
      </c>
      <c r="B394" s="153" t="s">
        <v>314</v>
      </c>
      <c r="C394" s="153" t="s">
        <v>315</v>
      </c>
      <c r="G394" s="156">
        <f>I240</f>
        <v>2125538</v>
      </c>
      <c r="L394" s="254"/>
    </row>
    <row r="395" spans="1:15" x14ac:dyDescent="0.2">
      <c r="A395" s="134">
        <f t="shared" si="58"/>
        <v>22</v>
      </c>
      <c r="C395" s="153" t="s">
        <v>308</v>
      </c>
      <c r="G395" s="230">
        <f>G390-SUM(G391:G393)+G394</f>
        <v>20024743</v>
      </c>
      <c r="L395" s="254"/>
    </row>
    <row r="396" spans="1:15" x14ac:dyDescent="0.2">
      <c r="A396" s="134">
        <f t="shared" si="58"/>
        <v>23</v>
      </c>
      <c r="B396" s="153" t="s">
        <v>303</v>
      </c>
      <c r="C396" s="153" t="s">
        <v>645</v>
      </c>
      <c r="D396" s="154">
        <f>ROUND((90-12)*12,0)</f>
        <v>936</v>
      </c>
      <c r="F396" s="365">
        <v>368.76</v>
      </c>
      <c r="G396" s="248">
        <f>ROUND(F396*D396,0)</f>
        <v>345159</v>
      </c>
      <c r="H396" s="154">
        <v>0</v>
      </c>
      <c r="I396" s="246"/>
      <c r="J396" s="66">
        <v>0</v>
      </c>
      <c r="K396" s="237">
        <f>G396-H396</f>
        <v>345159</v>
      </c>
      <c r="L396" s="254"/>
    </row>
    <row r="397" spans="1:15" x14ac:dyDescent="0.2">
      <c r="A397" s="134">
        <f t="shared" si="58"/>
        <v>24</v>
      </c>
      <c r="B397" s="153" t="s">
        <v>303</v>
      </c>
      <c r="C397" s="153" t="s">
        <v>372</v>
      </c>
      <c r="G397" s="237">
        <f>'Sch1'!F275</f>
        <v>4020861</v>
      </c>
      <c r="L397" s="254"/>
      <c r="O397" s="154"/>
    </row>
    <row r="398" spans="1:15" x14ac:dyDescent="0.2">
      <c r="A398" s="134">
        <f t="shared" ref="A398:A403" si="59">A397+1</f>
        <v>25</v>
      </c>
      <c r="B398" s="153" t="s">
        <v>303</v>
      </c>
      <c r="C398" s="153" t="s">
        <v>324</v>
      </c>
    </row>
    <row r="399" spans="1:15" x14ac:dyDescent="0.2">
      <c r="A399" s="134">
        <f t="shared" si="59"/>
        <v>26</v>
      </c>
      <c r="C399" s="165" t="s">
        <v>342</v>
      </c>
      <c r="D399" s="154">
        <f>'Sch2'!I67+'Sch2'!I78+'Sch2'!I201+'Sch2'!I213</f>
        <v>530</v>
      </c>
      <c r="E399" s="254"/>
      <c r="F399" s="267">
        <f t="shared" ref="F399:F402" si="60">J399</f>
        <v>1947.06</v>
      </c>
      <c r="G399" s="248">
        <f>ROUND(F399*D399,0)</f>
        <v>1031942</v>
      </c>
      <c r="H399" s="154">
        <f>'Sch1'!F100+'Sch1'!F262</f>
        <v>1031942</v>
      </c>
      <c r="I399" s="254"/>
      <c r="J399" s="66">
        <f>'Sch1'!E262</f>
        <v>1947.06</v>
      </c>
      <c r="K399" s="237">
        <f>G399-H399</f>
        <v>0</v>
      </c>
      <c r="L399" s="154"/>
      <c r="M399" s="154"/>
      <c r="N399" s="237"/>
    </row>
    <row r="400" spans="1:15" x14ac:dyDescent="0.2">
      <c r="A400" s="134">
        <f t="shared" si="59"/>
        <v>27</v>
      </c>
      <c r="C400" s="165" t="s">
        <v>339</v>
      </c>
      <c r="D400" s="154">
        <f>'Sch2'!I68+'Sch2'!I79+'Sch2'!I202+'Sch2'!I214</f>
        <v>312</v>
      </c>
      <c r="E400" s="254"/>
      <c r="F400" s="267">
        <f t="shared" si="60"/>
        <v>3028.76</v>
      </c>
      <c r="G400" s="248">
        <f t="shared" ref="G400:G402" si="61">ROUND(F400*D400,0)</f>
        <v>944973</v>
      </c>
      <c r="H400" s="154">
        <f>'Sch1'!F101+'Sch1'!F263</f>
        <v>944973</v>
      </c>
      <c r="I400" s="254"/>
      <c r="J400" s="66">
        <f>'Sch1'!E263</f>
        <v>3028.76</v>
      </c>
      <c r="K400" s="237">
        <f t="shared" ref="K400:K402" si="62">G400-H400</f>
        <v>0</v>
      </c>
      <c r="L400" s="66"/>
      <c r="M400" s="154"/>
      <c r="N400" s="237"/>
    </row>
    <row r="401" spans="1:16" x14ac:dyDescent="0.2">
      <c r="A401" s="134">
        <f t="shared" si="59"/>
        <v>28</v>
      </c>
      <c r="C401" s="165" t="s">
        <v>340</v>
      </c>
      <c r="D401" s="154">
        <f>'Sch2'!I69+'Sch2'!I80+'Sch2'!I203+'Sch2'!I215</f>
        <v>60</v>
      </c>
      <c r="E401" s="254"/>
      <c r="F401" s="267">
        <f t="shared" si="60"/>
        <v>5841.18</v>
      </c>
      <c r="G401" s="248">
        <f t="shared" si="61"/>
        <v>350471</v>
      </c>
      <c r="H401" s="154">
        <f>'Sch1'!F102+'Sch1'!F264</f>
        <v>350471</v>
      </c>
      <c r="I401" s="254"/>
      <c r="J401" s="66">
        <f>'Sch1'!E264</f>
        <v>5841.18</v>
      </c>
      <c r="K401" s="237">
        <f t="shared" si="62"/>
        <v>0</v>
      </c>
      <c r="L401" s="66"/>
      <c r="M401" s="154"/>
      <c r="N401" s="237"/>
      <c r="P401" s="154"/>
    </row>
    <row r="402" spans="1:16" ht="13.5" x14ac:dyDescent="0.35">
      <c r="A402" s="134">
        <f t="shared" si="59"/>
        <v>29</v>
      </c>
      <c r="C402" s="165" t="s">
        <v>286</v>
      </c>
      <c r="D402" s="154">
        <f>'Sch2'!I70+'Sch2'!I81+'Sch2'!I204+'Sch2'!I216</f>
        <v>12</v>
      </c>
      <c r="E402" s="254"/>
      <c r="F402" s="267">
        <f t="shared" si="60"/>
        <v>8653.6</v>
      </c>
      <c r="G402" s="250">
        <f t="shared" si="61"/>
        <v>103843</v>
      </c>
      <c r="H402" s="154">
        <f>'Sch1'!F103+'Sch1'!F265</f>
        <v>103843</v>
      </c>
      <c r="I402" s="254"/>
      <c r="J402" s="66">
        <f>'Sch1'!E265</f>
        <v>8653.6</v>
      </c>
      <c r="K402" s="237">
        <f t="shared" si="62"/>
        <v>0</v>
      </c>
      <c r="L402" s="66"/>
      <c r="M402" s="154"/>
      <c r="N402" s="237"/>
    </row>
    <row r="403" spans="1:16" x14ac:dyDescent="0.2">
      <c r="A403" s="134">
        <f t="shared" si="59"/>
        <v>30</v>
      </c>
      <c r="C403" s="153" t="s">
        <v>450</v>
      </c>
      <c r="G403" s="230">
        <f>G395-G397-G399-G400-G401-G402-G396</f>
        <v>13227494</v>
      </c>
      <c r="K403" s="237"/>
      <c r="L403" s="154"/>
    </row>
    <row r="404" spans="1:16" x14ac:dyDescent="0.2">
      <c r="M404" s="320"/>
    </row>
    <row r="405" spans="1:16" x14ac:dyDescent="0.2">
      <c r="A405" s="134">
        <f>A403+1</f>
        <v>31</v>
      </c>
      <c r="C405" s="153" t="s">
        <v>341</v>
      </c>
    </row>
    <row r="406" spans="1:16" x14ac:dyDescent="0.2">
      <c r="A406" s="134">
        <f>A405+1</f>
        <v>32</v>
      </c>
      <c r="C406" s="165" t="s">
        <v>342</v>
      </c>
      <c r="E406" s="31">
        <f>'Sch3'!H64+'Sch3'!H73+'Sch3'!H200+'Sch3'!H209</f>
        <v>3260291.1</v>
      </c>
      <c r="F406" s="266">
        <f>ROUND(($G406/E406),4)</f>
        <v>1.5021</v>
      </c>
      <c r="G406" s="237">
        <f>ROUND(G$403*I406,0)</f>
        <v>4897200</v>
      </c>
      <c r="H406" s="154">
        <f>'Sch1'!F107+'Sch1'!F268</f>
        <v>4238052</v>
      </c>
      <c r="I406" s="138">
        <f>ROUND(H406/SUM(H$406:H$409),10)</f>
        <v>0.3702288306</v>
      </c>
      <c r="J406" s="255">
        <f>'Sch1'!E268</f>
        <v>1.2999000000000001</v>
      </c>
      <c r="K406" s="237">
        <f>G406-H406</f>
        <v>659148</v>
      </c>
      <c r="L406" s="138"/>
      <c r="M406" s="237"/>
    </row>
    <row r="407" spans="1:16" x14ac:dyDescent="0.2">
      <c r="A407" s="134">
        <f t="shared" ref="A407:A409" si="63">A406+1</f>
        <v>33</v>
      </c>
      <c r="C407" s="165" t="s">
        <v>339</v>
      </c>
      <c r="E407" s="31">
        <f>'Sch3'!H65+'Sch3'!H74+'Sch3'!H201+'Sch3'!H210</f>
        <v>4629000</v>
      </c>
      <c r="F407" s="266">
        <f>ROUND(($G407/E407),4)</f>
        <v>1.3323</v>
      </c>
      <c r="G407" s="237">
        <f t="shared" ref="G407:G409" si="64">ROUND(G$403*I407,0)</f>
        <v>6167342</v>
      </c>
      <c r="H407" s="154">
        <f>'Sch1'!F108+'Sch1'!F269</f>
        <v>5337237</v>
      </c>
      <c r="I407" s="138">
        <f t="shared" ref="I407:I408" si="65">ROUND(H407/SUM(H$406:H$409),10)</f>
        <v>0.46625171500000001</v>
      </c>
      <c r="J407" s="255">
        <f>'Sch1'!E269</f>
        <v>1.153</v>
      </c>
      <c r="K407" s="237">
        <f t="shared" ref="K407:K410" si="66">G407-H407</f>
        <v>830105</v>
      </c>
      <c r="L407" s="138"/>
      <c r="M407" s="254"/>
    </row>
    <row r="408" spans="1:16" x14ac:dyDescent="0.2">
      <c r="A408" s="134">
        <f t="shared" si="63"/>
        <v>34</v>
      </c>
      <c r="C408" s="165" t="s">
        <v>340</v>
      </c>
      <c r="E408" s="31">
        <f>'Sch3'!H66+'Sch3'!H75+'Sch3'!H202+'Sch3'!H211</f>
        <v>1214000</v>
      </c>
      <c r="F408" s="266">
        <f>ROUND(($G408/E408),4)</f>
        <v>1.1956</v>
      </c>
      <c r="G408" s="237">
        <f t="shared" si="64"/>
        <v>1451492</v>
      </c>
      <c r="H408" s="154">
        <f>'Sch1'!F109+'Sch1'!F270</f>
        <v>1256126</v>
      </c>
      <c r="I408" s="138">
        <f t="shared" si="65"/>
        <v>0.1097329764</v>
      </c>
      <c r="J408" s="255">
        <f>'Sch1'!E270</f>
        <v>1.0347</v>
      </c>
      <c r="K408" s="237">
        <f t="shared" si="66"/>
        <v>195366</v>
      </c>
      <c r="L408" s="138"/>
    </row>
    <row r="409" spans="1:16" ht="13.5" x14ac:dyDescent="0.35">
      <c r="A409" s="134">
        <f t="shared" si="63"/>
        <v>35</v>
      </c>
      <c r="C409" s="165" t="s">
        <v>286</v>
      </c>
      <c r="E409" s="31">
        <f>'Sch3'!H67+'Sch3'!H76+'Sch3'!H203+'Sch3'!H212</f>
        <v>1000000</v>
      </c>
      <c r="F409" s="266">
        <f>ROUND(($G409/E409),4)</f>
        <v>0.71150000000000002</v>
      </c>
      <c r="G409" s="245">
        <f t="shared" si="64"/>
        <v>711460</v>
      </c>
      <c r="H409" s="156">
        <f>'Sch1'!F110+'Sch1'!F271</f>
        <v>615700</v>
      </c>
      <c r="I409" s="244">
        <f>ROUND(H409/SUM(H$406:H$409),10)</f>
        <v>5.37864781E-2</v>
      </c>
      <c r="J409" s="255">
        <f>'Sch1'!E271</f>
        <v>0.61570000000000003</v>
      </c>
      <c r="K409" s="245">
        <f t="shared" si="66"/>
        <v>95760</v>
      </c>
      <c r="L409" s="244"/>
    </row>
    <row r="410" spans="1:16" x14ac:dyDescent="0.2">
      <c r="G410" s="230">
        <f>SUM(G406:G409)</f>
        <v>13227494</v>
      </c>
      <c r="H410" s="230">
        <f>SUM(H406:H409)</f>
        <v>11447115</v>
      </c>
      <c r="I410" s="246">
        <f>SUM(I405:I409)</f>
        <v>1.0000000001</v>
      </c>
      <c r="K410" s="230">
        <f t="shared" si="66"/>
        <v>1780379</v>
      </c>
    </row>
    <row r="411" spans="1:16" x14ac:dyDescent="0.2">
      <c r="A411" s="134">
        <f>A409+1</f>
        <v>36</v>
      </c>
      <c r="C411" s="153" t="s">
        <v>316</v>
      </c>
      <c r="K411" s="271">
        <f>K410+SUM(K399:K402)+K396</f>
        <v>2125538</v>
      </c>
      <c r="L411" s="237"/>
    </row>
    <row r="413" spans="1:16" x14ac:dyDescent="0.2">
      <c r="A413" s="225"/>
    </row>
    <row r="414" spans="1:16" x14ac:dyDescent="0.2">
      <c r="A414" s="353" t="str">
        <f>A1</f>
        <v>Columbia Gas of Pennsylvania, Inc.</v>
      </c>
      <c r="B414" s="353"/>
      <c r="C414" s="353"/>
      <c r="D414" s="353"/>
      <c r="E414" s="353"/>
      <c r="F414" s="353"/>
      <c r="G414" s="353"/>
      <c r="H414" s="353"/>
      <c r="I414" s="353"/>
      <c r="J414" s="353"/>
      <c r="K414" s="2" t="s">
        <v>257</v>
      </c>
    </row>
    <row r="415" spans="1:16" x14ac:dyDescent="0.2">
      <c r="A415" s="353" t="str">
        <f>A2</f>
        <v>Allocation of Proposed Annual Revenues by Rate Schedule Based on Revenue Requirement</v>
      </c>
      <c r="B415" s="353"/>
      <c r="C415" s="353"/>
      <c r="D415" s="353"/>
      <c r="E415" s="353"/>
      <c r="F415" s="353"/>
      <c r="G415" s="353"/>
      <c r="H415" s="353"/>
      <c r="I415" s="353"/>
      <c r="J415" s="353"/>
      <c r="K415" s="2" t="s">
        <v>535</v>
      </c>
    </row>
    <row r="416" spans="1:16" x14ac:dyDescent="0.2">
      <c r="A416" s="353" t="str">
        <f>A3</f>
        <v>For the 12 Months Ended December 31, 2019</v>
      </c>
      <c r="B416" s="353"/>
      <c r="C416" s="353"/>
      <c r="D416" s="353"/>
      <c r="E416" s="353"/>
      <c r="F416" s="353"/>
      <c r="G416" s="353"/>
      <c r="H416" s="353"/>
      <c r="I416" s="353"/>
      <c r="J416" s="353"/>
      <c r="K416" s="2" t="s">
        <v>609</v>
      </c>
    </row>
    <row r="417" spans="1:11" x14ac:dyDescent="0.2">
      <c r="A417" s="351"/>
      <c r="B417" s="351"/>
      <c r="C417" s="351"/>
      <c r="D417" s="351"/>
      <c r="E417" s="351"/>
      <c r="F417" s="351"/>
      <c r="G417" s="351"/>
      <c r="H417" s="351"/>
      <c r="I417" s="351"/>
      <c r="J417" s="351"/>
      <c r="K417" s="2" t="str">
        <f>K4</f>
        <v>Witness: P. A. Strauss</v>
      </c>
    </row>
    <row r="418" spans="1:11" x14ac:dyDescent="0.2">
      <c r="A418" s="351"/>
      <c r="B418" s="351"/>
      <c r="C418" s="351"/>
      <c r="D418" s="351"/>
      <c r="E418" s="351"/>
      <c r="F418" s="351"/>
      <c r="G418" s="351"/>
      <c r="H418" s="351"/>
      <c r="I418" s="351"/>
      <c r="J418" s="351"/>
      <c r="K418" s="351"/>
    </row>
    <row r="419" spans="1:11" x14ac:dyDescent="0.2">
      <c r="I419" s="351" t="s">
        <v>331</v>
      </c>
      <c r="K419" s="351"/>
    </row>
    <row r="420" spans="1:11" x14ac:dyDescent="0.2">
      <c r="A420" s="351" t="s">
        <v>3</v>
      </c>
      <c r="D420" s="351"/>
      <c r="E420" s="351"/>
      <c r="F420" s="351" t="s">
        <v>180</v>
      </c>
      <c r="G420" s="351" t="s">
        <v>180</v>
      </c>
      <c r="H420" s="351" t="s">
        <v>272</v>
      </c>
      <c r="I420" s="351" t="s">
        <v>335</v>
      </c>
      <c r="J420" s="351" t="s">
        <v>310</v>
      </c>
      <c r="K420" s="351" t="s">
        <v>180</v>
      </c>
    </row>
    <row r="421" spans="1:11" x14ac:dyDescent="0.2">
      <c r="A421" s="172" t="s">
        <v>6</v>
      </c>
      <c r="D421" s="172" t="s">
        <v>35</v>
      </c>
      <c r="E421" s="172" t="s">
        <v>254</v>
      </c>
      <c r="F421" s="172" t="s">
        <v>2</v>
      </c>
      <c r="G421" s="172" t="s">
        <v>31</v>
      </c>
      <c r="H421" s="172" t="s">
        <v>31</v>
      </c>
      <c r="I421" s="172" t="s">
        <v>31</v>
      </c>
      <c r="J421" s="172" t="s">
        <v>2</v>
      </c>
      <c r="K421" s="172" t="s">
        <v>311</v>
      </c>
    </row>
    <row r="422" spans="1:11" x14ac:dyDescent="0.2">
      <c r="F422" s="351" t="s">
        <v>33</v>
      </c>
      <c r="G422" s="351" t="s">
        <v>33</v>
      </c>
      <c r="H422" s="351" t="s">
        <v>33</v>
      </c>
      <c r="I422" s="351" t="s">
        <v>199</v>
      </c>
      <c r="J422" s="351" t="s">
        <v>33</v>
      </c>
      <c r="K422" s="351" t="s">
        <v>33</v>
      </c>
    </row>
    <row r="423" spans="1:11" x14ac:dyDescent="0.2">
      <c r="F423" s="351"/>
      <c r="G423" s="351"/>
      <c r="H423" s="351"/>
      <c r="I423" s="351"/>
      <c r="J423" s="351"/>
      <c r="K423" s="351"/>
    </row>
    <row r="425" spans="1:11" x14ac:dyDescent="0.2">
      <c r="A425" s="134">
        <v>1</v>
      </c>
      <c r="C425" s="6" t="s">
        <v>518</v>
      </c>
    </row>
    <row r="427" spans="1:11" x14ac:dyDescent="0.2">
      <c r="A427" s="134">
        <f>A425+1</f>
        <v>2</v>
      </c>
      <c r="C427" s="153" t="s">
        <v>312</v>
      </c>
      <c r="G427" s="230">
        <f>F17+F25+F26</f>
        <v>1472069</v>
      </c>
    </row>
    <row r="428" spans="1:11" x14ac:dyDescent="0.2">
      <c r="A428" s="134">
        <f>A427+1</f>
        <v>3</v>
      </c>
      <c r="B428" s="153" t="s">
        <v>303</v>
      </c>
      <c r="C428" s="153" t="s">
        <v>151</v>
      </c>
      <c r="G428" s="154">
        <f>'Sch1'!F290+'Sch1'!F89+'Sch1'!F317</f>
        <v>0</v>
      </c>
    </row>
    <row r="429" spans="1:11" x14ac:dyDescent="0.2">
      <c r="A429" s="134">
        <f>A428+1</f>
        <v>4</v>
      </c>
      <c r="B429" s="153" t="s">
        <v>303</v>
      </c>
      <c r="C429" s="153" t="s">
        <v>313</v>
      </c>
      <c r="G429" s="154">
        <f>'Sch1'!F91+'Sch1'!F92</f>
        <v>268017</v>
      </c>
    </row>
    <row r="430" spans="1:11" x14ac:dyDescent="0.2">
      <c r="A430" s="134">
        <f>A429+1</f>
        <v>5</v>
      </c>
      <c r="B430" s="153" t="s">
        <v>314</v>
      </c>
      <c r="C430" s="153" t="s">
        <v>315</v>
      </c>
      <c r="G430" s="156">
        <f>J240</f>
        <v>42178</v>
      </c>
    </row>
    <row r="431" spans="1:11" x14ac:dyDescent="0.2">
      <c r="A431" s="134">
        <f t="shared" ref="A431:A439" si="67">A430+1</f>
        <v>6</v>
      </c>
      <c r="C431" s="153" t="s">
        <v>308</v>
      </c>
      <c r="G431" s="230">
        <f>G427-G428-G429+G430</f>
        <v>1246230</v>
      </c>
    </row>
    <row r="432" spans="1:11" x14ac:dyDescent="0.2">
      <c r="A432" s="134">
        <f t="shared" si="67"/>
        <v>7</v>
      </c>
      <c r="B432" s="153" t="s">
        <v>303</v>
      </c>
      <c r="C432" s="153" t="s">
        <v>645</v>
      </c>
      <c r="D432" s="154">
        <f>ROUND((11-1)*12,0)</f>
        <v>120</v>
      </c>
      <c r="F432" s="365">
        <v>351.52</v>
      </c>
      <c r="G432" s="248">
        <f>ROUND(F432*D432,0)</f>
        <v>42182</v>
      </c>
      <c r="H432" s="154">
        <v>0</v>
      </c>
      <c r="I432" s="246"/>
      <c r="J432" s="66">
        <v>0</v>
      </c>
      <c r="K432" s="237">
        <f>G432-H432</f>
        <v>42182</v>
      </c>
    </row>
    <row r="433" spans="1:11" x14ac:dyDescent="0.2">
      <c r="A433" s="134">
        <f t="shared" si="67"/>
        <v>8</v>
      </c>
      <c r="B433" s="153" t="s">
        <v>303</v>
      </c>
      <c r="C433" s="153" t="s">
        <v>372</v>
      </c>
      <c r="G433" s="248">
        <f>'Sch1'!F291+'Sch1'!F318</f>
        <v>848996</v>
      </c>
    </row>
    <row r="434" spans="1:11" x14ac:dyDescent="0.2">
      <c r="A434" s="134">
        <f t="shared" si="67"/>
        <v>9</v>
      </c>
      <c r="B434" s="153" t="s">
        <v>303</v>
      </c>
      <c r="C434" s="153" t="s">
        <v>514</v>
      </c>
    </row>
    <row r="435" spans="1:11" x14ac:dyDescent="0.2">
      <c r="A435" s="134">
        <f t="shared" si="67"/>
        <v>10</v>
      </c>
      <c r="C435" s="165" t="s">
        <v>343</v>
      </c>
      <c r="D435" s="154">
        <f>'Sch2'!I227+'Sch2'!I239</f>
        <v>12</v>
      </c>
      <c r="F435" s="267">
        <f>J435</f>
        <v>469.34</v>
      </c>
      <c r="G435" s="20">
        <f>ROUND(F435*D435,0)</f>
        <v>5632</v>
      </c>
      <c r="H435" s="154">
        <f>'Sch1'!F281</f>
        <v>5632</v>
      </c>
      <c r="J435" s="66">
        <f>'Sch1'!E281</f>
        <v>469.34</v>
      </c>
      <c r="K435" s="154">
        <f>G435-H435</f>
        <v>0</v>
      </c>
    </row>
    <row r="436" spans="1:11" x14ac:dyDescent="0.2">
      <c r="A436" s="134">
        <f t="shared" si="67"/>
        <v>11</v>
      </c>
      <c r="C436" s="165" t="s">
        <v>344</v>
      </c>
      <c r="D436" s="154">
        <f>'Sch2'!I59+'Sch2'!I228+'Sch2'!I240</f>
        <v>38</v>
      </c>
      <c r="F436" s="267">
        <f>J436</f>
        <v>1149</v>
      </c>
      <c r="G436" s="20">
        <f t="shared" ref="G436:G439" si="68">ROUND(F436*D436,0)</f>
        <v>43662</v>
      </c>
      <c r="H436" s="154">
        <f>'Sch1'!F282+'Sch1'!F85</f>
        <v>43662</v>
      </c>
      <c r="J436" s="66">
        <f>'Sch1'!E282</f>
        <v>1149</v>
      </c>
      <c r="K436" s="154">
        <f t="shared" ref="K436:K439" si="69">G436-H436</f>
        <v>0</v>
      </c>
    </row>
    <row r="437" spans="1:11" x14ac:dyDescent="0.2">
      <c r="A437" s="134">
        <f t="shared" si="67"/>
        <v>12</v>
      </c>
      <c r="C437" s="165" t="s">
        <v>339</v>
      </c>
      <c r="D437" s="154">
        <f>'Sch2'!I229+'Sch2'!I241</f>
        <v>24</v>
      </c>
      <c r="F437" s="267">
        <f t="shared" ref="F437:F439" si="70">J437</f>
        <v>2050</v>
      </c>
      <c r="G437" s="20">
        <f t="shared" si="68"/>
        <v>49200</v>
      </c>
      <c r="H437" s="154">
        <f>'Sch1'!F283</f>
        <v>49200</v>
      </c>
      <c r="J437" s="66">
        <f>'Sch1'!E283</f>
        <v>2050</v>
      </c>
      <c r="K437" s="154">
        <f t="shared" si="69"/>
        <v>0</v>
      </c>
    </row>
    <row r="438" spans="1:11" x14ac:dyDescent="0.2">
      <c r="A438" s="134">
        <f t="shared" si="67"/>
        <v>13</v>
      </c>
      <c r="C438" s="165" t="s">
        <v>340</v>
      </c>
      <c r="D438" s="154">
        <f>'Sch2'!I230+'Sch2'!I242</f>
        <v>0</v>
      </c>
      <c r="F438" s="267">
        <f t="shared" si="70"/>
        <v>4096</v>
      </c>
      <c r="G438" s="20">
        <f t="shared" si="68"/>
        <v>0</v>
      </c>
      <c r="H438" s="154">
        <f>'Sch1'!F284</f>
        <v>0</v>
      </c>
      <c r="J438" s="66">
        <f>'Sch1'!E284</f>
        <v>4096</v>
      </c>
      <c r="K438" s="154">
        <f t="shared" si="69"/>
        <v>0</v>
      </c>
    </row>
    <row r="439" spans="1:11" x14ac:dyDescent="0.2">
      <c r="A439" s="134">
        <f t="shared" si="67"/>
        <v>14</v>
      </c>
      <c r="C439" s="165" t="s">
        <v>286</v>
      </c>
      <c r="D439" s="154">
        <f>'Sch2'!I231+'Sch2'!I243</f>
        <v>12</v>
      </c>
      <c r="F439" s="267">
        <f t="shared" si="70"/>
        <v>7322</v>
      </c>
      <c r="G439" s="20">
        <f t="shared" si="68"/>
        <v>87864</v>
      </c>
      <c r="H439" s="154">
        <f>'Sch1'!F285</f>
        <v>87864</v>
      </c>
      <c r="J439" s="66">
        <f>'Sch1'!E285</f>
        <v>7322</v>
      </c>
      <c r="K439" s="154">
        <f t="shared" si="69"/>
        <v>0</v>
      </c>
    </row>
    <row r="440" spans="1:11" ht="13.5" x14ac:dyDescent="0.35">
      <c r="C440" s="165"/>
      <c r="D440" s="154"/>
      <c r="F440" s="267"/>
      <c r="G440" s="256"/>
      <c r="H440" s="154"/>
      <c r="J440" s="66"/>
      <c r="K440" s="154"/>
    </row>
    <row r="441" spans="1:11" x14ac:dyDescent="0.2">
      <c r="A441" s="134">
        <f>A439+1</f>
        <v>15</v>
      </c>
      <c r="B441" s="153" t="s">
        <v>303</v>
      </c>
      <c r="C441" s="153" t="s">
        <v>515</v>
      </c>
      <c r="F441" s="66"/>
    </row>
    <row r="442" spans="1:11" x14ac:dyDescent="0.2">
      <c r="A442" s="134">
        <f>A441+1</f>
        <v>16</v>
      </c>
      <c r="C442" s="165" t="s">
        <v>452</v>
      </c>
      <c r="D442" s="154">
        <f>'Sch2'!I277</f>
        <v>0</v>
      </c>
      <c r="F442" s="267">
        <f>F437</f>
        <v>2050</v>
      </c>
      <c r="G442" s="20">
        <f>ROUND(F442*D442,0)</f>
        <v>0</v>
      </c>
      <c r="H442" s="154">
        <f>'Sch1'!F307</f>
        <v>0</v>
      </c>
      <c r="J442" s="66">
        <f>'Sch1'!E307</f>
        <v>2050</v>
      </c>
      <c r="K442" s="237">
        <f>G442-H442</f>
        <v>0</v>
      </c>
    </row>
    <row r="443" spans="1:11" x14ac:dyDescent="0.2">
      <c r="A443" s="134">
        <f t="shared" ref="A443:A445" si="71">A442+1</f>
        <v>17</v>
      </c>
      <c r="C443" s="165" t="s">
        <v>340</v>
      </c>
      <c r="D443" s="154">
        <f>'Sch2'!I278</f>
        <v>36</v>
      </c>
      <c r="F443" s="267">
        <f t="shared" ref="F443:F444" si="72">F438</f>
        <v>4096</v>
      </c>
      <c r="G443" s="20">
        <f>ROUND(F443*D443,0)</f>
        <v>147456</v>
      </c>
      <c r="H443" s="154">
        <f>'Sch1'!F308</f>
        <v>147456</v>
      </c>
      <c r="J443" s="66">
        <f>'Sch1'!E308</f>
        <v>4096</v>
      </c>
      <c r="K443" s="237">
        <f>G443-H443</f>
        <v>0</v>
      </c>
    </row>
    <row r="444" spans="1:11" ht="13.5" x14ac:dyDescent="0.35">
      <c r="A444" s="134">
        <f t="shared" si="71"/>
        <v>18</v>
      </c>
      <c r="C444" s="165" t="s">
        <v>286</v>
      </c>
      <c r="D444" s="154">
        <f>'Sch2'!I279</f>
        <v>0</v>
      </c>
      <c r="F444" s="267">
        <f t="shared" si="72"/>
        <v>7322</v>
      </c>
      <c r="G444" s="256">
        <f>ROUND(F444*D444,0)</f>
        <v>0</v>
      </c>
      <c r="H444" s="154">
        <f>'Sch1'!F309</f>
        <v>0</v>
      </c>
      <c r="J444" s="66">
        <f>'Sch1'!E309</f>
        <v>7322</v>
      </c>
      <c r="K444" s="237">
        <f>G444-H444</f>
        <v>0</v>
      </c>
    </row>
    <row r="445" spans="1:11" x14ac:dyDescent="0.2">
      <c r="A445" s="134">
        <f t="shared" si="71"/>
        <v>19</v>
      </c>
      <c r="C445" s="153" t="s">
        <v>450</v>
      </c>
      <c r="G445" s="230">
        <f>G431-SUM(G432:G444)+4</f>
        <v>21242</v>
      </c>
    </row>
    <row r="447" spans="1:11" x14ac:dyDescent="0.2">
      <c r="A447" s="134">
        <f>A445+1</f>
        <v>20</v>
      </c>
      <c r="C447" s="153" t="s">
        <v>516</v>
      </c>
      <c r="E447" s="31">
        <f>'Sch3'!H222+'Sch3'!H228+'Sch3'!H50+'Sch3'!H55</f>
        <v>226700</v>
      </c>
      <c r="F447" s="252">
        <f>ROUND(G447/E447,4)</f>
        <v>9.3700000000000006E-2</v>
      </c>
      <c r="G447" s="154">
        <f>ROUND(G445*I447,0)</f>
        <v>21242</v>
      </c>
      <c r="H447" s="154">
        <f>'Sch1'!F87+'Sch1'!F288</f>
        <v>21242</v>
      </c>
      <c r="I447" s="138">
        <f>ROUND(H447/SUM(H$447:H$452),10)</f>
        <v>1</v>
      </c>
      <c r="J447" s="153">
        <f>'Sch1'!E288</f>
        <v>9.3700000000000006E-2</v>
      </c>
      <c r="K447" s="237">
        <f>G447-H447</f>
        <v>0</v>
      </c>
    </row>
    <row r="448" spans="1:11" x14ac:dyDescent="0.2">
      <c r="E448" s="31"/>
      <c r="F448" s="252"/>
      <c r="G448" s="154"/>
      <c r="H448" s="154"/>
      <c r="K448" s="237"/>
    </row>
    <row r="449" spans="1:11" x14ac:dyDescent="0.2">
      <c r="A449" s="134">
        <f>A447+1</f>
        <v>21</v>
      </c>
      <c r="C449" s="153" t="s">
        <v>517</v>
      </c>
      <c r="E449" s="31"/>
      <c r="F449" s="252"/>
      <c r="G449" s="154"/>
      <c r="H449" s="154"/>
      <c r="K449" s="237"/>
    </row>
    <row r="450" spans="1:11" x14ac:dyDescent="0.2">
      <c r="A450" s="134">
        <f>A449+1</f>
        <v>22</v>
      </c>
      <c r="C450" s="165" t="s">
        <v>452</v>
      </c>
      <c r="E450" s="31">
        <f>'Sch3'!H257</f>
        <v>0</v>
      </c>
      <c r="F450" s="252">
        <f>ROUND(J450*(G445/SUM(H447:H452)),4)</f>
        <v>0.44790000000000002</v>
      </c>
      <c r="G450" s="154">
        <f>ROUND(G445*I450,0)</f>
        <v>0</v>
      </c>
      <c r="H450" s="154">
        <f>'Sch1'!F312</f>
        <v>0</v>
      </c>
      <c r="I450" s="138">
        <f>ROUND(H450/SUM(H$447:H$452),10)</f>
        <v>0</v>
      </c>
      <c r="J450" s="153">
        <f>'Sch1'!E312</f>
        <v>0.44790000000000002</v>
      </c>
      <c r="K450" s="154">
        <f t="shared" ref="K450:K452" si="73">G450-H450</f>
        <v>0</v>
      </c>
    </row>
    <row r="451" spans="1:11" x14ac:dyDescent="0.2">
      <c r="A451" s="134">
        <f t="shared" ref="A451:A453" si="74">A450+1</f>
        <v>23</v>
      </c>
      <c r="C451" s="174" t="s">
        <v>283</v>
      </c>
      <c r="E451" s="31">
        <f>'Sch3'!H258</f>
        <v>0</v>
      </c>
      <c r="F451" s="252">
        <f>ROUND(J451*(G445/SUM(H447:H452)),4)</f>
        <v>0.38740000000000002</v>
      </c>
      <c r="G451" s="154">
        <f>ROUND(G445*I451,0)</f>
        <v>0</v>
      </c>
      <c r="H451" s="154">
        <f>'Sch1'!F313</f>
        <v>0</v>
      </c>
      <c r="I451" s="138">
        <f>ROUND(H451/SUM(H$447:H$452),10)</f>
        <v>0</v>
      </c>
      <c r="J451" s="153">
        <f>'Sch1'!E313</f>
        <v>0.38740000000000002</v>
      </c>
      <c r="K451" s="154">
        <f t="shared" si="73"/>
        <v>0</v>
      </c>
    </row>
    <row r="452" spans="1:11" x14ac:dyDescent="0.2">
      <c r="A452" s="134">
        <f t="shared" si="74"/>
        <v>24</v>
      </c>
      <c r="C452" s="174" t="s">
        <v>286</v>
      </c>
      <c r="E452" s="31">
        <f>'Sch3'!H259</f>
        <v>0</v>
      </c>
      <c r="F452" s="252">
        <f>ROUND(J452*(G445/SUM(H447:H452)),4)</f>
        <v>0.33550000000000002</v>
      </c>
      <c r="G452" s="154">
        <f>ROUND(G445*I452,0)</f>
        <v>0</v>
      </c>
      <c r="H452" s="154">
        <f>'Sch1'!F314</f>
        <v>0</v>
      </c>
      <c r="I452" s="244">
        <f>ROUND(H452/SUM(H$447:H$452),10)</f>
        <v>0</v>
      </c>
      <c r="J452" s="153">
        <f>'Sch1'!E314</f>
        <v>0.33550000000000002</v>
      </c>
      <c r="K452" s="154">
        <f t="shared" si="73"/>
        <v>0</v>
      </c>
    </row>
    <row r="453" spans="1:11" x14ac:dyDescent="0.2">
      <c r="A453" s="134">
        <f t="shared" si="74"/>
        <v>25</v>
      </c>
      <c r="I453" s="246">
        <f>SUM(I447:I452)</f>
        <v>1</v>
      </c>
    </row>
    <row r="454" spans="1:11" x14ac:dyDescent="0.2">
      <c r="I454" s="246"/>
    </row>
    <row r="455" spans="1:11" x14ac:dyDescent="0.2">
      <c r="A455" s="134">
        <f>A453+1</f>
        <v>26</v>
      </c>
      <c r="C455" s="153" t="s">
        <v>316</v>
      </c>
      <c r="K455" s="247">
        <f>SUM(K432:K452)</f>
        <v>42182</v>
      </c>
    </row>
    <row r="456" spans="1:11" x14ac:dyDescent="0.2">
      <c r="K456" s="247"/>
    </row>
  </sheetData>
  <mergeCells count="32">
    <mergeCell ref="A113:J113"/>
    <mergeCell ref="A322:J322"/>
    <mergeCell ref="A1:J1"/>
    <mergeCell ref="A2:J2"/>
    <mergeCell ref="A3:J3"/>
    <mergeCell ref="A249:J249"/>
    <mergeCell ref="A250:J250"/>
    <mergeCell ref="A63:J63"/>
    <mergeCell ref="A64:J64"/>
    <mergeCell ref="A65:J65"/>
    <mergeCell ref="A210:J210"/>
    <mergeCell ref="A211:J211"/>
    <mergeCell ref="A212:J212"/>
    <mergeCell ref="A159:J159"/>
    <mergeCell ref="A160:J160"/>
    <mergeCell ref="A161:J161"/>
    <mergeCell ref="L42:O42"/>
    <mergeCell ref="Q42:T42"/>
    <mergeCell ref="A416:J416"/>
    <mergeCell ref="A359:J359"/>
    <mergeCell ref="A360:J360"/>
    <mergeCell ref="A361:J361"/>
    <mergeCell ref="A251:J251"/>
    <mergeCell ref="A282:J282"/>
    <mergeCell ref="A283:J283"/>
    <mergeCell ref="A284:J284"/>
    <mergeCell ref="A414:J414"/>
    <mergeCell ref="A415:J415"/>
    <mergeCell ref="A320:J320"/>
    <mergeCell ref="A321:J321"/>
    <mergeCell ref="A111:J111"/>
    <mergeCell ref="A112:J112"/>
  </mergeCells>
  <printOptions horizontalCentered="1"/>
  <pageMargins left="0" right="0" top="0.6" bottom="0.5" header="0.5" footer="0.3"/>
  <pageSetup scale="77" fitToHeight="0" orientation="landscape" r:id="rId1"/>
  <rowBreaks count="9" manualBreakCount="9">
    <brk id="62" max="10" man="1"/>
    <brk id="110" max="10" man="1"/>
    <brk id="158" max="10" man="1"/>
    <brk id="209" max="10" man="1"/>
    <brk id="248" max="10" man="1"/>
    <brk id="281" max="10" man="1"/>
    <brk id="319" max="10" man="1"/>
    <brk id="358" max="10" man="1"/>
    <brk id="41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 codeName="Sheet14">
    <tabColor rgb="FF92D050"/>
  </sheetPr>
  <dimension ref="A1:M97"/>
  <sheetViews>
    <sheetView zoomScaleNormal="100" zoomScaleSheetLayoutView="100" workbookViewId="0">
      <selection activeCell="K18" sqref="K18"/>
    </sheetView>
  </sheetViews>
  <sheetFormatPr defaultColWidth="10" defaultRowHeight="11.25" x14ac:dyDescent="0.2"/>
  <cols>
    <col min="1" max="1" width="5.59765625" style="134" customWidth="1"/>
    <col min="2" max="2" width="5.796875" style="3" customWidth="1"/>
    <col min="3" max="3" width="32.796875" style="3" customWidth="1"/>
    <col min="4" max="4" width="21" style="3" bestFit="1" customWidth="1"/>
    <col min="5" max="7" width="17.59765625" style="3" bestFit="1" customWidth="1"/>
    <col min="8" max="8" width="19" style="3" bestFit="1" customWidth="1"/>
    <col min="9" max="9" width="17" style="153" bestFit="1" customWidth="1"/>
    <col min="10" max="10" width="20.796875" style="3" customWidth="1"/>
    <col min="11" max="11" width="20" style="3" bestFit="1" customWidth="1"/>
    <col min="12" max="12" width="24.796875" style="3" customWidth="1"/>
    <col min="13" max="13" width="11.796875" style="3" bestFit="1" customWidth="1"/>
    <col min="14" max="14" width="13" style="3" bestFit="1" customWidth="1"/>
    <col min="15" max="15" width="14.3984375" style="3" bestFit="1" customWidth="1"/>
    <col min="16" max="16384" width="10" style="3"/>
  </cols>
  <sheetData>
    <row r="1" spans="1:11" x14ac:dyDescent="0.2">
      <c r="A1" s="353" t="str">
        <f>coname</f>
        <v>Columbia Gas of Pennsylvania, Inc.</v>
      </c>
      <c r="B1" s="353"/>
      <c r="C1" s="353"/>
      <c r="D1" s="353"/>
      <c r="E1" s="353"/>
      <c r="F1" s="353"/>
      <c r="G1" s="353"/>
      <c r="H1" s="353"/>
      <c r="I1" s="353"/>
      <c r="J1" s="353"/>
      <c r="K1" s="2" t="str">
        <f>adjno</f>
        <v>Exhibit No. 103</v>
      </c>
    </row>
    <row r="2" spans="1:11" x14ac:dyDescent="0.2">
      <c r="A2" s="353" t="s">
        <v>256</v>
      </c>
      <c r="B2" s="353"/>
      <c r="C2" s="353"/>
      <c r="D2" s="353"/>
      <c r="E2" s="353"/>
      <c r="F2" s="353"/>
      <c r="G2" s="353"/>
      <c r="H2" s="353"/>
      <c r="I2" s="353"/>
      <c r="J2" s="353"/>
      <c r="K2" s="2" t="s">
        <v>446</v>
      </c>
    </row>
    <row r="3" spans="1:11" x14ac:dyDescent="0.2">
      <c r="A3" s="353" t="str">
        <f>TYDESC</f>
        <v>For the 12 Months Ended December 31, 2019</v>
      </c>
      <c r="B3" s="353"/>
      <c r="C3" s="353"/>
      <c r="D3" s="353"/>
      <c r="E3" s="353"/>
      <c r="F3" s="353"/>
      <c r="G3" s="353"/>
      <c r="H3" s="353"/>
      <c r="I3" s="353"/>
      <c r="J3" s="353"/>
      <c r="K3" s="4" t="str">
        <f>'Sch1'!$G$4</f>
        <v>Witness: D. Joe Mays</v>
      </c>
    </row>
    <row r="4" spans="1:11" x14ac:dyDescent="0.2">
      <c r="B4" s="153"/>
      <c r="C4" s="153"/>
      <c r="D4" s="153"/>
      <c r="E4" s="153"/>
      <c r="F4" s="153"/>
      <c r="G4" s="153"/>
      <c r="H4" s="153"/>
      <c r="J4" s="153"/>
      <c r="K4" s="153"/>
    </row>
    <row r="5" spans="1:11" x14ac:dyDescent="0.2">
      <c r="A5" s="219"/>
      <c r="B5" s="6"/>
      <c r="C5" s="6"/>
      <c r="E5" s="131" t="s">
        <v>266</v>
      </c>
      <c r="F5" s="131" t="s">
        <v>266</v>
      </c>
      <c r="G5" s="171" t="s">
        <v>266</v>
      </c>
      <c r="H5" s="131" t="s">
        <v>266</v>
      </c>
      <c r="I5" s="210" t="s">
        <v>266</v>
      </c>
    </row>
    <row r="6" spans="1:11" x14ac:dyDescent="0.2">
      <c r="A6" s="219" t="s">
        <v>3</v>
      </c>
      <c r="B6" s="1" t="s">
        <v>70</v>
      </c>
      <c r="C6" s="6"/>
      <c r="D6" s="131" t="s">
        <v>265</v>
      </c>
      <c r="E6" s="238" t="s">
        <v>525</v>
      </c>
      <c r="F6" s="238" t="s">
        <v>525</v>
      </c>
      <c r="G6" s="238" t="s">
        <v>525</v>
      </c>
      <c r="H6" s="238" t="s">
        <v>525</v>
      </c>
      <c r="I6" s="238" t="s">
        <v>525</v>
      </c>
      <c r="J6" s="1" t="s">
        <v>22</v>
      </c>
      <c r="K6" s="1"/>
    </row>
    <row r="7" spans="1:11" x14ac:dyDescent="0.2">
      <c r="A7" s="172" t="s">
        <v>6</v>
      </c>
      <c r="B7" s="7" t="s">
        <v>72</v>
      </c>
      <c r="C7" s="7" t="s">
        <v>7</v>
      </c>
      <c r="D7" s="131" t="s">
        <v>525</v>
      </c>
      <c r="E7" s="131" t="s">
        <v>213</v>
      </c>
      <c r="F7" s="131" t="s">
        <v>165</v>
      </c>
      <c r="G7" s="171" t="s">
        <v>375</v>
      </c>
      <c r="H7" s="131" t="s">
        <v>389</v>
      </c>
      <c r="I7" s="210" t="s">
        <v>165</v>
      </c>
      <c r="J7" s="1" t="s">
        <v>71</v>
      </c>
      <c r="K7" s="1" t="s">
        <v>69</v>
      </c>
    </row>
    <row r="8" spans="1:11" x14ac:dyDescent="0.2">
      <c r="A8" s="219"/>
      <c r="B8" s="6"/>
      <c r="C8" s="6"/>
      <c r="D8" s="132" t="s">
        <v>213</v>
      </c>
      <c r="E8" s="132" t="s">
        <v>66</v>
      </c>
      <c r="F8" s="132" t="s">
        <v>235</v>
      </c>
      <c r="G8" s="172" t="s">
        <v>376</v>
      </c>
      <c r="H8" s="132" t="s">
        <v>388</v>
      </c>
      <c r="I8" s="172" t="s">
        <v>442</v>
      </c>
      <c r="J8" s="7" t="s">
        <v>73</v>
      </c>
      <c r="K8" s="7" t="s">
        <v>239</v>
      </c>
    </row>
    <row r="9" spans="1:11" x14ac:dyDescent="0.2">
      <c r="D9" s="131" t="s">
        <v>12</v>
      </c>
      <c r="E9" s="133" t="s">
        <v>13</v>
      </c>
      <c r="F9" s="133" t="s">
        <v>32</v>
      </c>
      <c r="G9" s="173" t="s">
        <v>14</v>
      </c>
      <c r="H9" s="133" t="s">
        <v>15</v>
      </c>
      <c r="I9" s="211" t="s">
        <v>16</v>
      </c>
      <c r="J9" s="326" t="s">
        <v>599</v>
      </c>
      <c r="K9" s="326" t="s">
        <v>598</v>
      </c>
    </row>
    <row r="10" spans="1:11" x14ac:dyDescent="0.2">
      <c r="D10" s="5"/>
      <c r="E10" s="9" t="s">
        <v>390</v>
      </c>
      <c r="F10" s="9" t="s">
        <v>420</v>
      </c>
      <c r="G10" s="9" t="s">
        <v>420</v>
      </c>
      <c r="H10" s="9" t="s">
        <v>420</v>
      </c>
      <c r="I10" s="9"/>
      <c r="J10" s="10"/>
      <c r="K10" s="9" t="s">
        <v>274</v>
      </c>
    </row>
    <row r="11" spans="1:11" x14ac:dyDescent="0.2">
      <c r="A11" s="134">
        <v>1</v>
      </c>
      <c r="B11" s="6" t="s">
        <v>74</v>
      </c>
      <c r="G11" s="153"/>
    </row>
    <row r="12" spans="1:11" x14ac:dyDescent="0.2">
      <c r="G12" s="153"/>
    </row>
    <row r="13" spans="1:11" x14ac:dyDescent="0.2">
      <c r="A13" s="134">
        <f>A11+1</f>
        <v>2</v>
      </c>
      <c r="B13" s="5" t="s">
        <v>75</v>
      </c>
      <c r="C13" s="3" t="s">
        <v>76</v>
      </c>
      <c r="D13" s="200">
        <v>355546720</v>
      </c>
      <c r="E13" s="36">
        <f>'Sch5'!C13*-1</f>
        <v>-113274221</v>
      </c>
      <c r="F13" s="36">
        <f>'Sch6'!C26*-1</f>
        <v>-22847467</v>
      </c>
      <c r="G13" s="36">
        <f>'Sch6'!C15*-1</f>
        <v>-1903837</v>
      </c>
      <c r="H13" s="36">
        <f>'Sch6'!C27*-1</f>
        <v>-1134084</v>
      </c>
      <c r="I13" s="36">
        <f>'Sch6'!C16*-1</f>
        <v>-24880</v>
      </c>
      <c r="J13" s="36">
        <f>K13-(SUM(D13:I13))</f>
        <v>1247484</v>
      </c>
      <c r="K13" s="36">
        <f>'Sch1'!F122+'Sch1'!F123</f>
        <v>217609715</v>
      </c>
    </row>
    <row r="14" spans="1:11" x14ac:dyDescent="0.2">
      <c r="A14" s="134">
        <f>A13+1</f>
        <v>3</v>
      </c>
      <c r="B14" s="5" t="s">
        <v>77</v>
      </c>
      <c r="C14" s="3" t="s">
        <v>373</v>
      </c>
      <c r="D14" s="200">
        <v>82886565</v>
      </c>
      <c r="E14" s="36">
        <f>'Sch5'!C15*-1</f>
        <v>-39082365</v>
      </c>
      <c r="F14" s="35">
        <v>0</v>
      </c>
      <c r="G14" s="36">
        <f>'Sch6'!C21*-1</f>
        <v>-652366</v>
      </c>
      <c r="H14" s="36">
        <f>'Sch6'!C31*-1</f>
        <v>-75139</v>
      </c>
      <c r="I14" s="36">
        <f>'Sch6'!C22*-1</f>
        <v>-8637</v>
      </c>
      <c r="J14" s="36">
        <f>K14-(SUM(D14:I14))</f>
        <v>984626</v>
      </c>
      <c r="K14" s="36">
        <f>'Sch1'!F131+'Sch1'!F132+'Sch1'!F139+'Sch1'!F140+'Sch1'!F144+'Sch1'!F145</f>
        <v>44052684</v>
      </c>
    </row>
    <row r="15" spans="1:11" x14ac:dyDescent="0.2">
      <c r="A15" s="134">
        <f>A14+1</f>
        <v>4</v>
      </c>
      <c r="B15" s="5" t="s">
        <v>77</v>
      </c>
      <c r="C15" s="3" t="s">
        <v>108</v>
      </c>
      <c r="D15" s="201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39">
        <f>SUM(D15:J15)</f>
        <v>0</v>
      </c>
    </row>
    <row r="16" spans="1:11" x14ac:dyDescent="0.2">
      <c r="A16" s="134">
        <f>A15+1</f>
        <v>5</v>
      </c>
      <c r="B16" s="6" t="s">
        <v>78</v>
      </c>
      <c r="D16" s="36">
        <f t="shared" ref="D16:K16" si="0">SUM(D13:D15)</f>
        <v>438433285</v>
      </c>
      <c r="E16" s="36">
        <f t="shared" si="0"/>
        <v>-152356586</v>
      </c>
      <c r="F16" s="36">
        <f t="shared" si="0"/>
        <v>-22847467</v>
      </c>
      <c r="G16" s="36">
        <f t="shared" si="0"/>
        <v>-2556203</v>
      </c>
      <c r="H16" s="36">
        <f t="shared" si="0"/>
        <v>-1209223</v>
      </c>
      <c r="I16" s="36">
        <f t="shared" si="0"/>
        <v>-33517</v>
      </c>
      <c r="J16" s="36">
        <f t="shared" si="0"/>
        <v>2232110</v>
      </c>
      <c r="K16" s="36">
        <f t="shared" si="0"/>
        <v>261662399</v>
      </c>
    </row>
    <row r="17" spans="1:11" x14ac:dyDescent="0.2">
      <c r="D17" s="36"/>
      <c r="E17" s="36"/>
      <c r="F17" s="36"/>
      <c r="G17" s="36"/>
      <c r="H17" s="36"/>
      <c r="I17" s="36"/>
      <c r="J17" s="36"/>
      <c r="K17" s="36"/>
    </row>
    <row r="18" spans="1:11" x14ac:dyDescent="0.2">
      <c r="A18" s="134">
        <f>A16+1</f>
        <v>6</v>
      </c>
      <c r="B18" s="5" t="s">
        <v>79</v>
      </c>
      <c r="C18" s="3" t="s">
        <v>80</v>
      </c>
      <c r="D18" s="200">
        <v>1235531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209">
        <v>10589</v>
      </c>
      <c r="K18" s="36">
        <f>SUM(D18:J18)</f>
        <v>1246120</v>
      </c>
    </row>
    <row r="19" spans="1:11" x14ac:dyDescent="0.2">
      <c r="A19" s="134">
        <f t="shared" ref="A19:A26" si="1">A18+1</f>
        <v>7</v>
      </c>
      <c r="B19" s="5" t="s">
        <v>81</v>
      </c>
      <c r="C19" s="3" t="s">
        <v>103</v>
      </c>
      <c r="D19" s="200">
        <v>105936.41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6">
        <f>SUM(D19:J19)</f>
        <v>105936.41</v>
      </c>
    </row>
    <row r="20" spans="1:11" x14ac:dyDescent="0.2">
      <c r="A20" s="134">
        <f t="shared" si="1"/>
        <v>8</v>
      </c>
      <c r="B20" s="5" t="s">
        <v>83</v>
      </c>
      <c r="C20" s="3" t="s">
        <v>84</v>
      </c>
      <c r="D20" s="200">
        <v>130448666</v>
      </c>
      <c r="E20" s="36">
        <f>'Sch5'!C29*-1</f>
        <v>-9557354</v>
      </c>
      <c r="F20" s="36">
        <f>'Sch6'!C42*-1</f>
        <v>-6329842</v>
      </c>
      <c r="G20" s="35">
        <v>0</v>
      </c>
      <c r="H20" s="209">
        <v>0</v>
      </c>
      <c r="I20" s="36">
        <f>('Sch6'!C43+'Sch6'!C47)*-1</f>
        <v>-13197</v>
      </c>
      <c r="J20" s="36">
        <f>K20-(SUM(D20:I20))</f>
        <v>888928</v>
      </c>
      <c r="K20" s="36">
        <f>'Sch1'!F323+'Sch1'!F330+'Sch1'!F340+'Sch1'!F324+'Sch1'!F331+'Sch1'!F341+'Sch1'!F337+'Sch1'!F336</f>
        <v>115437201</v>
      </c>
    </row>
    <row r="21" spans="1:11" x14ac:dyDescent="0.2">
      <c r="A21" s="134">
        <f t="shared" si="1"/>
        <v>9</v>
      </c>
      <c r="B21" s="5">
        <v>493</v>
      </c>
      <c r="C21" s="3" t="s">
        <v>175</v>
      </c>
      <c r="D21" s="200">
        <v>9600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6">
        <f>SUM(D21:J21)</f>
        <v>9600</v>
      </c>
    </row>
    <row r="22" spans="1:11" x14ac:dyDescent="0.2">
      <c r="A22" s="134">
        <f t="shared" si="1"/>
        <v>10</v>
      </c>
      <c r="B22" s="5" t="s">
        <v>67</v>
      </c>
      <c r="C22" s="3" t="s">
        <v>85</v>
      </c>
      <c r="D22" s="200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6">
        <f>SUM(D22:J22)</f>
        <v>0</v>
      </c>
    </row>
    <row r="23" spans="1:11" x14ac:dyDescent="0.2">
      <c r="A23" s="134">
        <f t="shared" si="1"/>
        <v>11</v>
      </c>
      <c r="B23" s="5" t="s">
        <v>67</v>
      </c>
      <c r="C23" s="3" t="s">
        <v>107</v>
      </c>
      <c r="D23" s="200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6">
        <f>SUM(D23:J23)</f>
        <v>0</v>
      </c>
    </row>
    <row r="24" spans="1:11" x14ac:dyDescent="0.2">
      <c r="A24" s="134">
        <f t="shared" si="1"/>
        <v>12</v>
      </c>
      <c r="B24" s="5">
        <v>495</v>
      </c>
      <c r="C24" s="3" t="s">
        <v>86</v>
      </c>
      <c r="D24" s="200">
        <v>229067.91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6">
        <f>SUM(D24:J24)</f>
        <v>229067.91</v>
      </c>
    </row>
    <row r="25" spans="1:11" x14ac:dyDescent="0.2">
      <c r="A25" s="134">
        <f t="shared" si="1"/>
        <v>13</v>
      </c>
      <c r="B25" s="5" t="s">
        <v>68</v>
      </c>
      <c r="C25" s="3" t="s">
        <v>87</v>
      </c>
      <c r="D25" s="201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39">
        <f>SUM(D25:J25)</f>
        <v>0</v>
      </c>
    </row>
    <row r="26" spans="1:11" x14ac:dyDescent="0.2">
      <c r="A26" s="134">
        <f t="shared" si="1"/>
        <v>14</v>
      </c>
      <c r="B26" s="6" t="s">
        <v>88</v>
      </c>
      <c r="D26" s="36">
        <f t="shared" ref="D26:K26" si="2">SUM(D18:D25)</f>
        <v>132028801.31999999</v>
      </c>
      <c r="E26" s="36">
        <f t="shared" si="2"/>
        <v>-9557354</v>
      </c>
      <c r="F26" s="36">
        <f t="shared" si="2"/>
        <v>-6329842</v>
      </c>
      <c r="G26" s="36">
        <f t="shared" si="2"/>
        <v>0</v>
      </c>
      <c r="H26" s="36">
        <f t="shared" si="2"/>
        <v>0</v>
      </c>
      <c r="I26" s="36">
        <f t="shared" si="2"/>
        <v>-13197</v>
      </c>
      <c r="J26" s="36">
        <f t="shared" si="2"/>
        <v>899517</v>
      </c>
      <c r="K26" s="36">
        <f t="shared" si="2"/>
        <v>117027925.31999999</v>
      </c>
    </row>
    <row r="27" spans="1:11" x14ac:dyDescent="0.2">
      <c r="D27" s="36"/>
      <c r="E27" s="36"/>
      <c r="F27" s="36"/>
      <c r="G27" s="36"/>
      <c r="H27" s="36"/>
      <c r="I27" s="36"/>
      <c r="J27" s="36"/>
      <c r="K27" s="36"/>
    </row>
    <row r="28" spans="1:11" x14ac:dyDescent="0.2">
      <c r="A28" s="134">
        <f>A26+1</f>
        <v>15</v>
      </c>
      <c r="B28" s="6" t="s">
        <v>89</v>
      </c>
      <c r="D28" s="36">
        <f t="shared" ref="D28:K28" si="3">D16+D26</f>
        <v>570462086.31999993</v>
      </c>
      <c r="E28" s="36">
        <f t="shared" si="3"/>
        <v>-161913940</v>
      </c>
      <c r="F28" s="36">
        <f t="shared" si="3"/>
        <v>-29177309</v>
      </c>
      <c r="G28" s="36">
        <f t="shared" si="3"/>
        <v>-2556203</v>
      </c>
      <c r="H28" s="36">
        <f t="shared" si="3"/>
        <v>-1209223</v>
      </c>
      <c r="I28" s="36">
        <f t="shared" si="3"/>
        <v>-46714</v>
      </c>
      <c r="J28" s="36">
        <f t="shared" si="3"/>
        <v>3131627</v>
      </c>
      <c r="K28" s="36">
        <f t="shared" si="3"/>
        <v>378690324.31999999</v>
      </c>
    </row>
    <row r="29" spans="1:11" x14ac:dyDescent="0.2">
      <c r="D29" s="10"/>
      <c r="E29" s="36"/>
      <c r="F29" s="36"/>
      <c r="G29" s="36"/>
      <c r="H29" s="36"/>
      <c r="I29" s="36"/>
      <c r="J29" s="36"/>
      <c r="K29" s="36"/>
    </row>
    <row r="30" spans="1:11" x14ac:dyDescent="0.2">
      <c r="A30" s="134">
        <f>A28+1</f>
        <v>16</v>
      </c>
      <c r="B30" s="6" t="s">
        <v>526</v>
      </c>
      <c r="J30" s="36"/>
      <c r="K30" s="10"/>
    </row>
    <row r="32" spans="1:11" x14ac:dyDescent="0.2">
      <c r="A32" s="134">
        <f>A30+1</f>
        <v>17</v>
      </c>
      <c r="C32" s="3" t="s">
        <v>90</v>
      </c>
      <c r="D32" s="214">
        <v>27393345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11">
        <f>K32-(SUM(D32:I32))</f>
        <v>119256</v>
      </c>
      <c r="K32" s="11">
        <f>'Sch1'!D129</f>
        <v>27512601</v>
      </c>
    </row>
    <row r="33" spans="1:13" x14ac:dyDescent="0.2">
      <c r="A33" s="134">
        <f>A32+1</f>
        <v>18</v>
      </c>
      <c r="C33" s="3" t="s">
        <v>91</v>
      </c>
      <c r="D33" s="214">
        <v>9290255.3000000007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11">
        <f>K33-(SUM(D33:I33))</f>
        <v>247490</v>
      </c>
      <c r="K33" s="11">
        <f>'Sch3'!H99</f>
        <v>9537745.3000000007</v>
      </c>
    </row>
    <row r="34" spans="1:13" x14ac:dyDescent="0.2">
      <c r="A34" s="134">
        <f>A33+1</f>
        <v>19</v>
      </c>
      <c r="C34" s="3" t="s">
        <v>92</v>
      </c>
      <c r="D34" s="214">
        <v>169000.80000000002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11">
        <f>K34-(SUM(D34:I34))</f>
        <v>0</v>
      </c>
      <c r="K34" s="11">
        <f>'Sch3'!H101</f>
        <v>169000.80000000002</v>
      </c>
    </row>
    <row r="35" spans="1:13" x14ac:dyDescent="0.2">
      <c r="A35" s="134">
        <f>A34+1</f>
        <v>20</v>
      </c>
      <c r="C35" s="3" t="s">
        <v>106</v>
      </c>
      <c r="D35" s="214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11">
        <f>K35-(SUM(D35:I35))</f>
        <v>0</v>
      </c>
      <c r="K35" s="41">
        <v>0</v>
      </c>
    </row>
    <row r="36" spans="1:13" x14ac:dyDescent="0.2">
      <c r="A36" s="134">
        <f>A35+1</f>
        <v>21</v>
      </c>
      <c r="C36" s="3" t="s">
        <v>109</v>
      </c>
      <c r="D36" s="202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29">
        <f>K36-(SUM(D36:I36))</f>
        <v>0</v>
      </c>
      <c r="K36" s="38">
        <v>0</v>
      </c>
    </row>
    <row r="37" spans="1:13" x14ac:dyDescent="0.2">
      <c r="A37" s="134">
        <f>A36+1</f>
        <v>22</v>
      </c>
      <c r="B37" s="6" t="s">
        <v>93</v>
      </c>
      <c r="D37" s="11">
        <f>SUM(D32:D36)</f>
        <v>36852601.099999994</v>
      </c>
      <c r="E37" s="11">
        <f>SUM(E32:E36)</f>
        <v>0</v>
      </c>
      <c r="F37" s="11">
        <f t="shared" ref="F37:K37" si="4">SUM(F32:F36)</f>
        <v>0</v>
      </c>
      <c r="G37" s="11">
        <f t="shared" si="4"/>
        <v>0</v>
      </c>
      <c r="H37" s="11">
        <f t="shared" si="4"/>
        <v>0</v>
      </c>
      <c r="I37" s="11">
        <f t="shared" ref="I37" si="5">SUM(I32:I36)</f>
        <v>0</v>
      </c>
      <c r="J37" s="11">
        <f t="shared" si="4"/>
        <v>366746</v>
      </c>
      <c r="K37" s="11">
        <f t="shared" si="4"/>
        <v>37219347.099999994</v>
      </c>
    </row>
    <row r="38" spans="1:13" x14ac:dyDescent="0.2">
      <c r="D38" s="11"/>
      <c r="E38" s="11"/>
      <c r="F38" s="11"/>
      <c r="G38" s="11"/>
      <c r="H38" s="11"/>
      <c r="I38" s="11"/>
      <c r="J38" s="11"/>
      <c r="K38" s="11"/>
      <c r="L38" s="12"/>
      <c r="M38" s="12"/>
    </row>
    <row r="39" spans="1:13" x14ac:dyDescent="0.2">
      <c r="A39" s="134">
        <f>A37+1</f>
        <v>23</v>
      </c>
      <c r="B39" s="6" t="s">
        <v>527</v>
      </c>
      <c r="D39" s="112"/>
      <c r="E39" s="11"/>
      <c r="F39" s="11"/>
      <c r="G39" s="11"/>
      <c r="H39" s="11"/>
      <c r="I39" s="11"/>
      <c r="J39" s="11"/>
      <c r="K39" s="11"/>
      <c r="L39" s="12"/>
      <c r="M39" s="12"/>
    </row>
    <row r="40" spans="1:13" ht="9.6" customHeight="1" x14ac:dyDescent="0.2">
      <c r="D40" s="11"/>
      <c r="E40" s="11"/>
      <c r="F40" s="11"/>
      <c r="G40" s="11"/>
      <c r="H40" s="11"/>
      <c r="I40" s="11"/>
      <c r="J40" s="11"/>
      <c r="K40" s="11"/>
    </row>
    <row r="41" spans="1:13" x14ac:dyDescent="0.2">
      <c r="A41" s="134">
        <f>A39+1</f>
        <v>24</v>
      </c>
      <c r="C41" s="3" t="s">
        <v>104</v>
      </c>
      <c r="D41" s="214">
        <v>6893000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11">
        <f>K41-(SUM(D41:I41))</f>
        <v>32000</v>
      </c>
      <c r="K41" s="11">
        <f>'Sch1'!D328</f>
        <v>6925000</v>
      </c>
    </row>
    <row r="42" spans="1:13" x14ac:dyDescent="0.2">
      <c r="A42" s="134">
        <f>A41+1</f>
        <v>25</v>
      </c>
      <c r="C42" s="3" t="s">
        <v>94</v>
      </c>
      <c r="D42" s="214">
        <v>14755951.500000002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11">
        <f>K42-(SUM(D42:I42))</f>
        <v>114029.39999999665</v>
      </c>
      <c r="K42" s="11">
        <f>'Sch3'!H270</f>
        <v>14869980.899999999</v>
      </c>
    </row>
    <row r="43" spans="1:13" x14ac:dyDescent="0.2">
      <c r="A43" s="134">
        <f>A42+1</f>
        <v>26</v>
      </c>
      <c r="C43" s="3" t="s">
        <v>95</v>
      </c>
      <c r="D43" s="214">
        <v>22808997.699999999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11">
        <f>K43-(SUM(D43:I43))</f>
        <v>296004.69999999925</v>
      </c>
      <c r="K43" s="11">
        <f>'Sch3'!H272</f>
        <v>23105002.399999999</v>
      </c>
    </row>
    <row r="44" spans="1:13" x14ac:dyDescent="0.2">
      <c r="A44" s="134">
        <f>A43+1</f>
        <v>27</v>
      </c>
      <c r="C44" s="3" t="s">
        <v>105</v>
      </c>
      <c r="D44" s="204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29">
        <f>K44-(SUM(D44:I44))</f>
        <v>0</v>
      </c>
      <c r="K44" s="38">
        <v>0</v>
      </c>
    </row>
    <row r="45" spans="1:13" x14ac:dyDescent="0.2">
      <c r="A45" s="134">
        <f>A44+1</f>
        <v>28</v>
      </c>
      <c r="B45" s="6" t="s">
        <v>96</v>
      </c>
      <c r="D45" s="11">
        <f>SUM(D41:D44)</f>
        <v>44457949.200000003</v>
      </c>
      <c r="E45" s="11">
        <f>SUM(E41:E44)</f>
        <v>0</v>
      </c>
      <c r="F45" s="11">
        <f t="shared" ref="F45:K45" si="6">SUM(F41:F44)</f>
        <v>0</v>
      </c>
      <c r="G45" s="11">
        <f t="shared" si="6"/>
        <v>0</v>
      </c>
      <c r="H45" s="11">
        <f t="shared" si="6"/>
        <v>0</v>
      </c>
      <c r="I45" s="11">
        <f t="shared" ref="I45" si="7">SUM(I41:I44)</f>
        <v>0</v>
      </c>
      <c r="J45" s="11">
        <f t="shared" si="6"/>
        <v>442034.0999999959</v>
      </c>
      <c r="K45" s="11">
        <f t="shared" si="6"/>
        <v>44899983.299999997</v>
      </c>
    </row>
    <row r="46" spans="1:13" x14ac:dyDescent="0.2">
      <c r="D46" s="11"/>
      <c r="E46" s="11"/>
      <c r="F46" s="11"/>
      <c r="G46" s="11"/>
      <c r="H46" s="11"/>
      <c r="I46" s="11"/>
      <c r="J46" s="11"/>
      <c r="K46" s="11"/>
    </row>
    <row r="47" spans="1:13" x14ac:dyDescent="0.2">
      <c r="A47" s="134">
        <f>A45+1</f>
        <v>29</v>
      </c>
      <c r="B47" s="6" t="s">
        <v>528</v>
      </c>
      <c r="D47" s="11">
        <f>D37+D45</f>
        <v>81310550.299999997</v>
      </c>
      <c r="E47" s="11">
        <f>E37+E45</f>
        <v>0</v>
      </c>
      <c r="F47" s="11">
        <f t="shared" ref="F47:K47" si="8">F37+F45</f>
        <v>0</v>
      </c>
      <c r="G47" s="11">
        <f t="shared" si="8"/>
        <v>0</v>
      </c>
      <c r="H47" s="11">
        <f>H37+H45</f>
        <v>0</v>
      </c>
      <c r="I47" s="11">
        <f t="shared" ref="I47" si="9">I37+I45</f>
        <v>0</v>
      </c>
      <c r="J47" s="11">
        <f t="shared" si="8"/>
        <v>808780.0999999959</v>
      </c>
      <c r="K47" s="11">
        <f t="shared" si="8"/>
        <v>82119330.399999991</v>
      </c>
    </row>
    <row r="49" spans="1:12" x14ac:dyDescent="0.2">
      <c r="A49" s="225" t="s">
        <v>374</v>
      </c>
    </row>
    <row r="50" spans="1:12" x14ac:dyDescent="0.2">
      <c r="A50" s="353" t="str">
        <f>coname</f>
        <v>Columbia Gas of Pennsylvania, Inc.</v>
      </c>
      <c r="B50" s="353"/>
      <c r="C50" s="353"/>
      <c r="D50" s="353"/>
      <c r="E50" s="353"/>
      <c r="F50" s="353"/>
      <c r="G50" s="353"/>
      <c r="H50" s="353"/>
      <c r="I50" s="353"/>
      <c r="J50" s="353"/>
      <c r="K50" s="2" t="str">
        <f>adjno</f>
        <v>Exhibit No. 103</v>
      </c>
    </row>
    <row r="51" spans="1:12" x14ac:dyDescent="0.2">
      <c r="A51" s="353" t="s">
        <v>256</v>
      </c>
      <c r="B51" s="353"/>
      <c r="C51" s="353"/>
      <c r="D51" s="353"/>
      <c r="E51" s="353"/>
      <c r="F51" s="353"/>
      <c r="G51" s="353"/>
      <c r="H51" s="353"/>
      <c r="I51" s="353"/>
      <c r="J51" s="353"/>
      <c r="K51" s="2" t="s">
        <v>447</v>
      </c>
    </row>
    <row r="52" spans="1:12" x14ac:dyDescent="0.2">
      <c r="A52" s="353" t="str">
        <f>TYDESC</f>
        <v>For the 12 Months Ended December 31, 2019</v>
      </c>
      <c r="B52" s="353"/>
      <c r="C52" s="353"/>
      <c r="D52" s="353"/>
      <c r="E52" s="353"/>
      <c r="F52" s="353"/>
      <c r="G52" s="353"/>
      <c r="H52" s="353"/>
      <c r="I52" s="353"/>
      <c r="J52" s="353"/>
      <c r="K52" s="4" t="str">
        <f>'Sch1'!G4</f>
        <v>Witness: D. Joe Mays</v>
      </c>
    </row>
    <row r="54" spans="1:12" x14ac:dyDescent="0.2">
      <c r="A54" s="219"/>
      <c r="B54" s="6"/>
      <c r="C54" s="6"/>
      <c r="D54" s="1"/>
      <c r="F54" s="1" t="s">
        <v>69</v>
      </c>
      <c r="G54" s="171" t="s">
        <v>69</v>
      </c>
      <c r="H54" s="1" t="s">
        <v>69</v>
      </c>
      <c r="I54" s="210" t="s">
        <v>69</v>
      </c>
      <c r="J54" s="1"/>
      <c r="K54" s="1"/>
      <c r="L54" s="1"/>
    </row>
    <row r="55" spans="1:12" x14ac:dyDescent="0.2">
      <c r="A55" s="219" t="s">
        <v>3</v>
      </c>
      <c r="B55" s="1" t="s">
        <v>70</v>
      </c>
      <c r="C55" s="6"/>
      <c r="D55" s="1" t="s">
        <v>69</v>
      </c>
      <c r="E55" s="1" t="s">
        <v>69</v>
      </c>
      <c r="F55" s="1" t="s">
        <v>165</v>
      </c>
      <c r="G55" s="171" t="s">
        <v>375</v>
      </c>
      <c r="H55" s="131" t="s">
        <v>391</v>
      </c>
      <c r="I55" s="210" t="s">
        <v>165</v>
      </c>
      <c r="J55" s="1" t="s">
        <v>69</v>
      </c>
      <c r="K55" s="1"/>
    </row>
    <row r="56" spans="1:12" x14ac:dyDescent="0.2">
      <c r="A56" s="172" t="s">
        <v>6</v>
      </c>
      <c r="B56" s="7" t="s">
        <v>72</v>
      </c>
      <c r="C56" s="7" t="s">
        <v>7</v>
      </c>
      <c r="D56" s="7" t="s">
        <v>239</v>
      </c>
      <c r="E56" s="7" t="s">
        <v>66</v>
      </c>
      <c r="F56" s="7" t="s">
        <v>235</v>
      </c>
      <c r="G56" s="172" t="s">
        <v>376</v>
      </c>
      <c r="H56" s="132" t="s">
        <v>388</v>
      </c>
      <c r="I56" s="172" t="s">
        <v>442</v>
      </c>
      <c r="J56" s="7" t="s">
        <v>31</v>
      </c>
      <c r="K56" s="7"/>
    </row>
    <row r="57" spans="1:12" x14ac:dyDescent="0.2">
      <c r="A57" s="219"/>
      <c r="B57" s="6"/>
      <c r="C57" s="6"/>
      <c r="D57" s="1" t="s">
        <v>12</v>
      </c>
      <c r="E57" s="8" t="s">
        <v>13</v>
      </c>
      <c r="F57" s="8" t="s">
        <v>32</v>
      </c>
      <c r="G57" s="173" t="s">
        <v>14</v>
      </c>
      <c r="H57" s="8" t="s">
        <v>15</v>
      </c>
      <c r="I57" s="211" t="s">
        <v>16</v>
      </c>
      <c r="J57" s="326" t="s">
        <v>600</v>
      </c>
      <c r="K57" s="8"/>
    </row>
    <row r="58" spans="1:12" x14ac:dyDescent="0.2">
      <c r="D58" s="5" t="s">
        <v>33</v>
      </c>
      <c r="E58" s="5" t="s">
        <v>33</v>
      </c>
      <c r="F58" s="5" t="s">
        <v>33</v>
      </c>
      <c r="G58" s="134" t="s">
        <v>33</v>
      </c>
      <c r="H58" s="5" t="s">
        <v>33</v>
      </c>
      <c r="I58" s="134" t="s">
        <v>33</v>
      </c>
      <c r="J58" s="5" t="s">
        <v>33</v>
      </c>
      <c r="K58" s="5"/>
    </row>
    <row r="59" spans="1:12" x14ac:dyDescent="0.2">
      <c r="D59" s="9" t="s">
        <v>511</v>
      </c>
      <c r="E59" s="9" t="s">
        <v>274</v>
      </c>
      <c r="F59" s="9" t="s">
        <v>274</v>
      </c>
      <c r="G59" s="9" t="s">
        <v>274</v>
      </c>
      <c r="H59" s="9" t="s">
        <v>274</v>
      </c>
      <c r="I59" s="9" t="s">
        <v>274</v>
      </c>
      <c r="J59" s="9" t="s">
        <v>274</v>
      </c>
      <c r="K59" s="10"/>
    </row>
    <row r="60" spans="1:12" x14ac:dyDescent="0.2">
      <c r="D60" s="9"/>
      <c r="E60" s="9"/>
      <c r="F60" s="9"/>
      <c r="G60" s="9"/>
      <c r="H60" s="9"/>
      <c r="I60" s="9"/>
      <c r="J60" s="9"/>
      <c r="K60" s="10"/>
    </row>
    <row r="61" spans="1:12" x14ac:dyDescent="0.2">
      <c r="A61" s="134">
        <v>1</v>
      </c>
      <c r="B61" s="6" t="s">
        <v>74</v>
      </c>
      <c r="G61" s="153"/>
    </row>
    <row r="62" spans="1:12" x14ac:dyDescent="0.2">
      <c r="G62" s="153"/>
    </row>
    <row r="63" spans="1:12" x14ac:dyDescent="0.2">
      <c r="A63" s="134">
        <f>A61+1</f>
        <v>2</v>
      </c>
      <c r="B63" s="5" t="s">
        <v>75</v>
      </c>
      <c r="C63" s="3" t="s">
        <v>76</v>
      </c>
      <c r="D63" s="36">
        <f>K13</f>
        <v>217609715</v>
      </c>
      <c r="E63" s="36">
        <f>'Sch1'!F128</f>
        <v>113767356</v>
      </c>
      <c r="F63" s="36">
        <f>'Sch1'!F124</f>
        <v>22946588</v>
      </c>
      <c r="G63" s="36">
        <f>'Sch1'!F126</f>
        <v>1912126</v>
      </c>
      <c r="H63" s="36">
        <f>'Sch1'!F125</f>
        <v>1139022</v>
      </c>
      <c r="I63" s="36">
        <f>'Sch1'!F127</f>
        <v>24988</v>
      </c>
      <c r="J63" s="36">
        <f>D63+E63+F63+G63+H63+I63</f>
        <v>357399795</v>
      </c>
      <c r="K63" s="36"/>
    </row>
    <row r="64" spans="1:12" x14ac:dyDescent="0.2">
      <c r="A64" s="134">
        <f>A63+1</f>
        <v>3</v>
      </c>
      <c r="B64" s="5" t="s">
        <v>77</v>
      </c>
      <c r="C64" s="3" t="s">
        <v>373</v>
      </c>
      <c r="D64" s="36">
        <f>K14</f>
        <v>44052684</v>
      </c>
      <c r="E64" s="36">
        <f>'Sch1'!F136+'Sch1'!F141+'Sch1'!F147</f>
        <v>40105762</v>
      </c>
      <c r="F64" s="35">
        <v>0</v>
      </c>
      <c r="G64" s="36">
        <f>'Sch1'!F48+'Sch1'!F111+'Sch1'!F63+'Sch1'!F112</f>
        <v>669566</v>
      </c>
      <c r="H64" s="36">
        <f>'Sch1'!F133</f>
        <v>77152</v>
      </c>
      <c r="I64" s="36">
        <f>'Sch1'!F135</f>
        <v>8868</v>
      </c>
      <c r="J64" s="36">
        <f>D64+E64+F64+G64+H64+I64</f>
        <v>84914032</v>
      </c>
      <c r="K64" s="36"/>
    </row>
    <row r="65" spans="1:12" x14ac:dyDescent="0.2">
      <c r="A65" s="134">
        <f>A64+1</f>
        <v>4</v>
      </c>
      <c r="B65" s="5" t="s">
        <v>77</v>
      </c>
      <c r="C65" s="3" t="s">
        <v>97</v>
      </c>
      <c r="D65" s="39">
        <f>K15</f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39">
        <f>D65+E65+F65+G65+H65+I65</f>
        <v>0</v>
      </c>
      <c r="K65" s="39"/>
    </row>
    <row r="66" spans="1:12" x14ac:dyDescent="0.2">
      <c r="A66" s="134">
        <f>A65+1</f>
        <v>5</v>
      </c>
      <c r="B66" s="6" t="s">
        <v>78</v>
      </c>
      <c r="D66" s="36">
        <f t="shared" ref="D66:J66" si="10">SUM(D63:D65)</f>
        <v>261662399</v>
      </c>
      <c r="E66" s="36">
        <f t="shared" si="10"/>
        <v>153873118</v>
      </c>
      <c r="F66" s="36">
        <f t="shared" si="10"/>
        <v>22946588</v>
      </c>
      <c r="G66" s="36">
        <f t="shared" si="10"/>
        <v>2581692</v>
      </c>
      <c r="H66" s="36">
        <f t="shared" si="10"/>
        <v>1216174</v>
      </c>
      <c r="I66" s="36">
        <f t="shared" si="10"/>
        <v>33856</v>
      </c>
      <c r="J66" s="36">
        <f t="shared" si="10"/>
        <v>442313827</v>
      </c>
      <c r="K66" s="36"/>
    </row>
    <row r="67" spans="1:12" x14ac:dyDescent="0.2">
      <c r="D67" s="36"/>
      <c r="E67" s="36"/>
      <c r="F67" s="36"/>
      <c r="G67" s="36"/>
      <c r="H67" s="36"/>
      <c r="I67" s="36"/>
      <c r="J67" s="36"/>
      <c r="K67" s="36"/>
    </row>
    <row r="68" spans="1:12" x14ac:dyDescent="0.2">
      <c r="A68" s="134">
        <f>A66+1</f>
        <v>6</v>
      </c>
      <c r="B68" s="5" t="s">
        <v>79</v>
      </c>
      <c r="C68" s="3" t="s">
        <v>80</v>
      </c>
      <c r="D68" s="36">
        <f t="shared" ref="D68:D75" si="11">K18</f>
        <v>1246120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6">
        <f t="shared" ref="J68:J75" si="12">D68+E68+F68+G68+H68+I68</f>
        <v>1246120</v>
      </c>
      <c r="K68" s="36"/>
    </row>
    <row r="69" spans="1:12" x14ac:dyDescent="0.2">
      <c r="A69" s="134">
        <f t="shared" ref="A69:A75" si="13">A68+1</f>
        <v>7</v>
      </c>
      <c r="B69" s="5" t="s">
        <v>81</v>
      </c>
      <c r="C69" s="3" t="s">
        <v>82</v>
      </c>
      <c r="D69" s="36">
        <f t="shared" si="11"/>
        <v>105936.41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6">
        <f t="shared" si="12"/>
        <v>105936.41</v>
      </c>
      <c r="K69" s="36"/>
    </row>
    <row r="70" spans="1:12" x14ac:dyDescent="0.2">
      <c r="A70" s="134">
        <f t="shared" si="13"/>
        <v>8</v>
      </c>
      <c r="B70" s="5" t="s">
        <v>83</v>
      </c>
      <c r="C70" s="3" t="s">
        <v>84</v>
      </c>
      <c r="D70" s="36">
        <f t="shared" si="11"/>
        <v>115437201</v>
      </c>
      <c r="E70" s="36">
        <f>'Sch1'!F327+'Sch1'!F333</f>
        <v>9633818</v>
      </c>
      <c r="F70" s="36">
        <f>'Sch1'!F325</f>
        <v>6359228</v>
      </c>
      <c r="G70" s="209">
        <v>0</v>
      </c>
      <c r="H70" s="35">
        <v>0</v>
      </c>
      <c r="I70" s="36">
        <f>'Sch1'!F326+'Sch1'!F332</f>
        <v>13321</v>
      </c>
      <c r="J70" s="36">
        <f t="shared" si="12"/>
        <v>131443568</v>
      </c>
      <c r="K70" s="36"/>
    </row>
    <row r="71" spans="1:12" x14ac:dyDescent="0.2">
      <c r="A71" s="134">
        <f t="shared" si="13"/>
        <v>9</v>
      </c>
      <c r="B71" s="5">
        <v>493</v>
      </c>
      <c r="C71" s="3" t="str">
        <f>C21</f>
        <v>Rent from Gas Property</v>
      </c>
      <c r="D71" s="36">
        <f t="shared" si="11"/>
        <v>9600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6">
        <f t="shared" si="12"/>
        <v>9600</v>
      </c>
      <c r="K71" s="36"/>
    </row>
    <row r="72" spans="1:12" x14ac:dyDescent="0.2">
      <c r="A72" s="134">
        <f t="shared" si="13"/>
        <v>10</v>
      </c>
      <c r="B72" s="5" t="s">
        <v>67</v>
      </c>
      <c r="C72" s="3" t="s">
        <v>85</v>
      </c>
      <c r="D72" s="36">
        <f t="shared" si="11"/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6">
        <f t="shared" si="12"/>
        <v>0</v>
      </c>
      <c r="K72" s="36"/>
    </row>
    <row r="73" spans="1:12" x14ac:dyDescent="0.2">
      <c r="A73" s="134">
        <f t="shared" si="13"/>
        <v>11</v>
      </c>
      <c r="B73" s="5">
        <v>495</v>
      </c>
      <c r="C73" s="3" t="s">
        <v>107</v>
      </c>
      <c r="D73" s="36">
        <f t="shared" si="11"/>
        <v>0</v>
      </c>
      <c r="E73" s="35">
        <v>0</v>
      </c>
      <c r="F73" s="35">
        <v>0</v>
      </c>
      <c r="G73" s="35">
        <v>0</v>
      </c>
      <c r="H73" s="35">
        <v>0</v>
      </c>
      <c r="I73" s="35">
        <v>0</v>
      </c>
      <c r="J73" s="36">
        <f t="shared" si="12"/>
        <v>0</v>
      </c>
      <c r="K73" s="36"/>
    </row>
    <row r="74" spans="1:12" x14ac:dyDescent="0.2">
      <c r="A74" s="134">
        <f t="shared" si="13"/>
        <v>12</v>
      </c>
      <c r="B74" s="5" t="s">
        <v>67</v>
      </c>
      <c r="C74" s="3" t="s">
        <v>86</v>
      </c>
      <c r="D74" s="36">
        <f t="shared" si="11"/>
        <v>229067.91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6">
        <f t="shared" si="12"/>
        <v>229067.91</v>
      </c>
      <c r="K74" s="36"/>
    </row>
    <row r="75" spans="1:12" x14ac:dyDescent="0.2">
      <c r="A75" s="134">
        <f t="shared" si="13"/>
        <v>13</v>
      </c>
      <c r="B75" s="5" t="s">
        <v>68</v>
      </c>
      <c r="C75" s="3" t="s">
        <v>87</v>
      </c>
      <c r="D75" s="39">
        <f t="shared" si="11"/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39">
        <f t="shared" si="12"/>
        <v>0</v>
      </c>
      <c r="K75" s="39"/>
    </row>
    <row r="76" spans="1:12" x14ac:dyDescent="0.2">
      <c r="A76" s="134">
        <f>A75+1</f>
        <v>14</v>
      </c>
      <c r="B76" s="6" t="s">
        <v>88</v>
      </c>
      <c r="D76" s="36">
        <f t="shared" ref="D76:J76" si="14">SUM(D68:D75)</f>
        <v>117027925.31999999</v>
      </c>
      <c r="E76" s="36">
        <f t="shared" si="14"/>
        <v>9633818</v>
      </c>
      <c r="F76" s="36">
        <f t="shared" si="14"/>
        <v>6359228</v>
      </c>
      <c r="G76" s="36">
        <f t="shared" si="14"/>
        <v>0</v>
      </c>
      <c r="H76" s="36">
        <f t="shared" si="14"/>
        <v>0</v>
      </c>
      <c r="I76" s="36">
        <f t="shared" si="14"/>
        <v>13321</v>
      </c>
      <c r="J76" s="36">
        <f t="shared" si="14"/>
        <v>133034292.31999999</v>
      </c>
      <c r="K76" s="36"/>
    </row>
    <row r="77" spans="1:12" x14ac:dyDescent="0.2">
      <c r="D77" s="36"/>
      <c r="E77" s="36"/>
      <c r="F77" s="36"/>
      <c r="G77" s="36"/>
      <c r="H77" s="36"/>
      <c r="I77" s="36"/>
      <c r="J77" s="36"/>
      <c r="K77" s="36"/>
    </row>
    <row r="78" spans="1:12" x14ac:dyDescent="0.2">
      <c r="A78" s="134">
        <f>A76+1</f>
        <v>15</v>
      </c>
      <c r="B78" s="6" t="s">
        <v>89</v>
      </c>
      <c r="D78" s="36">
        <f t="shared" ref="D78:J78" si="15">D66+D76</f>
        <v>378690324.31999999</v>
      </c>
      <c r="E78" s="36">
        <f t="shared" si="15"/>
        <v>163506936</v>
      </c>
      <c r="F78" s="36">
        <f t="shared" si="15"/>
        <v>29305816</v>
      </c>
      <c r="G78" s="36">
        <f t="shared" si="15"/>
        <v>2581692</v>
      </c>
      <c r="H78" s="36">
        <f t="shared" si="15"/>
        <v>1216174</v>
      </c>
      <c r="I78" s="36">
        <f t="shared" si="15"/>
        <v>47177</v>
      </c>
      <c r="J78" s="36">
        <f t="shared" si="15"/>
        <v>575348119.31999993</v>
      </c>
      <c r="K78" s="36"/>
      <c r="L78" s="154"/>
    </row>
    <row r="79" spans="1:12" x14ac:dyDescent="0.2">
      <c r="D79" s="36"/>
      <c r="E79" s="36"/>
      <c r="F79" s="36"/>
      <c r="G79" s="36"/>
      <c r="H79" s="36"/>
      <c r="I79" s="36"/>
      <c r="J79" s="36"/>
      <c r="K79" s="36"/>
    </row>
    <row r="80" spans="1:12" x14ac:dyDescent="0.2">
      <c r="A80" s="134">
        <f>A78+1</f>
        <v>16</v>
      </c>
      <c r="B80" s="6" t="s">
        <v>526</v>
      </c>
      <c r="D80" s="10"/>
      <c r="E80" s="36"/>
      <c r="F80" s="36"/>
      <c r="G80" s="36"/>
      <c r="H80" s="36"/>
      <c r="I80" s="36"/>
      <c r="J80" s="10"/>
      <c r="K80" s="36"/>
    </row>
    <row r="82" spans="1:11" x14ac:dyDescent="0.2">
      <c r="A82" s="134">
        <f>A80+1</f>
        <v>17</v>
      </c>
      <c r="C82" s="3" t="s">
        <v>90</v>
      </c>
      <c r="D82" s="11">
        <f>K32</f>
        <v>27512601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11">
        <f>D82+E82+F82+G82+I82+H82</f>
        <v>27512601</v>
      </c>
      <c r="K82" s="11"/>
    </row>
    <row r="83" spans="1:11" x14ac:dyDescent="0.2">
      <c r="A83" s="134">
        <f>A82+1</f>
        <v>18</v>
      </c>
      <c r="C83" s="3" t="s">
        <v>91</v>
      </c>
      <c r="D83" s="11">
        <f>K33</f>
        <v>9537745.3000000007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11">
        <f>D83+E83+F83+G83+I83+H83</f>
        <v>9537745.3000000007</v>
      </c>
      <c r="K83" s="11"/>
    </row>
    <row r="84" spans="1:11" x14ac:dyDescent="0.2">
      <c r="A84" s="134">
        <f>A83+1</f>
        <v>19</v>
      </c>
      <c r="C84" s="3" t="s">
        <v>92</v>
      </c>
      <c r="D84" s="11">
        <f>K34</f>
        <v>169000.80000000002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11">
        <f>D84+E84+F84+G84+I84+H84</f>
        <v>169000.80000000002</v>
      </c>
      <c r="K84" s="11"/>
    </row>
    <row r="85" spans="1:11" x14ac:dyDescent="0.2">
      <c r="A85" s="134">
        <f>A84+1</f>
        <v>20</v>
      </c>
      <c r="C85" s="3" t="s">
        <v>106</v>
      </c>
      <c r="D85" s="11">
        <f>K35</f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11">
        <f>D85+E85+F85+G85+I85+H85</f>
        <v>0</v>
      </c>
      <c r="K85" s="11"/>
    </row>
    <row r="86" spans="1:11" x14ac:dyDescent="0.2">
      <c r="A86" s="134">
        <f>A85+1</f>
        <v>21</v>
      </c>
      <c r="C86" s="3" t="s">
        <v>98</v>
      </c>
      <c r="D86" s="29">
        <f>K36</f>
        <v>0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29">
        <f>D86+E86+F86+G86+I86+H86</f>
        <v>0</v>
      </c>
      <c r="K86" s="29"/>
    </row>
    <row r="87" spans="1:11" x14ac:dyDescent="0.2">
      <c r="A87" s="134">
        <f>A86+1</f>
        <v>22</v>
      </c>
      <c r="B87" s="6" t="s">
        <v>93</v>
      </c>
      <c r="D87" s="11">
        <f t="shared" ref="D87:H87" si="16">SUM(D82:D86)</f>
        <v>37219347.099999994</v>
      </c>
      <c r="E87" s="11">
        <f t="shared" si="16"/>
        <v>0</v>
      </c>
      <c r="F87" s="11">
        <f t="shared" si="16"/>
        <v>0</v>
      </c>
      <c r="G87" s="11">
        <f t="shared" si="16"/>
        <v>0</v>
      </c>
      <c r="H87" s="11">
        <f t="shared" si="16"/>
        <v>0</v>
      </c>
      <c r="I87" s="11">
        <f t="shared" ref="I87" si="17">SUM(I82:I86)</f>
        <v>0</v>
      </c>
      <c r="J87" s="11">
        <f>SUM(J82:J86)</f>
        <v>37219347.099999994</v>
      </c>
      <c r="K87" s="11"/>
    </row>
    <row r="88" spans="1:11" x14ac:dyDescent="0.2">
      <c r="D88" s="11"/>
      <c r="E88" s="11"/>
      <c r="F88" s="11"/>
      <c r="G88" s="11"/>
      <c r="H88" s="11"/>
      <c r="I88" s="11"/>
      <c r="J88" s="11"/>
      <c r="K88" s="11"/>
    </row>
    <row r="89" spans="1:11" x14ac:dyDescent="0.2">
      <c r="A89" s="134">
        <f>A87+1</f>
        <v>23</v>
      </c>
      <c r="B89" s="6" t="s">
        <v>529</v>
      </c>
      <c r="D89" s="112"/>
      <c r="E89" s="11"/>
      <c r="F89" s="11"/>
      <c r="G89" s="11"/>
      <c r="H89" s="11"/>
      <c r="I89" s="11"/>
      <c r="J89" s="11"/>
      <c r="K89" s="11"/>
    </row>
    <row r="90" spans="1:11" x14ac:dyDescent="0.2">
      <c r="B90" s="6"/>
      <c r="D90" s="112"/>
      <c r="E90" s="11"/>
      <c r="F90" s="11"/>
      <c r="G90" s="11"/>
      <c r="H90" s="11"/>
      <c r="I90" s="11"/>
      <c r="J90" s="11"/>
      <c r="K90" s="11"/>
    </row>
    <row r="91" spans="1:11" x14ac:dyDescent="0.2">
      <c r="A91" s="134">
        <f>A89+1</f>
        <v>24</v>
      </c>
      <c r="C91" s="3" t="s">
        <v>104</v>
      </c>
      <c r="D91" s="11">
        <f>K41</f>
        <v>6925000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11">
        <f>D91+E91+F91+G91+H91+I91</f>
        <v>6925000</v>
      </c>
      <c r="K91" s="11"/>
    </row>
    <row r="92" spans="1:11" x14ac:dyDescent="0.2">
      <c r="A92" s="134">
        <f>A91+1</f>
        <v>25</v>
      </c>
      <c r="C92" s="3" t="s">
        <v>94</v>
      </c>
      <c r="D92" s="11">
        <f>K42</f>
        <v>14869980.899999999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11">
        <f>D92+E92+F92+G92+H92+I92</f>
        <v>14869980.899999999</v>
      </c>
      <c r="K92" s="11"/>
    </row>
    <row r="93" spans="1:11" x14ac:dyDescent="0.2">
      <c r="A93" s="134">
        <f>A92+1</f>
        <v>26</v>
      </c>
      <c r="C93" s="3" t="s">
        <v>95</v>
      </c>
      <c r="D93" s="11">
        <f>K43</f>
        <v>23105002.399999999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11">
        <f>D93+E93+F93+G93+H93+I93</f>
        <v>23105002.399999999</v>
      </c>
      <c r="K93" s="11"/>
    </row>
    <row r="94" spans="1:11" x14ac:dyDescent="0.2">
      <c r="A94" s="134">
        <f>A93+1</f>
        <v>27</v>
      </c>
      <c r="C94" s="3" t="s">
        <v>105</v>
      </c>
      <c r="D94" s="29">
        <f>K44</f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29">
        <f>D94+E94+F94+G94+H94+I94</f>
        <v>0</v>
      </c>
      <c r="K94" s="29"/>
    </row>
    <row r="95" spans="1:11" x14ac:dyDescent="0.2">
      <c r="A95" s="134">
        <f>A94+1</f>
        <v>28</v>
      </c>
      <c r="B95" s="6" t="s">
        <v>96</v>
      </c>
      <c r="D95" s="11">
        <f t="shared" ref="D95:J95" si="18">SUM(D91:D94)</f>
        <v>44899983.299999997</v>
      </c>
      <c r="E95" s="11">
        <f t="shared" si="18"/>
        <v>0</v>
      </c>
      <c r="F95" s="11">
        <f t="shared" si="18"/>
        <v>0</v>
      </c>
      <c r="G95" s="11">
        <f t="shared" si="18"/>
        <v>0</v>
      </c>
      <c r="H95" s="11">
        <f t="shared" si="18"/>
        <v>0</v>
      </c>
      <c r="I95" s="11">
        <f t="shared" ref="I95" si="19">SUM(I91:I94)</f>
        <v>0</v>
      </c>
      <c r="J95" s="11">
        <f t="shared" si="18"/>
        <v>44899983.299999997</v>
      </c>
      <c r="K95" s="11"/>
    </row>
    <row r="96" spans="1:11" x14ac:dyDescent="0.2">
      <c r="D96" s="11"/>
      <c r="E96" s="11"/>
      <c r="F96" s="11"/>
      <c r="G96" s="11"/>
      <c r="H96" s="11"/>
      <c r="I96" s="11"/>
      <c r="J96" s="11"/>
      <c r="K96" s="11"/>
    </row>
    <row r="97" spans="1:11" x14ac:dyDescent="0.2">
      <c r="A97" s="134">
        <f>A95+1</f>
        <v>29</v>
      </c>
      <c r="B97" s="6" t="s">
        <v>528</v>
      </c>
      <c r="D97" s="11">
        <f t="shared" ref="D97:J97" si="20">D87+D95</f>
        <v>82119330.399999991</v>
      </c>
      <c r="E97" s="11">
        <f t="shared" si="20"/>
        <v>0</v>
      </c>
      <c r="F97" s="11">
        <f t="shared" si="20"/>
        <v>0</v>
      </c>
      <c r="G97" s="11">
        <f t="shared" si="20"/>
        <v>0</v>
      </c>
      <c r="H97" s="11">
        <f t="shared" si="20"/>
        <v>0</v>
      </c>
      <c r="I97" s="11">
        <f t="shared" ref="I97" si="21">I87+I95</f>
        <v>0</v>
      </c>
      <c r="J97" s="11">
        <f t="shared" si="20"/>
        <v>82119330.399999991</v>
      </c>
      <c r="K97" s="11"/>
    </row>
  </sheetData>
  <customSheetViews>
    <customSheetView guid="{818D6814-8976-4390-B9DF-A301351E9DE9}" showPageBreaks="1" printArea="1" showRuler="0" topLeftCell="A85">
      <selection activeCell="K22" sqref="K22"/>
      <rowBreaks count="1" manualBreakCount="1">
        <brk id="53" max="11" man="1"/>
      </rowBreaks>
      <pageMargins left="0.5" right="0" top="0.25" bottom="0" header="0.5" footer="0.5"/>
      <printOptions horizontalCentered="1"/>
      <pageSetup scale="90" orientation="landscape" r:id="rId1"/>
      <headerFooter alignWithMargins="0"/>
    </customSheetView>
  </customSheetViews>
  <mergeCells count="6">
    <mergeCell ref="A50:J50"/>
    <mergeCell ref="A51:J51"/>
    <mergeCell ref="A52:J52"/>
    <mergeCell ref="A1:J1"/>
    <mergeCell ref="A2:J2"/>
    <mergeCell ref="A3:J3"/>
  </mergeCells>
  <phoneticPr fontId="0" type="noConversion"/>
  <printOptions horizontalCentered="1"/>
  <pageMargins left="0.5" right="0" top="0.75" bottom="0" header="0.5" footer="0.5"/>
  <pageSetup scale="83" orientation="landscape" r:id="rId2"/>
  <headerFooter alignWithMargins="0"/>
  <rowBreaks count="1" manualBreakCount="1">
    <brk id="49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8">
    <tabColor rgb="FF92D050"/>
  </sheetPr>
  <dimension ref="A1:N367"/>
  <sheetViews>
    <sheetView topLeftCell="A245" zoomScaleNormal="100" zoomScaleSheetLayoutView="100" workbookViewId="0">
      <selection activeCell="F275" sqref="F275"/>
    </sheetView>
  </sheetViews>
  <sheetFormatPr defaultColWidth="10" defaultRowHeight="11.25" x14ac:dyDescent="0.2"/>
  <cols>
    <col min="1" max="1" width="6" style="134" customWidth="1"/>
    <col min="2" max="2" width="51.19921875" style="3" customWidth="1"/>
    <col min="3" max="3" width="17.59765625" style="3" bestFit="1" customWidth="1"/>
    <col min="4" max="4" width="17" style="3" customWidth="1"/>
    <col min="5" max="5" width="13" style="3" customWidth="1"/>
    <col min="6" max="6" width="17" style="3" customWidth="1"/>
    <col min="7" max="7" width="20" style="3" bestFit="1" customWidth="1"/>
    <col min="8" max="8" width="16.3984375" style="3" customWidth="1"/>
    <col min="9" max="9" width="4" style="3" customWidth="1"/>
    <col min="10" max="10" width="14.59765625" style="3" customWidth="1"/>
    <col min="11" max="11" width="65.19921875" style="3" bestFit="1" customWidth="1"/>
    <col min="12" max="12" width="10" style="3"/>
    <col min="13" max="13" width="11" style="3" customWidth="1"/>
    <col min="14" max="14" width="45.3984375" style="3" bestFit="1" customWidth="1"/>
    <col min="15" max="16384" width="10" style="3"/>
  </cols>
  <sheetData>
    <row r="1" spans="1:14" x14ac:dyDescent="0.2">
      <c r="G1" s="99" t="s">
        <v>257</v>
      </c>
      <c r="J1" s="115" t="s">
        <v>151</v>
      </c>
      <c r="K1" s="18"/>
    </row>
    <row r="2" spans="1:14" x14ac:dyDescent="0.2">
      <c r="A2" s="355" t="s">
        <v>112</v>
      </c>
      <c r="B2" s="355"/>
      <c r="C2" s="355"/>
      <c r="D2" s="355"/>
      <c r="E2" s="355"/>
      <c r="F2" s="355"/>
      <c r="G2" s="2" t="s">
        <v>191</v>
      </c>
      <c r="J2" s="116">
        <v>0</v>
      </c>
      <c r="K2" s="18"/>
    </row>
    <row r="3" spans="1:14" x14ac:dyDescent="0.2">
      <c r="A3" s="353" t="s">
        <v>267</v>
      </c>
      <c r="B3" s="353"/>
      <c r="C3" s="353"/>
      <c r="D3" s="353"/>
      <c r="E3" s="353"/>
      <c r="F3" s="353"/>
      <c r="G3" s="2" t="s">
        <v>577</v>
      </c>
      <c r="J3" s="18"/>
      <c r="K3" s="18"/>
    </row>
    <row r="4" spans="1:14" x14ac:dyDescent="0.2">
      <c r="A4" s="354" t="s">
        <v>612</v>
      </c>
      <c r="B4" s="354"/>
      <c r="C4" s="354"/>
      <c r="D4" s="354"/>
      <c r="E4" s="354"/>
      <c r="F4" s="354"/>
      <c r="G4" s="99" t="s">
        <v>633</v>
      </c>
      <c r="J4" s="77"/>
      <c r="K4" s="18"/>
    </row>
    <row r="5" spans="1:14" x14ac:dyDescent="0.2">
      <c r="A5" s="215"/>
      <c r="B5" s="1"/>
      <c r="C5" s="6"/>
      <c r="J5" s="117" t="s">
        <v>211</v>
      </c>
      <c r="K5" s="118"/>
      <c r="L5" s="153"/>
      <c r="M5" s="89" t="s">
        <v>221</v>
      </c>
      <c r="N5" s="90"/>
    </row>
    <row r="6" spans="1:14" x14ac:dyDescent="0.2">
      <c r="A6" s="215" t="s">
        <v>3</v>
      </c>
      <c r="B6" s="1"/>
      <c r="C6" s="6"/>
      <c r="D6" s="6"/>
      <c r="E6" s="6"/>
      <c r="F6" s="6"/>
      <c r="G6" s="1"/>
      <c r="J6" s="216">
        <v>2.9502999999999999</v>
      </c>
      <c r="K6" s="91" t="s">
        <v>242</v>
      </c>
      <c r="L6" s="153"/>
      <c r="M6" s="123">
        <f>J9</f>
        <v>1.4229000000000001</v>
      </c>
      <c r="N6" s="91" t="s">
        <v>613</v>
      </c>
    </row>
    <row r="7" spans="1:14" x14ac:dyDescent="0.2">
      <c r="A7" s="172" t="s">
        <v>6</v>
      </c>
      <c r="B7" s="161" t="s">
        <v>7</v>
      </c>
      <c r="C7" s="7" t="s">
        <v>35</v>
      </c>
      <c r="D7" s="7" t="s">
        <v>40</v>
      </c>
      <c r="E7" s="7" t="s">
        <v>30</v>
      </c>
      <c r="F7" s="7" t="s">
        <v>31</v>
      </c>
      <c r="G7" s="7" t="s">
        <v>192</v>
      </c>
      <c r="J7" s="216">
        <v>0</v>
      </c>
      <c r="K7" s="91" t="s">
        <v>170</v>
      </c>
      <c r="L7" s="153"/>
      <c r="M7" s="124">
        <f>J10</f>
        <v>-0.18559999999999999</v>
      </c>
      <c r="N7" s="91" t="s">
        <v>614</v>
      </c>
    </row>
    <row r="8" spans="1:14" x14ac:dyDescent="0.2">
      <c r="A8" s="215"/>
      <c r="B8" s="6"/>
      <c r="C8" s="1" t="s">
        <v>12</v>
      </c>
      <c r="D8" s="1" t="s">
        <v>13</v>
      </c>
      <c r="E8" s="1" t="s">
        <v>32</v>
      </c>
      <c r="F8" s="1" t="s">
        <v>14</v>
      </c>
      <c r="G8" s="1" t="s">
        <v>15</v>
      </c>
      <c r="J8" s="216">
        <v>-5.2499999999999998E-2</v>
      </c>
      <c r="K8" s="91" t="s">
        <v>615</v>
      </c>
      <c r="L8" s="153"/>
      <c r="M8" s="92">
        <f>M6+M7</f>
        <v>1.2373000000000001</v>
      </c>
      <c r="N8" s="93" t="s">
        <v>189</v>
      </c>
    </row>
    <row r="9" spans="1:14" x14ac:dyDescent="0.2">
      <c r="A9" s="215"/>
      <c r="B9" s="6"/>
      <c r="C9" s="6"/>
      <c r="D9" s="1" t="s">
        <v>241</v>
      </c>
      <c r="E9" s="8" t="s">
        <v>240</v>
      </c>
      <c r="F9" s="1" t="s">
        <v>33</v>
      </c>
      <c r="G9" s="8" t="s">
        <v>240</v>
      </c>
      <c r="J9" s="216">
        <v>1.4229000000000001</v>
      </c>
      <c r="K9" s="91" t="s">
        <v>613</v>
      </c>
      <c r="L9" s="153"/>
      <c r="M9" s="153"/>
      <c r="N9" s="153"/>
    </row>
    <row r="10" spans="1:14" x14ac:dyDescent="0.2">
      <c r="C10" s="9" t="s">
        <v>277</v>
      </c>
      <c r="D10" s="9" t="s">
        <v>278</v>
      </c>
      <c r="J10" s="217">
        <v>-0.18559999999999999</v>
      </c>
      <c r="K10" s="91" t="s">
        <v>616</v>
      </c>
      <c r="L10" s="153"/>
      <c r="M10" s="153"/>
      <c r="N10" s="153"/>
    </row>
    <row r="11" spans="1:14" x14ac:dyDescent="0.2">
      <c r="C11" s="9"/>
      <c r="D11" s="9"/>
      <c r="J11" s="218">
        <f>SUM(J6:J10)</f>
        <v>4.1350999999999996</v>
      </c>
      <c r="K11" s="327" t="s">
        <v>172</v>
      </c>
      <c r="L11" s="153"/>
      <c r="M11" s="153"/>
      <c r="N11" s="153"/>
    </row>
    <row r="12" spans="1:14" x14ac:dyDescent="0.2">
      <c r="C12" s="10"/>
      <c r="D12" s="10"/>
      <c r="J12" s="94"/>
      <c r="K12" s="155"/>
      <c r="L12" s="153"/>
      <c r="M12" s="153"/>
      <c r="N12" s="153"/>
    </row>
    <row r="13" spans="1:14" x14ac:dyDescent="0.2">
      <c r="A13" s="134">
        <v>1</v>
      </c>
      <c r="B13" s="42" t="s">
        <v>120</v>
      </c>
      <c r="D13" s="11"/>
      <c r="E13" s="37"/>
      <c r="G13" s="44"/>
      <c r="J13" s="89" t="s">
        <v>212</v>
      </c>
      <c r="K13" s="90"/>
      <c r="L13" s="153"/>
      <c r="M13" s="153"/>
      <c r="N13" s="153"/>
    </row>
    <row r="14" spans="1:14" x14ac:dyDescent="0.2">
      <c r="B14" s="14"/>
      <c r="D14" s="11"/>
      <c r="E14" s="37"/>
      <c r="G14" s="44"/>
      <c r="J14" s="318">
        <v>0.92659999999999998</v>
      </c>
      <c r="K14" s="93" t="s">
        <v>617</v>
      </c>
      <c r="L14" s="153"/>
      <c r="M14" s="153"/>
      <c r="N14" s="153"/>
    </row>
    <row r="15" spans="1:14" x14ac:dyDescent="0.2">
      <c r="A15" s="134">
        <f>A13+1</f>
        <v>2</v>
      </c>
      <c r="B15" s="3" t="s">
        <v>62</v>
      </c>
      <c r="C15" s="12">
        <f>'Sch2'!I17</f>
        <v>3633542</v>
      </c>
      <c r="D15" s="11"/>
      <c r="E15" s="213">
        <v>16.75</v>
      </c>
      <c r="F15" s="12">
        <f>ROUND(C15*E15,0)</f>
        <v>60861829</v>
      </c>
      <c r="G15" s="44"/>
    </row>
    <row r="16" spans="1:14" x14ac:dyDescent="0.2">
      <c r="A16" s="134">
        <f t="shared" ref="A16:A26" si="0">A15+1</f>
        <v>3</v>
      </c>
      <c r="B16" s="3" t="s">
        <v>63</v>
      </c>
      <c r="C16" s="12"/>
      <c r="D16" s="11"/>
      <c r="E16" s="206"/>
      <c r="F16" s="12"/>
      <c r="G16" s="44"/>
    </row>
    <row r="17" spans="1:7" x14ac:dyDescent="0.2">
      <c r="A17" s="134">
        <f t="shared" si="0"/>
        <v>4</v>
      </c>
      <c r="B17" s="164" t="s">
        <v>41</v>
      </c>
      <c r="C17" s="12"/>
      <c r="D17" s="11">
        <f>'Sch3'!H14</f>
        <v>24988117.399999999</v>
      </c>
      <c r="E17" s="206">
        <v>5.5316000000000001</v>
      </c>
      <c r="F17" s="12">
        <f>ROUND(D17*E17,0)</f>
        <v>138224270</v>
      </c>
      <c r="G17" s="44"/>
    </row>
    <row r="18" spans="1:7" x14ac:dyDescent="0.2">
      <c r="A18" s="134">
        <f t="shared" si="0"/>
        <v>5</v>
      </c>
      <c r="B18" s="164" t="s">
        <v>228</v>
      </c>
      <c r="C18" s="12"/>
      <c r="D18" s="11">
        <f>SUM(D17:D17)</f>
        <v>24988117.399999999</v>
      </c>
      <c r="E18" s="206">
        <v>0.91830000000000001</v>
      </c>
      <c r="F18" s="154">
        <f>ROUND(D18*E18,0)</f>
        <v>22946588</v>
      </c>
      <c r="G18" s="44"/>
    </row>
    <row r="19" spans="1:7" s="153" customFormat="1" x14ac:dyDescent="0.2">
      <c r="A19" s="134">
        <f t="shared" si="0"/>
        <v>6</v>
      </c>
      <c r="B19" s="164" t="s">
        <v>440</v>
      </c>
      <c r="C19" s="154"/>
      <c r="D19" s="11">
        <f>D17</f>
        <v>24988117.399999999</v>
      </c>
      <c r="E19" s="206">
        <v>1E-3</v>
      </c>
      <c r="F19" s="154">
        <f>ROUND(D19*E19,0)</f>
        <v>24988</v>
      </c>
      <c r="G19" s="158"/>
    </row>
    <row r="20" spans="1:7" s="153" customFormat="1" x14ac:dyDescent="0.2">
      <c r="A20" s="134">
        <f t="shared" si="0"/>
        <v>7</v>
      </c>
      <c r="B20" s="164" t="s">
        <v>292</v>
      </c>
      <c r="C20" s="154"/>
      <c r="D20" s="11">
        <f>D17</f>
        <v>24988117.399999999</v>
      </c>
      <c r="E20" s="206">
        <v>6.9500000000000006E-2</v>
      </c>
      <c r="F20" s="156">
        <f>ROUND(D20*E20,0)</f>
        <v>1736674</v>
      </c>
      <c r="G20" s="158"/>
    </row>
    <row r="21" spans="1:7" x14ac:dyDescent="0.2">
      <c r="A21" s="134">
        <f t="shared" si="0"/>
        <v>8</v>
      </c>
      <c r="B21" s="27" t="s">
        <v>65</v>
      </c>
      <c r="C21" s="12"/>
      <c r="D21" s="11"/>
      <c r="E21" s="43"/>
      <c r="F21" s="12">
        <f>SUM(F15:F20)</f>
        <v>223794349</v>
      </c>
      <c r="G21" s="44"/>
    </row>
    <row r="22" spans="1:7" x14ac:dyDescent="0.2">
      <c r="A22" s="134">
        <f t="shared" si="0"/>
        <v>9</v>
      </c>
      <c r="B22" s="164" t="s">
        <v>151</v>
      </c>
      <c r="C22" s="12"/>
      <c r="D22" s="11"/>
      <c r="E22" s="43"/>
      <c r="F22" s="28">
        <f>ROUND((F21)*$J$2,0)</f>
        <v>0</v>
      </c>
      <c r="G22" s="44"/>
    </row>
    <row r="23" spans="1:7" x14ac:dyDescent="0.2">
      <c r="A23" s="134">
        <f t="shared" si="0"/>
        <v>10</v>
      </c>
      <c r="B23" s="3" t="s">
        <v>152</v>
      </c>
      <c r="C23" s="12"/>
      <c r="D23" s="11"/>
      <c r="E23" s="43"/>
      <c r="F23" s="12">
        <f>SUM(F21:F22)</f>
        <v>223794349</v>
      </c>
      <c r="G23" s="44"/>
    </row>
    <row r="24" spans="1:7" x14ac:dyDescent="0.2">
      <c r="A24" s="134">
        <f t="shared" si="0"/>
        <v>11</v>
      </c>
      <c r="B24" s="164" t="s">
        <v>66</v>
      </c>
      <c r="C24" s="12"/>
      <c r="D24" s="11">
        <f>D18</f>
        <v>24988117.399999999</v>
      </c>
      <c r="E24" s="44">
        <f>$J$11</f>
        <v>4.1350999999999996</v>
      </c>
      <c r="F24" s="154">
        <f>ROUND(D24*E24,0)</f>
        <v>103328364</v>
      </c>
      <c r="G24" s="44"/>
    </row>
    <row r="25" spans="1:7" x14ac:dyDescent="0.2">
      <c r="A25" s="134">
        <f t="shared" si="0"/>
        <v>12</v>
      </c>
      <c r="B25" s="164" t="s">
        <v>323</v>
      </c>
      <c r="C25" s="12"/>
      <c r="D25" s="11">
        <f>D18</f>
        <v>24988117.399999999</v>
      </c>
      <c r="E25" s="206">
        <v>4.1399999999999999E-2</v>
      </c>
      <c r="F25" s="156">
        <f>ROUND(D25*E25,0)</f>
        <v>1034508</v>
      </c>
      <c r="G25" s="44"/>
    </row>
    <row r="26" spans="1:7" x14ac:dyDescent="0.2">
      <c r="A26" s="134">
        <f t="shared" si="0"/>
        <v>13</v>
      </c>
      <c r="B26" s="14" t="s">
        <v>129</v>
      </c>
      <c r="C26" s="12">
        <f>C15</f>
        <v>3633542</v>
      </c>
      <c r="D26" s="11">
        <f>D18</f>
        <v>24988117.399999999</v>
      </c>
      <c r="E26" s="43"/>
      <c r="F26" s="12">
        <f>SUM(F23:F25)</f>
        <v>328157221</v>
      </c>
      <c r="G26" s="44">
        <f>ROUND(F26/D26,4)</f>
        <v>13.1325</v>
      </c>
    </row>
    <row r="27" spans="1:7" x14ac:dyDescent="0.2">
      <c r="C27" s="12"/>
      <c r="D27" s="11"/>
      <c r="E27" s="43"/>
      <c r="F27" s="12"/>
      <c r="G27" s="44"/>
    </row>
    <row r="28" spans="1:7" x14ac:dyDescent="0.2">
      <c r="A28" s="134">
        <f>A26+1</f>
        <v>14</v>
      </c>
      <c r="B28" s="42" t="s">
        <v>618</v>
      </c>
      <c r="C28" s="12"/>
      <c r="D28" s="11"/>
      <c r="E28" s="43"/>
      <c r="F28" s="12"/>
      <c r="G28" s="44"/>
    </row>
    <row r="29" spans="1:7" x14ac:dyDescent="0.2">
      <c r="B29" s="13"/>
      <c r="C29" s="12"/>
      <c r="D29" s="11"/>
      <c r="E29" s="43"/>
      <c r="F29" s="12"/>
      <c r="G29" s="44"/>
    </row>
    <row r="30" spans="1:7" x14ac:dyDescent="0.2">
      <c r="A30" s="134">
        <f>A28+1</f>
        <v>15</v>
      </c>
      <c r="B30" s="27" t="s">
        <v>62</v>
      </c>
      <c r="C30" s="12">
        <f>'Sch2'!I23</f>
        <v>272190</v>
      </c>
      <c r="D30" s="11"/>
      <c r="E30" s="66">
        <f>$E$15</f>
        <v>16.75</v>
      </c>
      <c r="F30" s="12">
        <f>ROUND(C30*E30,0)</f>
        <v>4559183</v>
      </c>
      <c r="G30" s="44"/>
    </row>
    <row r="31" spans="1:7" x14ac:dyDescent="0.2">
      <c r="A31" s="134">
        <f>A30+1</f>
        <v>16</v>
      </c>
      <c r="B31" s="27" t="s">
        <v>63</v>
      </c>
      <c r="C31" s="12"/>
      <c r="D31" s="11"/>
      <c r="E31" s="43"/>
      <c r="F31" s="12"/>
      <c r="G31" s="44"/>
    </row>
    <row r="32" spans="1:7" x14ac:dyDescent="0.2">
      <c r="A32" s="134">
        <f t="shared" ref="A32:A39" si="1">A31+1</f>
        <v>17</v>
      </c>
      <c r="B32" s="164" t="s">
        <v>41</v>
      </c>
      <c r="C32" s="12"/>
      <c r="D32" s="11">
        <f>'Sch3'!H19</f>
        <v>2524483.6</v>
      </c>
      <c r="E32" s="44">
        <f>E17</f>
        <v>5.5316000000000001</v>
      </c>
      <c r="F32" s="12">
        <f>ROUND(D32*E32,0)</f>
        <v>13964433</v>
      </c>
      <c r="G32" s="44"/>
    </row>
    <row r="33" spans="1:7" s="153" customFormat="1" x14ac:dyDescent="0.2">
      <c r="A33" s="134">
        <f t="shared" si="1"/>
        <v>18</v>
      </c>
      <c r="B33" s="164" t="s">
        <v>292</v>
      </c>
      <c r="C33" s="154"/>
      <c r="D33" s="11">
        <f>D32</f>
        <v>2524483.6</v>
      </c>
      <c r="E33" s="158">
        <f>E20</f>
        <v>6.9500000000000006E-2</v>
      </c>
      <c r="F33" s="156">
        <f>ROUND(D33*E33,0)</f>
        <v>175452</v>
      </c>
      <c r="G33" s="158"/>
    </row>
    <row r="34" spans="1:7" x14ac:dyDescent="0.2">
      <c r="A34" s="134">
        <f t="shared" si="1"/>
        <v>19</v>
      </c>
      <c r="B34" s="27" t="s">
        <v>65</v>
      </c>
      <c r="C34" s="12"/>
      <c r="D34" s="11"/>
      <c r="E34" s="43"/>
      <c r="F34" s="12">
        <f>SUM(F30:F33)</f>
        <v>18699068</v>
      </c>
      <c r="G34" s="44"/>
    </row>
    <row r="35" spans="1:7" x14ac:dyDescent="0.2">
      <c r="A35" s="134">
        <f t="shared" si="1"/>
        <v>20</v>
      </c>
      <c r="B35" s="164" t="s">
        <v>151</v>
      </c>
      <c r="C35" s="12"/>
      <c r="D35" s="11"/>
      <c r="E35" s="43"/>
      <c r="F35" s="28">
        <f>ROUND((F34)*$J$2,0)</f>
        <v>0</v>
      </c>
      <c r="G35" s="44"/>
    </row>
    <row r="36" spans="1:7" x14ac:dyDescent="0.2">
      <c r="A36" s="134">
        <f t="shared" si="1"/>
        <v>21</v>
      </c>
      <c r="B36" s="3" t="s">
        <v>152</v>
      </c>
      <c r="C36" s="12"/>
      <c r="D36" s="11"/>
      <c r="E36" s="43"/>
      <c r="F36" s="12">
        <f>SUM(F34:F35)</f>
        <v>18699068</v>
      </c>
      <c r="G36" s="44"/>
    </row>
    <row r="37" spans="1:7" x14ac:dyDescent="0.2">
      <c r="A37" s="134">
        <f t="shared" si="1"/>
        <v>22</v>
      </c>
      <c r="B37" s="164" t="s">
        <v>66</v>
      </c>
      <c r="C37" s="12"/>
      <c r="D37" s="11">
        <f>D32</f>
        <v>2524483.6</v>
      </c>
      <c r="E37" s="44">
        <f>$J$11</f>
        <v>4.1350999999999996</v>
      </c>
      <c r="F37" s="154">
        <f>ROUND(D37*E37,0)</f>
        <v>10438992</v>
      </c>
      <c r="G37" s="44"/>
    </row>
    <row r="38" spans="1:7" x14ac:dyDescent="0.2">
      <c r="A38" s="134">
        <f t="shared" si="1"/>
        <v>23</v>
      </c>
      <c r="B38" s="164" t="s">
        <v>323</v>
      </c>
      <c r="C38" s="12"/>
      <c r="D38" s="11">
        <f>D32</f>
        <v>2524483.6</v>
      </c>
      <c r="E38" s="44">
        <f>E25</f>
        <v>4.1399999999999999E-2</v>
      </c>
      <c r="F38" s="156">
        <f>ROUND(D38*E38,0)</f>
        <v>104514</v>
      </c>
      <c r="G38" s="44"/>
    </row>
    <row r="39" spans="1:7" x14ac:dyDescent="0.2">
      <c r="A39" s="134">
        <f t="shared" si="1"/>
        <v>24</v>
      </c>
      <c r="B39" s="14" t="s">
        <v>619</v>
      </c>
      <c r="C39" s="12">
        <f>C30</f>
        <v>272190</v>
      </c>
      <c r="D39" s="11">
        <f>D32</f>
        <v>2524483.6</v>
      </c>
      <c r="E39" s="43"/>
      <c r="F39" s="12">
        <f>SUM(F36:F38)</f>
        <v>29242574</v>
      </c>
      <c r="G39" s="44"/>
    </row>
    <row r="40" spans="1:7" x14ac:dyDescent="0.2">
      <c r="C40" s="12"/>
      <c r="D40" s="11"/>
      <c r="E40" s="43"/>
      <c r="F40" s="12"/>
      <c r="G40" s="44"/>
    </row>
    <row r="41" spans="1:7" x14ac:dyDescent="0.2">
      <c r="A41" s="134">
        <f>A39+1</f>
        <v>25</v>
      </c>
      <c r="B41" s="34" t="s">
        <v>548</v>
      </c>
      <c r="C41" s="12"/>
      <c r="D41" s="11"/>
      <c r="E41" s="43"/>
      <c r="F41" s="12"/>
      <c r="G41" s="44"/>
    </row>
    <row r="42" spans="1:7" x14ac:dyDescent="0.2">
      <c r="B42" s="13"/>
      <c r="C42" s="12"/>
      <c r="D42" s="11"/>
      <c r="E42" s="43"/>
      <c r="F42" s="12"/>
      <c r="G42" s="44"/>
    </row>
    <row r="43" spans="1:7" x14ac:dyDescent="0.2">
      <c r="A43" s="134">
        <f>A41+1</f>
        <v>26</v>
      </c>
      <c r="B43" s="27" t="s">
        <v>64</v>
      </c>
      <c r="G43" s="44"/>
    </row>
    <row r="44" spans="1:7" s="153" customFormat="1" x14ac:dyDescent="0.2">
      <c r="A44" s="134">
        <f>A43+1</f>
        <v>27</v>
      </c>
      <c r="B44" s="166" t="s">
        <v>348</v>
      </c>
      <c r="C44" s="12">
        <f>'Sch2'!I29+'Sch2'!I33</f>
        <v>287206</v>
      </c>
      <c r="D44" s="11"/>
      <c r="E44" s="213">
        <v>21.25</v>
      </c>
      <c r="F44" s="12">
        <f>ROUND(C44*E44,0)</f>
        <v>6103128</v>
      </c>
      <c r="G44" s="158"/>
    </row>
    <row r="45" spans="1:7" s="153" customFormat="1" x14ac:dyDescent="0.2">
      <c r="A45" s="134">
        <f t="shared" ref="A45:A54" si="2">A44+1</f>
        <v>28</v>
      </c>
      <c r="B45" s="27" t="s">
        <v>63</v>
      </c>
      <c r="C45" s="12"/>
      <c r="D45" s="11"/>
      <c r="E45" s="206"/>
      <c r="F45" s="12"/>
      <c r="G45" s="158"/>
    </row>
    <row r="46" spans="1:7" s="153" customFormat="1" x14ac:dyDescent="0.2">
      <c r="A46" s="134">
        <f t="shared" si="2"/>
        <v>29</v>
      </c>
      <c r="B46" s="166" t="s">
        <v>348</v>
      </c>
      <c r="C46" s="12"/>
      <c r="D46" s="11">
        <f>'Sch3'!H26+'Sch3'!H30</f>
        <v>4812979.1000000006</v>
      </c>
      <c r="E46" s="206">
        <v>4.0869999999999997</v>
      </c>
      <c r="F46" s="154">
        <f>ROUND(D46*E46,0)</f>
        <v>19670646</v>
      </c>
      <c r="G46" s="158"/>
    </row>
    <row r="47" spans="1:7" s="153" customFormat="1" x14ac:dyDescent="0.2">
      <c r="A47" s="134">
        <f t="shared" si="2"/>
        <v>30</v>
      </c>
      <c r="B47" s="164" t="s">
        <v>440</v>
      </c>
      <c r="C47" s="154"/>
      <c r="D47" s="11">
        <f>D46</f>
        <v>4812979.1000000006</v>
      </c>
      <c r="E47" s="158">
        <f>E19</f>
        <v>1E-3</v>
      </c>
      <c r="F47" s="154">
        <f>ROUND(D47*E47,0)</f>
        <v>4813</v>
      </c>
      <c r="G47" s="158"/>
    </row>
    <row r="48" spans="1:7" s="153" customFormat="1" x14ac:dyDescent="0.2">
      <c r="A48" s="134">
        <f t="shared" si="2"/>
        <v>31</v>
      </c>
      <c r="B48" s="164" t="s">
        <v>292</v>
      </c>
      <c r="C48" s="154"/>
      <c r="D48" s="11">
        <f>D47</f>
        <v>4812979.1000000006</v>
      </c>
      <c r="E48" s="158">
        <f>E20</f>
        <v>6.9500000000000006E-2</v>
      </c>
      <c r="F48" s="156">
        <f>ROUND(D48*E48,0)</f>
        <v>334502</v>
      </c>
      <c r="G48" s="158"/>
    </row>
    <row r="49" spans="1:7" s="153" customFormat="1" x14ac:dyDescent="0.2">
      <c r="A49" s="134">
        <f t="shared" si="2"/>
        <v>32</v>
      </c>
      <c r="B49" s="27" t="s">
        <v>65</v>
      </c>
      <c r="C49" s="12"/>
      <c r="D49" s="11"/>
      <c r="E49" s="43"/>
      <c r="F49" s="12">
        <f>SUM(F44:F48)</f>
        <v>26113089</v>
      </c>
      <c r="G49" s="44"/>
    </row>
    <row r="50" spans="1:7" s="153" customFormat="1" x14ac:dyDescent="0.2">
      <c r="A50" s="134">
        <f t="shared" si="2"/>
        <v>33</v>
      </c>
      <c r="B50" s="164" t="s">
        <v>151</v>
      </c>
      <c r="C50" s="12"/>
      <c r="D50" s="11"/>
      <c r="E50" s="43"/>
      <c r="F50" s="28">
        <f>ROUND((F49)*$J$2,0)</f>
        <v>0</v>
      </c>
      <c r="G50" s="44"/>
    </row>
    <row r="51" spans="1:7" s="153" customFormat="1" x14ac:dyDescent="0.2">
      <c r="A51" s="134">
        <f t="shared" si="2"/>
        <v>34</v>
      </c>
      <c r="B51" s="3" t="s">
        <v>152</v>
      </c>
      <c r="C51" s="12"/>
      <c r="D51" s="11"/>
      <c r="E51" s="43"/>
      <c r="F51" s="12">
        <f>SUM(F49:F50)</f>
        <v>26113089</v>
      </c>
      <c r="G51" s="44"/>
    </row>
    <row r="52" spans="1:7" s="153" customFormat="1" x14ac:dyDescent="0.2">
      <c r="A52" s="134">
        <f t="shared" si="2"/>
        <v>35</v>
      </c>
      <c r="B52" s="164" t="s">
        <v>66</v>
      </c>
      <c r="C52" s="12"/>
      <c r="D52" s="11">
        <f>D48</f>
        <v>4812979.1000000006</v>
      </c>
      <c r="E52" s="44">
        <f>$J$11</f>
        <v>4.1350999999999996</v>
      </c>
      <c r="F52" s="154">
        <f>ROUND(D52*E52,0)</f>
        <v>19902150</v>
      </c>
      <c r="G52" s="44"/>
    </row>
    <row r="53" spans="1:7" s="153" customFormat="1" x14ac:dyDescent="0.2">
      <c r="A53" s="134">
        <f t="shared" si="2"/>
        <v>36</v>
      </c>
      <c r="B53" s="164" t="s">
        <v>323</v>
      </c>
      <c r="C53" s="12"/>
      <c r="D53" s="11">
        <f>D52</f>
        <v>4812979.1000000006</v>
      </c>
      <c r="E53" s="206">
        <v>8.6999999999999994E-3</v>
      </c>
      <c r="F53" s="156">
        <f>ROUND(D53*E53,0)</f>
        <v>41873</v>
      </c>
      <c r="G53" s="44"/>
    </row>
    <row r="54" spans="1:7" s="153" customFormat="1" x14ac:dyDescent="0.2">
      <c r="A54" s="134">
        <f t="shared" si="2"/>
        <v>37</v>
      </c>
      <c r="B54" s="14" t="s">
        <v>122</v>
      </c>
      <c r="C54" s="12">
        <f>C44</f>
        <v>287206</v>
      </c>
      <c r="D54" s="31">
        <f>D53</f>
        <v>4812979.1000000006</v>
      </c>
      <c r="E54" s="43"/>
      <c r="F54" s="12">
        <f>SUM(F51:F53)</f>
        <v>46057112</v>
      </c>
      <c r="G54" s="44">
        <f>ROUND(F54/D54,4)</f>
        <v>9.5693999999999999</v>
      </c>
    </row>
    <row r="55" spans="1:7" s="153" customFormat="1" x14ac:dyDescent="0.2">
      <c r="A55" s="134"/>
      <c r="B55" s="27"/>
      <c r="G55" s="158"/>
    </row>
    <row r="56" spans="1:7" s="153" customFormat="1" x14ac:dyDescent="0.2">
      <c r="A56" s="134">
        <f>A54+1</f>
        <v>38</v>
      </c>
      <c r="B56" s="34" t="s">
        <v>547</v>
      </c>
      <c r="G56" s="158"/>
    </row>
    <row r="57" spans="1:7" s="153" customFormat="1" x14ac:dyDescent="0.2">
      <c r="A57" s="134"/>
      <c r="B57" s="27"/>
      <c r="G57" s="158"/>
    </row>
    <row r="58" spans="1:7" x14ac:dyDescent="0.2">
      <c r="A58" s="134">
        <f>A56+1</f>
        <v>39</v>
      </c>
      <c r="B58" s="27" t="s">
        <v>64</v>
      </c>
      <c r="G58" s="44"/>
    </row>
    <row r="59" spans="1:7" x14ac:dyDescent="0.2">
      <c r="A59" s="134">
        <f>A58+1</f>
        <v>40</v>
      </c>
      <c r="B59" s="167" t="s">
        <v>482</v>
      </c>
      <c r="C59" s="154">
        <f>'Sch2'!I41+'Sch2'!I45</f>
        <v>31073</v>
      </c>
      <c r="D59" s="11"/>
      <c r="E59" s="213">
        <v>48</v>
      </c>
      <c r="F59" s="12">
        <f>ROUND(C59*E59,0)</f>
        <v>1491504</v>
      </c>
      <c r="G59" s="44"/>
    </row>
    <row r="60" spans="1:7" x14ac:dyDescent="0.2">
      <c r="A60" s="134">
        <f t="shared" ref="A60" si="3">A59+1</f>
        <v>41</v>
      </c>
      <c r="B60" s="27" t="s">
        <v>63</v>
      </c>
      <c r="E60" s="307"/>
      <c r="G60" s="44"/>
    </row>
    <row r="61" spans="1:7" s="153" customFormat="1" x14ac:dyDescent="0.2">
      <c r="A61" s="134">
        <f>A60+1</f>
        <v>42</v>
      </c>
      <c r="B61" s="167" t="s">
        <v>482</v>
      </c>
      <c r="C61" s="154"/>
      <c r="D61" s="11">
        <f>'Sch3'!H38+'Sch3'!H42</f>
        <v>4055013.8000000003</v>
      </c>
      <c r="E61" s="206">
        <v>3.6288</v>
      </c>
      <c r="F61" s="154">
        <f>ROUND(D61*E61,0)</f>
        <v>14714834</v>
      </c>
      <c r="G61" s="158"/>
    </row>
    <row r="62" spans="1:7" s="153" customFormat="1" x14ac:dyDescent="0.2">
      <c r="A62" s="134">
        <f t="shared" ref="A62:A69" si="4">A61+1</f>
        <v>43</v>
      </c>
      <c r="B62" s="164" t="s">
        <v>440</v>
      </c>
      <c r="C62" s="154"/>
      <c r="D62" s="11">
        <f>D61</f>
        <v>4055013.8000000003</v>
      </c>
      <c r="E62" s="158">
        <f>E47</f>
        <v>1E-3</v>
      </c>
      <c r="F62" s="154">
        <f>ROUND(D62*E62,0)</f>
        <v>4055</v>
      </c>
      <c r="G62" s="158"/>
    </row>
    <row r="63" spans="1:7" s="153" customFormat="1" x14ac:dyDescent="0.2">
      <c r="A63" s="134">
        <f t="shared" si="4"/>
        <v>44</v>
      </c>
      <c r="B63" s="164" t="s">
        <v>292</v>
      </c>
      <c r="C63" s="154"/>
      <c r="D63" s="11">
        <f>D62</f>
        <v>4055013.8000000003</v>
      </c>
      <c r="E63" s="158">
        <f>E33</f>
        <v>6.9500000000000006E-2</v>
      </c>
      <c r="F63" s="156">
        <f>ROUND(D63*E63,0)</f>
        <v>281823</v>
      </c>
      <c r="G63" s="158"/>
    </row>
    <row r="64" spans="1:7" s="153" customFormat="1" x14ac:dyDescent="0.2">
      <c r="A64" s="134">
        <f t="shared" si="4"/>
        <v>45</v>
      </c>
      <c r="B64" s="27" t="s">
        <v>65</v>
      </c>
      <c r="C64" s="154"/>
      <c r="D64" s="11"/>
      <c r="E64" s="157"/>
      <c r="F64" s="154">
        <f>SUM(F59:F63)</f>
        <v>16492216</v>
      </c>
      <c r="G64" s="158"/>
    </row>
    <row r="65" spans="1:7" x14ac:dyDescent="0.2">
      <c r="A65" s="134">
        <f t="shared" si="4"/>
        <v>46</v>
      </c>
      <c r="B65" s="164" t="s">
        <v>151</v>
      </c>
      <c r="C65" s="154"/>
      <c r="D65" s="11"/>
      <c r="E65" s="157"/>
      <c r="F65" s="156">
        <f>ROUND((F64)*$J$2,0)</f>
        <v>0</v>
      </c>
      <c r="G65" s="158"/>
    </row>
    <row r="66" spans="1:7" x14ac:dyDescent="0.2">
      <c r="A66" s="134">
        <f t="shared" si="4"/>
        <v>47</v>
      </c>
      <c r="B66" s="153" t="s">
        <v>152</v>
      </c>
      <c r="C66" s="154"/>
      <c r="D66" s="11"/>
      <c r="E66" s="157"/>
      <c r="F66" s="154">
        <f>SUM(F64:F65)</f>
        <v>16492216</v>
      </c>
      <c r="G66" s="158"/>
    </row>
    <row r="67" spans="1:7" x14ac:dyDescent="0.2">
      <c r="A67" s="134">
        <f t="shared" si="4"/>
        <v>48</v>
      </c>
      <c r="B67" s="164" t="s">
        <v>66</v>
      </c>
      <c r="C67" s="154"/>
      <c r="D67" s="11">
        <f>D63</f>
        <v>4055013.8000000003</v>
      </c>
      <c r="E67" s="158">
        <f>$J$11</f>
        <v>4.1350999999999996</v>
      </c>
      <c r="F67" s="154">
        <f>ROUND(D67*E67,0)</f>
        <v>16767888</v>
      </c>
      <c r="G67" s="158"/>
    </row>
    <row r="68" spans="1:7" x14ac:dyDescent="0.2">
      <c r="A68" s="134">
        <f t="shared" si="4"/>
        <v>49</v>
      </c>
      <c r="B68" s="164" t="s">
        <v>323</v>
      </c>
      <c r="C68" s="154"/>
      <c r="D68" s="11">
        <f>D67</f>
        <v>4055013.8000000003</v>
      </c>
      <c r="E68" s="158">
        <f>E53</f>
        <v>8.6999999999999994E-3</v>
      </c>
      <c r="F68" s="156">
        <f>ROUND(D68*E68,0)</f>
        <v>35279</v>
      </c>
      <c r="G68" s="158"/>
    </row>
    <row r="69" spans="1:7" x14ac:dyDescent="0.2">
      <c r="A69" s="134">
        <f t="shared" si="4"/>
        <v>50</v>
      </c>
      <c r="B69" s="14" t="s">
        <v>122</v>
      </c>
      <c r="C69" s="154">
        <f>C59</f>
        <v>31073</v>
      </c>
      <c r="D69" s="31">
        <f>D68</f>
        <v>4055013.8000000003</v>
      </c>
      <c r="E69" s="157"/>
      <c r="F69" s="154">
        <f>SUM(F66:F68)</f>
        <v>33295383</v>
      </c>
      <c r="G69" s="158">
        <f>ROUND(F69/D69,4)</f>
        <v>8.2109000000000005</v>
      </c>
    </row>
    <row r="70" spans="1:7" x14ac:dyDescent="0.2">
      <c r="A70" s="215"/>
      <c r="B70" s="1"/>
      <c r="C70" s="6"/>
    </row>
    <row r="71" spans="1:7" s="153" customFormat="1" x14ac:dyDescent="0.2">
      <c r="A71" s="273"/>
      <c r="B71" s="273"/>
      <c r="C71" s="6"/>
    </row>
    <row r="72" spans="1:7" s="153" customFormat="1" x14ac:dyDescent="0.2">
      <c r="A72" s="134"/>
      <c r="B72" s="3"/>
      <c r="C72" s="12"/>
      <c r="D72" s="11"/>
      <c r="E72" s="43"/>
      <c r="F72" s="12"/>
      <c r="G72" s="2" t="str">
        <f>adjno</f>
        <v>Exhibit No. 103</v>
      </c>
    </row>
    <row r="73" spans="1:7" s="153" customFormat="1" x14ac:dyDescent="0.2">
      <c r="A73" s="353" t="str">
        <f>coname</f>
        <v>Columbia Gas of Pennsylvania, Inc.</v>
      </c>
      <c r="B73" s="353"/>
      <c r="C73" s="353"/>
      <c r="D73" s="353"/>
      <c r="E73" s="353"/>
      <c r="F73" s="353"/>
      <c r="G73" s="2" t="s">
        <v>191</v>
      </c>
    </row>
    <row r="74" spans="1:7" s="153" customFormat="1" x14ac:dyDescent="0.2">
      <c r="A74" s="353" t="str">
        <f>A3</f>
        <v>Revenue @ Current Rates Based on Forecast Adjusted Bills and Volumes</v>
      </c>
      <c r="B74" s="353"/>
      <c r="C74" s="353"/>
      <c r="D74" s="353"/>
      <c r="E74" s="353"/>
      <c r="F74" s="353"/>
      <c r="G74" s="2" t="s">
        <v>576</v>
      </c>
    </row>
    <row r="75" spans="1:7" s="153" customFormat="1" x14ac:dyDescent="0.2">
      <c r="A75" s="353" t="str">
        <f>TYDESC</f>
        <v>For the 12 Months Ended December 31, 2019</v>
      </c>
      <c r="B75" s="353"/>
      <c r="C75" s="353"/>
      <c r="D75" s="353"/>
      <c r="E75" s="353"/>
      <c r="F75" s="353"/>
      <c r="G75" s="4" t="str">
        <f>'Sch1'!$G$4</f>
        <v>Witness: D. Joe Mays</v>
      </c>
    </row>
    <row r="76" spans="1:7" s="153" customFormat="1" x14ac:dyDescent="0.2">
      <c r="A76" s="215"/>
      <c r="B76" s="1"/>
      <c r="C76" s="6"/>
      <c r="D76" s="3"/>
      <c r="E76" s="3"/>
      <c r="F76" s="3"/>
      <c r="G76" s="3"/>
    </row>
    <row r="77" spans="1:7" s="153" customFormat="1" x14ac:dyDescent="0.2">
      <c r="A77" s="215" t="s">
        <v>3</v>
      </c>
      <c r="B77" s="1"/>
      <c r="C77" s="6"/>
      <c r="D77" s="6"/>
      <c r="E77" s="6"/>
      <c r="F77" s="6"/>
      <c r="G77" s="1"/>
    </row>
    <row r="78" spans="1:7" s="153" customFormat="1" x14ac:dyDescent="0.2">
      <c r="A78" s="172" t="s">
        <v>6</v>
      </c>
      <c r="B78" s="161" t="s">
        <v>7</v>
      </c>
      <c r="C78" s="7" t="s">
        <v>35</v>
      </c>
      <c r="D78" s="7" t="s">
        <v>40</v>
      </c>
      <c r="E78" s="7" t="s">
        <v>30</v>
      </c>
      <c r="F78" s="7" t="s">
        <v>31</v>
      </c>
      <c r="G78" s="7" t="s">
        <v>192</v>
      </c>
    </row>
    <row r="79" spans="1:7" s="153" customFormat="1" x14ac:dyDescent="0.2">
      <c r="A79" s="215"/>
      <c r="B79" s="6"/>
      <c r="C79" s="1" t="s">
        <v>12</v>
      </c>
      <c r="D79" s="1" t="s">
        <v>13</v>
      </c>
      <c r="E79" s="1" t="s">
        <v>32</v>
      </c>
      <c r="F79" s="1" t="s">
        <v>14</v>
      </c>
      <c r="G79" s="1" t="s">
        <v>15</v>
      </c>
    </row>
    <row r="80" spans="1:7" s="153" customFormat="1" x14ac:dyDescent="0.2">
      <c r="A80" s="215"/>
      <c r="B80" s="6"/>
      <c r="C80" s="6"/>
      <c r="D80" s="1" t="s">
        <v>241</v>
      </c>
      <c r="E80" s="8" t="s">
        <v>240</v>
      </c>
      <c r="F80" s="1" t="s">
        <v>33</v>
      </c>
      <c r="G80" s="8" t="s">
        <v>240</v>
      </c>
    </row>
    <row r="81" spans="1:14" s="153" customFormat="1" x14ac:dyDescent="0.2">
      <c r="A81" s="134"/>
      <c r="B81" s="3"/>
      <c r="C81" s="9" t="s">
        <v>277</v>
      </c>
      <c r="D81" s="9" t="s">
        <v>278</v>
      </c>
      <c r="E81" s="3"/>
      <c r="F81" s="3"/>
      <c r="G81" s="3"/>
    </row>
    <row r="82" spans="1:14" x14ac:dyDescent="0.2">
      <c r="A82" s="134">
        <v>1</v>
      </c>
      <c r="B82" s="34" t="s">
        <v>219</v>
      </c>
      <c r="C82" s="12"/>
      <c r="D82" s="11"/>
      <c r="E82" s="43"/>
      <c r="F82" s="12"/>
      <c r="G82" s="44"/>
    </row>
    <row r="83" spans="1:14" x14ac:dyDescent="0.2">
      <c r="B83" s="14"/>
      <c r="C83" s="12"/>
      <c r="D83" s="11"/>
      <c r="E83" s="43"/>
      <c r="F83" s="12"/>
      <c r="G83" s="44"/>
    </row>
    <row r="84" spans="1:14" x14ac:dyDescent="0.2">
      <c r="A84" s="134">
        <f>A82+1</f>
        <v>2</v>
      </c>
      <c r="B84" s="27" t="s">
        <v>62</v>
      </c>
      <c r="C84" s="12"/>
      <c r="D84" s="11"/>
      <c r="E84" s="43"/>
      <c r="F84" s="12"/>
      <c r="G84" s="44"/>
    </row>
    <row r="85" spans="1:14" x14ac:dyDescent="0.2">
      <c r="A85" s="134">
        <f>A84+1</f>
        <v>3</v>
      </c>
      <c r="B85" s="167" t="s">
        <v>350</v>
      </c>
      <c r="C85" s="12">
        <f>'Sch2'!I53+'Sch2'!I57</f>
        <v>12</v>
      </c>
      <c r="D85" s="11"/>
      <c r="E85" s="213">
        <v>1149</v>
      </c>
      <c r="F85" s="12">
        <f>ROUND(C85*E85,0)</f>
        <v>13788</v>
      </c>
      <c r="G85" s="44"/>
    </row>
    <row r="86" spans="1:14" x14ac:dyDescent="0.2">
      <c r="A86" s="134">
        <f t="shared" ref="A86:A93" si="5">A85+1</f>
        <v>4</v>
      </c>
      <c r="B86" s="27" t="s">
        <v>63</v>
      </c>
      <c r="C86" s="12"/>
      <c r="D86" s="11"/>
      <c r="E86" s="206"/>
      <c r="F86" s="12"/>
      <c r="G86" s="44"/>
    </row>
    <row r="87" spans="1:14" x14ac:dyDescent="0.2">
      <c r="A87" s="134">
        <f t="shared" si="5"/>
        <v>5</v>
      </c>
      <c r="B87" s="167" t="s">
        <v>350</v>
      </c>
      <c r="C87" s="12"/>
      <c r="D87" s="29">
        <f>'Sch3'!H50+'Sch3'!H55</f>
        <v>72700</v>
      </c>
      <c r="E87" s="206">
        <v>9.3700000000000006E-2</v>
      </c>
      <c r="F87" s="28">
        <f>ROUND(D87*E87,0)</f>
        <v>6812</v>
      </c>
      <c r="G87" s="44"/>
    </row>
    <row r="88" spans="1:14" x14ac:dyDescent="0.2">
      <c r="A88" s="134">
        <f t="shared" si="5"/>
        <v>6</v>
      </c>
      <c r="B88" s="27" t="s">
        <v>65</v>
      </c>
      <c r="C88" s="12"/>
      <c r="D88" s="11">
        <f>SUM(D87:D87)</f>
        <v>72700</v>
      </c>
      <c r="E88" s="43"/>
      <c r="F88" s="12">
        <f>SUM(F85:F87)</f>
        <v>20600</v>
      </c>
      <c r="G88" s="44"/>
    </row>
    <row r="89" spans="1:14" x14ac:dyDescent="0.2">
      <c r="A89" s="134">
        <f t="shared" si="5"/>
        <v>7</v>
      </c>
      <c r="B89" s="164" t="s">
        <v>151</v>
      </c>
      <c r="C89" s="12"/>
      <c r="D89" s="11"/>
      <c r="E89" s="43"/>
      <c r="F89" s="28">
        <f>ROUND((F88)*$J$2,0)</f>
        <v>0</v>
      </c>
      <c r="G89" s="44"/>
    </row>
    <row r="90" spans="1:14" x14ac:dyDescent="0.2">
      <c r="A90" s="134">
        <f t="shared" si="5"/>
        <v>8</v>
      </c>
      <c r="B90" s="3" t="s">
        <v>152</v>
      </c>
      <c r="C90" s="12"/>
      <c r="D90" s="11"/>
      <c r="E90" s="43"/>
      <c r="F90" s="12">
        <f>SUM(F88:F89)</f>
        <v>20600</v>
      </c>
      <c r="G90" s="44"/>
    </row>
    <row r="91" spans="1:14" x14ac:dyDescent="0.2">
      <c r="A91" s="134">
        <f t="shared" si="5"/>
        <v>9</v>
      </c>
      <c r="B91" s="164" t="s">
        <v>246</v>
      </c>
      <c r="C91" s="12"/>
      <c r="D91" s="11">
        <f>D88</f>
        <v>72700</v>
      </c>
      <c r="E91" s="113" t="s">
        <v>238</v>
      </c>
      <c r="F91" s="151">
        <v>263756</v>
      </c>
      <c r="G91" s="44"/>
    </row>
    <row r="92" spans="1:14" x14ac:dyDescent="0.2">
      <c r="A92" s="134">
        <f t="shared" si="5"/>
        <v>10</v>
      </c>
      <c r="B92" s="164" t="s">
        <v>247</v>
      </c>
      <c r="C92" s="12"/>
      <c r="D92" s="214">
        <v>550</v>
      </c>
      <c r="E92" s="113"/>
      <c r="F92" s="205">
        <v>4261</v>
      </c>
      <c r="G92" s="44"/>
      <c r="J92" s="153"/>
      <c r="K92" s="153"/>
      <c r="L92" s="153"/>
      <c r="M92" s="153"/>
      <c r="N92" s="153"/>
    </row>
    <row r="93" spans="1:14" x14ac:dyDescent="0.2">
      <c r="A93" s="134">
        <f t="shared" si="5"/>
        <v>11</v>
      </c>
      <c r="B93" s="14" t="s">
        <v>220</v>
      </c>
      <c r="C93" s="12">
        <f>SUM(C85:C85)</f>
        <v>12</v>
      </c>
      <c r="D93" s="11">
        <f>D88</f>
        <v>72700</v>
      </c>
      <c r="E93" s="43"/>
      <c r="F93" s="12">
        <f>SUM(F90:F92)</f>
        <v>288617</v>
      </c>
      <c r="G93" s="44">
        <f>ROUND(F93/D93,4)</f>
        <v>3.97</v>
      </c>
    </row>
    <row r="94" spans="1:14" x14ac:dyDescent="0.2">
      <c r="B94" s="14"/>
      <c r="C94" s="12"/>
      <c r="D94" s="11"/>
      <c r="E94" s="43"/>
      <c r="F94" s="12"/>
      <c r="G94" s="44"/>
    </row>
    <row r="95" spans="1:14" x14ac:dyDescent="0.2">
      <c r="A95" s="134">
        <f>A93+1</f>
        <v>12</v>
      </c>
      <c r="B95" s="42" t="s">
        <v>121</v>
      </c>
      <c r="C95" s="12"/>
      <c r="D95" s="11"/>
      <c r="E95" s="43"/>
      <c r="F95" s="12"/>
      <c r="G95" s="44"/>
    </row>
    <row r="96" spans="1:14" x14ac:dyDescent="0.2">
      <c r="B96" s="13"/>
      <c r="C96" s="12"/>
      <c r="D96" s="11"/>
      <c r="E96" s="43"/>
      <c r="F96" s="12"/>
      <c r="G96" s="44"/>
    </row>
    <row r="97" spans="1:7" x14ac:dyDescent="0.2">
      <c r="A97" s="134">
        <f>A95+1</f>
        <v>13</v>
      </c>
      <c r="B97" s="27" t="s">
        <v>64</v>
      </c>
      <c r="C97" s="14"/>
      <c r="D97" s="11"/>
      <c r="E97" s="43"/>
      <c r="F97" s="12"/>
      <c r="G97" s="44"/>
    </row>
    <row r="98" spans="1:7" x14ac:dyDescent="0.2">
      <c r="A98" s="134">
        <f t="shared" ref="A98:A115" si="6">A97+1</f>
        <v>14</v>
      </c>
      <c r="B98" s="167" t="s">
        <v>351</v>
      </c>
      <c r="C98" s="96">
        <f>'Sch2'!I65+'Sch2'!I76</f>
        <v>536</v>
      </c>
      <c r="D98" s="11"/>
      <c r="E98" s="213">
        <v>229.75</v>
      </c>
      <c r="F98" s="12">
        <f t="shared" ref="F98:F103" si="7">ROUND(C98*E98,0)</f>
        <v>123146</v>
      </c>
      <c r="G98" s="44"/>
    </row>
    <row r="99" spans="1:7" x14ac:dyDescent="0.2">
      <c r="A99" s="134">
        <f t="shared" si="6"/>
        <v>15</v>
      </c>
      <c r="B99" s="167" t="s">
        <v>352</v>
      </c>
      <c r="C99" s="96">
        <f>'Sch2'!I66+'Sch2'!I77</f>
        <v>282</v>
      </c>
      <c r="D99" s="11"/>
      <c r="E99" s="213">
        <v>757.34</v>
      </c>
      <c r="F99" s="12">
        <f t="shared" si="7"/>
        <v>213570</v>
      </c>
      <c r="G99" s="44"/>
    </row>
    <row r="100" spans="1:7" x14ac:dyDescent="0.2">
      <c r="A100" s="134">
        <f t="shared" si="6"/>
        <v>16</v>
      </c>
      <c r="B100" s="167" t="s">
        <v>353</v>
      </c>
      <c r="C100" s="96">
        <f>'Sch2'!I67+'Sch2'!I78</f>
        <v>0</v>
      </c>
      <c r="D100" s="11"/>
      <c r="E100" s="213">
        <v>1947.06</v>
      </c>
      <c r="F100" s="12">
        <f t="shared" si="7"/>
        <v>0</v>
      </c>
      <c r="G100" s="44"/>
    </row>
    <row r="101" spans="1:7" x14ac:dyDescent="0.2">
      <c r="A101" s="134">
        <f t="shared" si="6"/>
        <v>17</v>
      </c>
      <c r="B101" s="167" t="s">
        <v>354</v>
      </c>
      <c r="C101" s="96">
        <f>'Sch2'!I68+'Sch2'!I79</f>
        <v>0</v>
      </c>
      <c r="D101" s="11"/>
      <c r="E101" s="213">
        <v>3028.76</v>
      </c>
      <c r="F101" s="12">
        <f t="shared" si="7"/>
        <v>0</v>
      </c>
      <c r="G101" s="44"/>
    </row>
    <row r="102" spans="1:7" x14ac:dyDescent="0.2">
      <c r="A102" s="134">
        <f t="shared" si="6"/>
        <v>18</v>
      </c>
      <c r="B102" s="167" t="s">
        <v>355</v>
      </c>
      <c r="C102" s="96">
        <f>'Sch2'!I69+'Sch2'!I80</f>
        <v>0</v>
      </c>
      <c r="D102" s="11"/>
      <c r="E102" s="213">
        <v>5841.18</v>
      </c>
      <c r="F102" s="12">
        <f t="shared" si="7"/>
        <v>0</v>
      </c>
      <c r="G102" s="44"/>
    </row>
    <row r="103" spans="1:7" x14ac:dyDescent="0.2">
      <c r="A103" s="134">
        <f t="shared" si="6"/>
        <v>19</v>
      </c>
      <c r="B103" s="167" t="s">
        <v>356</v>
      </c>
      <c r="C103" s="96">
        <f>'Sch2'!I70+'Sch2'!I81</f>
        <v>0</v>
      </c>
      <c r="D103" s="11"/>
      <c r="E103" s="213">
        <v>8653.6</v>
      </c>
      <c r="F103" s="12">
        <f t="shared" si="7"/>
        <v>0</v>
      </c>
      <c r="G103" s="44"/>
    </row>
    <row r="104" spans="1:7" s="153" customFormat="1" x14ac:dyDescent="0.2">
      <c r="A104" s="134">
        <f t="shared" si="6"/>
        <v>20</v>
      </c>
      <c r="B104" s="27" t="str">
        <f>$B$16</f>
        <v>Commodity Charge:</v>
      </c>
      <c r="D104" s="11"/>
      <c r="E104" s="157"/>
      <c r="F104" s="154"/>
      <c r="G104" s="158"/>
    </row>
    <row r="105" spans="1:7" s="153" customFormat="1" x14ac:dyDescent="0.2">
      <c r="A105" s="134">
        <f t="shared" si="6"/>
        <v>21</v>
      </c>
      <c r="B105" s="167" t="s">
        <v>483</v>
      </c>
      <c r="D105" s="11">
        <f>'Sch3'!H71+'Sch3'!H62</f>
        <v>429410.1</v>
      </c>
      <c r="E105" s="206">
        <v>2.3050000000000002</v>
      </c>
      <c r="F105" s="154">
        <f>ROUND(D105*E105,0)</f>
        <v>989790</v>
      </c>
      <c r="G105" s="158"/>
    </row>
    <row r="106" spans="1:7" s="153" customFormat="1" x14ac:dyDescent="0.2">
      <c r="A106" s="134">
        <f t="shared" si="6"/>
        <v>22</v>
      </c>
      <c r="B106" s="167" t="s">
        <v>484</v>
      </c>
      <c r="D106" s="11">
        <f>'Sch3'!H63+'Sch3'!H72</f>
        <v>336643.10000000003</v>
      </c>
      <c r="E106" s="206">
        <v>2.1549999999999998</v>
      </c>
      <c r="F106" s="154">
        <f>ROUND(D106*E106,0)</f>
        <v>725466</v>
      </c>
      <c r="G106" s="158"/>
    </row>
    <row r="107" spans="1:7" s="153" customFormat="1" x14ac:dyDescent="0.2">
      <c r="A107" s="134">
        <f t="shared" si="6"/>
        <v>23</v>
      </c>
      <c r="B107" s="167" t="s">
        <v>353</v>
      </c>
      <c r="D107" s="11">
        <f>'Sch3'!H64+'Sch3'!H73</f>
        <v>0</v>
      </c>
      <c r="E107" s="206">
        <v>1.2999000000000001</v>
      </c>
      <c r="F107" s="154">
        <f>ROUND(D107*E107,0)</f>
        <v>0</v>
      </c>
      <c r="G107" s="158"/>
    </row>
    <row r="108" spans="1:7" s="153" customFormat="1" x14ac:dyDescent="0.2">
      <c r="A108" s="134">
        <f t="shared" si="6"/>
        <v>24</v>
      </c>
      <c r="B108" s="167" t="s">
        <v>339</v>
      </c>
      <c r="D108" s="11">
        <f>'Sch3'!H65+'Sch3'!H74</f>
        <v>0</v>
      </c>
      <c r="E108" s="206">
        <v>1.153</v>
      </c>
      <c r="F108" s="154">
        <f t="shared" ref="F108:F109" si="8">ROUND(D108*E108,0)</f>
        <v>0</v>
      </c>
      <c r="G108" s="158"/>
    </row>
    <row r="109" spans="1:7" s="153" customFormat="1" x14ac:dyDescent="0.2">
      <c r="A109" s="134">
        <f t="shared" si="6"/>
        <v>25</v>
      </c>
      <c r="B109" s="167" t="s">
        <v>340</v>
      </c>
      <c r="D109" s="11">
        <f>'Sch3'!H66+'Sch3'!H75</f>
        <v>0</v>
      </c>
      <c r="E109" s="206">
        <v>1.0347</v>
      </c>
      <c r="F109" s="154">
        <f t="shared" si="8"/>
        <v>0</v>
      </c>
      <c r="G109" s="158"/>
    </row>
    <row r="110" spans="1:7" s="153" customFormat="1" x14ac:dyDescent="0.2">
      <c r="A110" s="134">
        <f t="shared" si="6"/>
        <v>26</v>
      </c>
      <c r="B110" s="167" t="s">
        <v>286</v>
      </c>
      <c r="D110" s="11">
        <f>'Sch3'!H67+'Sch3'!H76</f>
        <v>0</v>
      </c>
      <c r="E110" s="206">
        <v>0.61570000000000003</v>
      </c>
      <c r="F110" s="154">
        <f t="shared" ref="F110" si="9">ROUND(D110*E110,0)</f>
        <v>0</v>
      </c>
      <c r="G110" s="158"/>
    </row>
    <row r="111" spans="1:7" s="153" customFormat="1" x14ac:dyDescent="0.2">
      <c r="A111" s="134">
        <f t="shared" si="6"/>
        <v>27</v>
      </c>
      <c r="B111" s="164" t="s">
        <v>557</v>
      </c>
      <c r="C111" s="14"/>
      <c r="D111" s="11">
        <f>D105+D106</f>
        <v>766053.2</v>
      </c>
      <c r="E111" s="158">
        <f>E20</f>
        <v>6.9500000000000006E-2</v>
      </c>
      <c r="F111" s="154">
        <f>ROUND(D111*E111,0)</f>
        <v>53241</v>
      </c>
      <c r="G111" s="158"/>
    </row>
    <row r="112" spans="1:7" s="153" customFormat="1" x14ac:dyDescent="0.2">
      <c r="A112" s="134">
        <f t="shared" si="6"/>
        <v>28</v>
      </c>
      <c r="B112" s="164" t="s">
        <v>558</v>
      </c>
      <c r="C112" s="14"/>
      <c r="D112" s="11">
        <f>SUM(D107:D110)</f>
        <v>0</v>
      </c>
      <c r="E112" s="158">
        <f>E20</f>
        <v>6.9500000000000006E-2</v>
      </c>
      <c r="F112" s="154">
        <f>ROUND(D112*E112,0)</f>
        <v>0</v>
      </c>
      <c r="G112" s="158"/>
    </row>
    <row r="113" spans="1:7" x14ac:dyDescent="0.2">
      <c r="A113" s="134">
        <f t="shared" si="6"/>
        <v>29</v>
      </c>
      <c r="B113" s="164" t="s">
        <v>519</v>
      </c>
      <c r="C113" s="14"/>
      <c r="D113" s="11"/>
      <c r="F113" s="154">
        <f>ROUND((F98+F99+F105+F106)*$J$2,0)</f>
        <v>0</v>
      </c>
      <c r="G113" s="44"/>
    </row>
    <row r="114" spans="1:7" s="153" customFormat="1" x14ac:dyDescent="0.2">
      <c r="A114" s="134">
        <f t="shared" si="6"/>
        <v>30</v>
      </c>
      <c r="B114" s="164" t="s">
        <v>520</v>
      </c>
      <c r="C114" s="14"/>
      <c r="D114" s="11"/>
      <c r="F114" s="156">
        <f>ROUND((F100+F101+F102+F103+F107+F108+F109+F110)*$J$2,0)</f>
        <v>0</v>
      </c>
      <c r="G114" s="158"/>
    </row>
    <row r="115" spans="1:7" x14ac:dyDescent="0.2">
      <c r="A115" s="134">
        <f t="shared" si="6"/>
        <v>31</v>
      </c>
      <c r="B115" s="3" t="s">
        <v>152</v>
      </c>
      <c r="C115" s="14"/>
      <c r="D115" s="11"/>
      <c r="F115" s="12">
        <f>SUM(F98:F114)</f>
        <v>2105213</v>
      </c>
      <c r="G115" s="44"/>
    </row>
    <row r="116" spans="1:7" x14ac:dyDescent="0.2">
      <c r="A116" s="134">
        <f>A115+1</f>
        <v>32</v>
      </c>
      <c r="B116" s="164" t="s">
        <v>521</v>
      </c>
      <c r="C116" s="14"/>
      <c r="D116" s="11">
        <f>D105+D106</f>
        <v>766053.2</v>
      </c>
      <c r="E116" s="158">
        <f>$J$11</f>
        <v>4.1350999999999996</v>
      </c>
      <c r="F116" s="154">
        <f>ROUND(D116*E116,0)</f>
        <v>3167707</v>
      </c>
      <c r="G116" s="44"/>
    </row>
    <row r="117" spans="1:7" s="153" customFormat="1" x14ac:dyDescent="0.2">
      <c r="A117" s="134">
        <f>A116+1</f>
        <v>33</v>
      </c>
      <c r="B117" s="164" t="s">
        <v>522</v>
      </c>
      <c r="C117" s="14"/>
      <c r="D117" s="29">
        <f>SUM(D107:D110)</f>
        <v>0</v>
      </c>
      <c r="E117" s="158">
        <f>$J$11</f>
        <v>4.1350999999999996</v>
      </c>
      <c r="F117" s="156">
        <f>ROUND(D117*E117,0)</f>
        <v>0</v>
      </c>
      <c r="G117" s="158"/>
    </row>
    <row r="118" spans="1:7" x14ac:dyDescent="0.2">
      <c r="A118" s="134">
        <f>A117+1</f>
        <v>34</v>
      </c>
      <c r="B118" s="14" t="s">
        <v>124</v>
      </c>
      <c r="C118" s="96">
        <f>SUM(C98:C103)</f>
        <v>818</v>
      </c>
      <c r="D118" s="11">
        <f>SUM(D116:D117)</f>
        <v>766053.2</v>
      </c>
      <c r="F118" s="12">
        <f>SUM(F115:F117)</f>
        <v>5272920</v>
      </c>
      <c r="G118" s="44">
        <f>ROUND(F118/D118,4)</f>
        <v>6.8832000000000004</v>
      </c>
    </row>
    <row r="119" spans="1:7" s="153" customFormat="1" ht="12" thickBot="1" x14ac:dyDescent="0.25">
      <c r="A119" s="134"/>
      <c r="C119" s="13"/>
      <c r="D119" s="11"/>
      <c r="G119" s="158"/>
    </row>
    <row r="120" spans="1:7" s="153" customFormat="1" x14ac:dyDescent="0.2">
      <c r="A120" s="221">
        <f>A118+1</f>
        <v>35</v>
      </c>
      <c r="B120" s="88" t="s">
        <v>397</v>
      </c>
      <c r="C120" s="16"/>
      <c r="D120" s="17"/>
      <c r="E120" s="45"/>
      <c r="F120" s="101"/>
      <c r="G120" s="158"/>
    </row>
    <row r="121" spans="1:7" s="153" customFormat="1" x14ac:dyDescent="0.2">
      <c r="A121" s="222"/>
      <c r="B121" s="155"/>
      <c r="C121" s="20"/>
      <c r="D121" s="21"/>
      <c r="E121" s="46"/>
      <c r="F121" s="102"/>
      <c r="G121" s="158"/>
    </row>
    <row r="122" spans="1:7" s="153" customFormat="1" x14ac:dyDescent="0.2">
      <c r="A122" s="222">
        <f>A120+1</f>
        <v>36</v>
      </c>
      <c r="B122" s="162" t="s">
        <v>237</v>
      </c>
      <c r="C122" s="20"/>
      <c r="D122" s="21"/>
      <c r="E122" s="46"/>
      <c r="F122" s="102">
        <f>F15+F30+F17+F32</f>
        <v>217609715</v>
      </c>
      <c r="G122" s="158"/>
    </row>
    <row r="123" spans="1:7" s="153" customFormat="1" x14ac:dyDescent="0.2">
      <c r="A123" s="222">
        <f t="shared" ref="A123:A129" si="10">A122+1</f>
        <v>37</v>
      </c>
      <c r="B123" s="162" t="s">
        <v>151</v>
      </c>
      <c r="C123" s="20"/>
      <c r="D123" s="21"/>
      <c r="E123" s="46"/>
      <c r="F123" s="102">
        <f>F22++F35</f>
        <v>0</v>
      </c>
      <c r="G123" s="158"/>
    </row>
    <row r="124" spans="1:7" s="153" customFormat="1" x14ac:dyDescent="0.2">
      <c r="A124" s="222">
        <f t="shared" si="10"/>
        <v>38</v>
      </c>
      <c r="B124" s="162" t="s">
        <v>229</v>
      </c>
      <c r="C124" s="20"/>
      <c r="D124" s="21"/>
      <c r="E124" s="46"/>
      <c r="F124" s="102">
        <f>F18</f>
        <v>22946588</v>
      </c>
      <c r="G124" s="158"/>
    </row>
    <row r="125" spans="1:7" s="153" customFormat="1" x14ac:dyDescent="0.2">
      <c r="A125" s="222">
        <f t="shared" si="10"/>
        <v>39</v>
      </c>
      <c r="B125" s="162" t="s">
        <v>323</v>
      </c>
      <c r="C125" s="20"/>
      <c r="D125" s="21"/>
      <c r="E125" s="46"/>
      <c r="F125" s="102">
        <f>F25+F38</f>
        <v>1139022</v>
      </c>
      <c r="G125" s="158"/>
    </row>
    <row r="126" spans="1:7" s="153" customFormat="1" x14ac:dyDescent="0.2">
      <c r="A126" s="222">
        <f t="shared" si="10"/>
        <v>40</v>
      </c>
      <c r="B126" s="184" t="s">
        <v>292</v>
      </c>
      <c r="C126" s="20"/>
      <c r="D126" s="21"/>
      <c r="E126" s="46"/>
      <c r="F126" s="102">
        <f>F20+F33</f>
        <v>1912126</v>
      </c>
      <c r="G126" s="158"/>
    </row>
    <row r="127" spans="1:7" s="153" customFormat="1" x14ac:dyDescent="0.2">
      <c r="A127" s="222">
        <f t="shared" si="10"/>
        <v>41</v>
      </c>
      <c r="B127" s="162" t="s">
        <v>441</v>
      </c>
      <c r="C127" s="20"/>
      <c r="D127" s="21"/>
      <c r="E127" s="46"/>
      <c r="F127" s="102">
        <f>F19</f>
        <v>24988</v>
      </c>
      <c r="G127" s="158"/>
    </row>
    <row r="128" spans="1:7" s="153" customFormat="1" x14ac:dyDescent="0.2">
      <c r="A128" s="222">
        <f t="shared" si="10"/>
        <v>42</v>
      </c>
      <c r="B128" s="162" t="s">
        <v>66</v>
      </c>
      <c r="C128" s="20"/>
      <c r="D128" s="21"/>
      <c r="E128" s="46"/>
      <c r="F128" s="178">
        <f>F24+F37</f>
        <v>113767356</v>
      </c>
      <c r="G128" s="158"/>
    </row>
    <row r="129" spans="1:7" s="153" customFormat="1" x14ac:dyDescent="0.2">
      <c r="A129" s="222">
        <f t="shared" si="10"/>
        <v>43</v>
      </c>
      <c r="B129" s="155" t="s">
        <v>24</v>
      </c>
      <c r="C129" s="20">
        <f>C26+C39</f>
        <v>3905732</v>
      </c>
      <c r="D129" s="21">
        <f>D26+D39</f>
        <v>27512601</v>
      </c>
      <c r="E129" s="155"/>
      <c r="F129" s="102">
        <f>SUM(F122:F128)</f>
        <v>357399795</v>
      </c>
      <c r="G129" s="158"/>
    </row>
    <row r="130" spans="1:7" s="153" customFormat="1" x14ac:dyDescent="0.2">
      <c r="A130" s="222"/>
      <c r="B130" s="155"/>
      <c r="C130" s="20"/>
      <c r="D130" s="21"/>
      <c r="E130" s="46"/>
      <c r="F130" s="102"/>
      <c r="G130" s="158"/>
    </row>
    <row r="131" spans="1:7" s="153" customFormat="1" x14ac:dyDescent="0.2">
      <c r="A131" s="222">
        <f>A129+1</f>
        <v>44</v>
      </c>
      <c r="B131" s="162" t="s">
        <v>152</v>
      </c>
      <c r="C131" s="20"/>
      <c r="D131" s="21"/>
      <c r="E131" s="46"/>
      <c r="F131" s="102">
        <f>F44+F59+F46+F61</f>
        <v>41980112</v>
      </c>
      <c r="G131" s="158"/>
    </row>
    <row r="132" spans="1:7" s="153" customFormat="1" x14ac:dyDescent="0.2">
      <c r="A132" s="222">
        <f t="shared" ref="A132:A137" si="11">A131+1</f>
        <v>45</v>
      </c>
      <c r="B132" s="162" t="s">
        <v>151</v>
      </c>
      <c r="C132" s="20"/>
      <c r="D132" s="21"/>
      <c r="E132" s="46"/>
      <c r="F132" s="102">
        <f>F50+F65</f>
        <v>0</v>
      </c>
      <c r="G132" s="158"/>
    </row>
    <row r="133" spans="1:7" s="153" customFormat="1" x14ac:dyDescent="0.2">
      <c r="A133" s="222">
        <f t="shared" si="11"/>
        <v>46</v>
      </c>
      <c r="B133" s="162" t="str">
        <f>B125</f>
        <v>Merchant Function Charge</v>
      </c>
      <c r="C133" s="20"/>
      <c r="D133" s="21"/>
      <c r="E133" s="46"/>
      <c r="F133" s="102">
        <f>F53+F68</f>
        <v>77152</v>
      </c>
      <c r="G133" s="158"/>
    </row>
    <row r="134" spans="1:7" s="153" customFormat="1" x14ac:dyDescent="0.2">
      <c r="A134" s="222">
        <f t="shared" si="11"/>
        <v>47</v>
      </c>
      <c r="B134" s="162" t="str">
        <f>B126</f>
        <v>Gas Procurement Charge</v>
      </c>
      <c r="C134" s="20"/>
      <c r="D134" s="21"/>
      <c r="E134" s="46"/>
      <c r="F134" s="102">
        <f>F48+F63</f>
        <v>616325</v>
      </c>
      <c r="G134" s="158"/>
    </row>
    <row r="135" spans="1:7" s="153" customFormat="1" x14ac:dyDescent="0.2">
      <c r="A135" s="222">
        <f t="shared" si="11"/>
        <v>48</v>
      </c>
      <c r="B135" s="162" t="s">
        <v>441</v>
      </c>
      <c r="C135" s="20"/>
      <c r="D135" s="21"/>
      <c r="E135" s="46"/>
      <c r="F135" s="102">
        <f>F47+F62</f>
        <v>8868</v>
      </c>
      <c r="G135" s="158"/>
    </row>
    <row r="136" spans="1:7" s="153" customFormat="1" x14ac:dyDescent="0.2">
      <c r="A136" s="222">
        <f t="shared" si="11"/>
        <v>49</v>
      </c>
      <c r="B136" s="162" t="s">
        <v>66</v>
      </c>
      <c r="C136" s="20"/>
      <c r="D136" s="21"/>
      <c r="E136" s="46"/>
      <c r="F136" s="178">
        <f>F52+F67</f>
        <v>36670038</v>
      </c>
      <c r="G136" s="158"/>
    </row>
    <row r="137" spans="1:7" s="153" customFormat="1" x14ac:dyDescent="0.2">
      <c r="A137" s="222">
        <f t="shared" si="11"/>
        <v>50</v>
      </c>
      <c r="B137" s="155" t="s">
        <v>346</v>
      </c>
      <c r="C137" s="20">
        <f>C54+C69</f>
        <v>318279</v>
      </c>
      <c r="D137" s="21">
        <f>D54+D69</f>
        <v>8867992.9000000004</v>
      </c>
      <c r="E137" s="46"/>
      <c r="F137" s="102">
        <f>SUM(F131:F136)</f>
        <v>79352495</v>
      </c>
      <c r="G137" s="158"/>
    </row>
    <row r="138" spans="1:7" s="153" customFormat="1" x14ac:dyDescent="0.2">
      <c r="A138" s="222"/>
      <c r="B138" s="155"/>
      <c r="C138" s="20"/>
      <c r="D138" s="97"/>
      <c r="E138" s="46"/>
      <c r="F138" s="102"/>
      <c r="G138" s="158"/>
    </row>
    <row r="139" spans="1:7" s="153" customFormat="1" x14ac:dyDescent="0.2">
      <c r="A139" s="222">
        <f>A137+1</f>
        <v>51</v>
      </c>
      <c r="B139" s="162" t="s">
        <v>152</v>
      </c>
      <c r="C139" s="20"/>
      <c r="D139" s="97"/>
      <c r="E139" s="46"/>
      <c r="F139" s="102">
        <f>F88</f>
        <v>20600</v>
      </c>
      <c r="G139" s="158"/>
    </row>
    <row r="140" spans="1:7" s="153" customFormat="1" x14ac:dyDescent="0.2">
      <c r="A140" s="222">
        <f>A139+1</f>
        <v>52</v>
      </c>
      <c r="B140" s="162" t="s">
        <v>151</v>
      </c>
      <c r="C140" s="20"/>
      <c r="D140" s="97"/>
      <c r="E140" s="46"/>
      <c r="F140" s="102">
        <f>F89</f>
        <v>0</v>
      </c>
      <c r="G140" s="158"/>
    </row>
    <row r="141" spans="1:7" s="153" customFormat="1" x14ac:dyDescent="0.2">
      <c r="A141" s="222">
        <f>A140+1</f>
        <v>53</v>
      </c>
      <c r="B141" s="162" t="s">
        <v>66</v>
      </c>
      <c r="C141" s="20"/>
      <c r="D141" s="97"/>
      <c r="E141" s="46"/>
      <c r="F141" s="178">
        <f>F91+F92</f>
        <v>268017</v>
      </c>
      <c r="G141" s="158"/>
    </row>
    <row r="142" spans="1:7" s="153" customFormat="1" x14ac:dyDescent="0.2">
      <c r="A142" s="222">
        <f>A141+1</f>
        <v>54</v>
      </c>
      <c r="B142" s="155" t="s">
        <v>345</v>
      </c>
      <c r="C142" s="20">
        <f>C93</f>
        <v>12</v>
      </c>
      <c r="D142" s="21">
        <f>D93</f>
        <v>72700</v>
      </c>
      <c r="E142" s="46"/>
      <c r="F142" s="102">
        <f>SUM(F139:F141)</f>
        <v>288617</v>
      </c>
      <c r="G142" s="158"/>
    </row>
    <row r="143" spans="1:7" s="153" customFormat="1" x14ac:dyDescent="0.2">
      <c r="A143" s="222"/>
      <c r="B143" s="155"/>
      <c r="C143" s="20"/>
      <c r="D143" s="97"/>
      <c r="E143" s="46"/>
      <c r="F143" s="102"/>
      <c r="G143" s="158"/>
    </row>
    <row r="144" spans="1:7" s="153" customFormat="1" x14ac:dyDescent="0.2">
      <c r="A144" s="222">
        <f>A142+1</f>
        <v>55</v>
      </c>
      <c r="B144" s="162" t="s">
        <v>237</v>
      </c>
      <c r="C144" s="20"/>
      <c r="D144" s="97"/>
      <c r="E144" s="46"/>
      <c r="F144" s="102">
        <f>F98+F99+F100+F101+F102+F103+F106+F107+F105+F108+F109+F110</f>
        <v>2051972</v>
      </c>
      <c r="G144" s="158"/>
    </row>
    <row r="145" spans="1:10" s="153" customFormat="1" x14ac:dyDescent="0.2">
      <c r="A145" s="222">
        <f>A144+1</f>
        <v>56</v>
      </c>
      <c r="B145" s="162" t="s">
        <v>151</v>
      </c>
      <c r="C145" s="20"/>
      <c r="D145" s="97"/>
      <c r="E145" s="46"/>
      <c r="F145" s="102">
        <f>F113+F114</f>
        <v>0</v>
      </c>
      <c r="G145" s="158"/>
    </row>
    <row r="146" spans="1:10" s="153" customFormat="1" x14ac:dyDescent="0.2">
      <c r="A146" s="222">
        <f>A145+1</f>
        <v>57</v>
      </c>
      <c r="B146" s="162" t="str">
        <f>B126</f>
        <v>Gas Procurement Charge</v>
      </c>
      <c r="C146" s="20"/>
      <c r="D146" s="97"/>
      <c r="E146" s="46"/>
      <c r="F146" s="102">
        <f>F111+F112</f>
        <v>53241</v>
      </c>
      <c r="G146" s="158"/>
    </row>
    <row r="147" spans="1:10" s="153" customFormat="1" x14ac:dyDescent="0.2">
      <c r="A147" s="222">
        <f>A146+1</f>
        <v>58</v>
      </c>
      <c r="B147" s="162" t="s">
        <v>66</v>
      </c>
      <c r="C147" s="20"/>
      <c r="D147" s="20"/>
      <c r="E147" s="46"/>
      <c r="F147" s="178">
        <f>F116+F117</f>
        <v>3167707</v>
      </c>
      <c r="G147" s="158"/>
    </row>
    <row r="148" spans="1:10" s="153" customFormat="1" x14ac:dyDescent="0.2">
      <c r="A148" s="222">
        <f>A147+1</f>
        <v>59</v>
      </c>
      <c r="B148" s="155" t="s">
        <v>347</v>
      </c>
      <c r="C148" s="20">
        <f>C118</f>
        <v>818</v>
      </c>
      <c r="D148" s="21">
        <f>D118</f>
        <v>766053.2</v>
      </c>
      <c r="E148" s="46"/>
      <c r="F148" s="102">
        <f>SUM(F144:F147)</f>
        <v>5272920</v>
      </c>
      <c r="G148" s="158"/>
    </row>
    <row r="149" spans="1:10" s="153" customFormat="1" x14ac:dyDescent="0.2">
      <c r="A149" s="222"/>
      <c r="B149" s="155"/>
      <c r="C149" s="20"/>
      <c r="D149" s="21"/>
      <c r="E149" s="46"/>
      <c r="F149" s="102"/>
      <c r="G149" s="158"/>
    </row>
    <row r="150" spans="1:10" s="153" customFormat="1" ht="12" thickBot="1" x14ac:dyDescent="0.25">
      <c r="A150" s="223">
        <f>A148+1</f>
        <v>60</v>
      </c>
      <c r="B150" s="24" t="s">
        <v>27</v>
      </c>
      <c r="C150" s="25">
        <f>SUM(C129:C148)</f>
        <v>4224841</v>
      </c>
      <c r="D150" s="26">
        <f>SUM(D129:D148)</f>
        <v>37219347.100000001</v>
      </c>
      <c r="E150" s="49"/>
      <c r="F150" s="105">
        <f>F148+F137+F129+F142</f>
        <v>442313827</v>
      </c>
      <c r="G150" s="158"/>
      <c r="J150" s="154">
        <f>F26+F39+F54+F93+F118</f>
        <v>409018444</v>
      </c>
    </row>
    <row r="151" spans="1:10" s="153" customFormat="1" x14ac:dyDescent="0.2">
      <c r="A151" s="134"/>
      <c r="B151" s="14"/>
      <c r="C151" s="96"/>
      <c r="D151" s="11"/>
      <c r="F151" s="154"/>
      <c r="G151" s="158"/>
    </row>
    <row r="152" spans="1:10" s="153" customFormat="1" x14ac:dyDescent="0.2">
      <c r="A152" s="77"/>
      <c r="B152" s="155"/>
      <c r="C152" s="20"/>
      <c r="D152" s="21"/>
      <c r="E152" s="46"/>
      <c r="F152" s="20"/>
      <c r="G152" s="2" t="str">
        <f>adjno</f>
        <v>Exhibit No. 103</v>
      </c>
    </row>
    <row r="153" spans="1:10" s="153" customFormat="1" x14ac:dyDescent="0.2">
      <c r="A153" s="353" t="str">
        <f>coname</f>
        <v>Columbia Gas of Pennsylvania, Inc.</v>
      </c>
      <c r="B153" s="353"/>
      <c r="C153" s="353"/>
      <c r="D153" s="353"/>
      <c r="E153" s="353"/>
      <c r="F153" s="353"/>
      <c r="G153" s="2" t="s">
        <v>191</v>
      </c>
    </row>
    <row r="154" spans="1:10" s="153" customFormat="1" x14ac:dyDescent="0.2">
      <c r="A154" s="353" t="str">
        <f>A3</f>
        <v>Revenue @ Current Rates Based on Forecast Adjusted Bills and Volumes</v>
      </c>
      <c r="B154" s="353"/>
      <c r="C154" s="353"/>
      <c r="D154" s="353"/>
      <c r="E154" s="353"/>
      <c r="F154" s="353"/>
      <c r="G154" s="2" t="s">
        <v>634</v>
      </c>
    </row>
    <row r="155" spans="1:10" s="153" customFormat="1" x14ac:dyDescent="0.2">
      <c r="A155" s="353" t="str">
        <f>TYDESC</f>
        <v>For the 12 Months Ended December 31, 2019</v>
      </c>
      <c r="B155" s="353"/>
      <c r="C155" s="353"/>
      <c r="D155" s="353"/>
      <c r="E155" s="353"/>
      <c r="F155" s="353"/>
      <c r="G155" s="4" t="str">
        <f>'Sch1'!$G$4</f>
        <v>Witness: D. Joe Mays</v>
      </c>
    </row>
    <row r="156" spans="1:10" s="153" customFormat="1" x14ac:dyDescent="0.2">
      <c r="A156" s="219"/>
      <c r="B156" s="219"/>
      <c r="C156" s="6"/>
    </row>
    <row r="157" spans="1:10" s="153" customFormat="1" x14ac:dyDescent="0.2">
      <c r="A157" s="219" t="s">
        <v>3</v>
      </c>
      <c r="B157" s="219"/>
      <c r="C157" s="6"/>
      <c r="D157" s="6"/>
      <c r="E157" s="6"/>
      <c r="F157" s="6"/>
      <c r="G157" s="219"/>
    </row>
    <row r="158" spans="1:10" s="153" customFormat="1" x14ac:dyDescent="0.2">
      <c r="A158" s="172" t="s">
        <v>6</v>
      </c>
      <c r="B158" s="172" t="s">
        <v>7</v>
      </c>
      <c r="C158" s="172" t="s">
        <v>35</v>
      </c>
      <c r="D158" s="172" t="s">
        <v>40</v>
      </c>
      <c r="E158" s="172" t="s">
        <v>30</v>
      </c>
      <c r="F158" s="172" t="s">
        <v>31</v>
      </c>
      <c r="G158" s="172" t="s">
        <v>192</v>
      </c>
    </row>
    <row r="159" spans="1:10" s="153" customFormat="1" x14ac:dyDescent="0.2">
      <c r="A159" s="219"/>
      <c r="B159" s="6"/>
      <c r="C159" s="219" t="s">
        <v>12</v>
      </c>
      <c r="D159" s="219" t="s">
        <v>13</v>
      </c>
      <c r="E159" s="219" t="s">
        <v>32</v>
      </c>
      <c r="F159" s="219" t="s">
        <v>14</v>
      </c>
      <c r="G159" s="219" t="s">
        <v>15</v>
      </c>
    </row>
    <row r="160" spans="1:10" s="153" customFormat="1" x14ac:dyDescent="0.2">
      <c r="A160" s="219"/>
      <c r="B160" s="6"/>
      <c r="C160" s="6"/>
      <c r="D160" s="219" t="s">
        <v>241</v>
      </c>
      <c r="E160" s="220" t="s">
        <v>240</v>
      </c>
      <c r="F160" s="219" t="s">
        <v>33</v>
      </c>
      <c r="G160" s="220" t="s">
        <v>240</v>
      </c>
    </row>
    <row r="161" spans="1:8" s="153" customFormat="1" x14ac:dyDescent="0.2">
      <c r="A161" s="134"/>
      <c r="C161" s="9" t="s">
        <v>277</v>
      </c>
      <c r="D161" s="9" t="s">
        <v>278</v>
      </c>
    </row>
    <row r="162" spans="1:8" s="153" customFormat="1" x14ac:dyDescent="0.2">
      <c r="A162" s="134"/>
      <c r="C162" s="154"/>
      <c r="D162" s="11"/>
      <c r="E162" s="157"/>
      <c r="F162" s="154"/>
      <c r="G162" s="155"/>
    </row>
    <row r="163" spans="1:8" x14ac:dyDescent="0.2">
      <c r="A163" s="134">
        <v>1</v>
      </c>
      <c r="B163" s="42" t="s">
        <v>113</v>
      </c>
      <c r="C163" s="12"/>
      <c r="D163" s="11"/>
      <c r="E163" s="43"/>
      <c r="F163" s="12"/>
      <c r="G163" s="78"/>
      <c r="H163" s="18"/>
    </row>
    <row r="164" spans="1:8" x14ac:dyDescent="0.2">
      <c r="B164" s="13"/>
      <c r="D164" s="11"/>
      <c r="E164" s="43"/>
      <c r="F164" s="12"/>
      <c r="G164" s="44"/>
    </row>
    <row r="165" spans="1:8" x14ac:dyDescent="0.2">
      <c r="A165" s="134">
        <f>A163+1</f>
        <v>2</v>
      </c>
      <c r="B165" s="27" t="s">
        <v>62</v>
      </c>
      <c r="C165" s="12">
        <f>'Sch2'!I117</f>
        <v>922450</v>
      </c>
      <c r="D165" s="11"/>
      <c r="E165" s="66">
        <f>$E$15</f>
        <v>16.75</v>
      </c>
      <c r="F165" s="12">
        <f>ROUND(C165*E165,0)</f>
        <v>15451038</v>
      </c>
      <c r="G165" s="44"/>
    </row>
    <row r="166" spans="1:8" x14ac:dyDescent="0.2">
      <c r="A166" s="134">
        <f>A165+1</f>
        <v>3</v>
      </c>
      <c r="B166" s="27" t="s">
        <v>63</v>
      </c>
      <c r="C166" s="12"/>
      <c r="D166" s="11"/>
      <c r="E166" s="43"/>
      <c r="F166" s="12"/>
      <c r="G166" s="44"/>
    </row>
    <row r="167" spans="1:8" x14ac:dyDescent="0.2">
      <c r="A167" s="134">
        <f t="shared" ref="A167:A174" si="12">A166+1</f>
        <v>4</v>
      </c>
      <c r="B167" s="164" t="s">
        <v>41</v>
      </c>
      <c r="C167" s="12"/>
      <c r="D167" s="11">
        <f>'Sch3'!H109</f>
        <v>6925000</v>
      </c>
      <c r="E167" s="44">
        <f>$E$17</f>
        <v>5.5316000000000001</v>
      </c>
      <c r="F167" s="12">
        <f>ROUND(D167*E167,0)</f>
        <v>38306330</v>
      </c>
      <c r="G167" s="44"/>
    </row>
    <row r="168" spans="1:8" x14ac:dyDescent="0.2">
      <c r="A168" s="134">
        <f t="shared" si="12"/>
        <v>5</v>
      </c>
      <c r="B168" s="164" t="s">
        <v>228</v>
      </c>
      <c r="C168" s="12"/>
      <c r="D168" s="11">
        <f>D167</f>
        <v>6925000</v>
      </c>
      <c r="E168" s="44">
        <f>$E18</f>
        <v>0.91830000000000001</v>
      </c>
      <c r="F168" s="154">
        <f>ROUND(D168*E168,0)</f>
        <v>6359228</v>
      </c>
      <c r="G168" s="44"/>
    </row>
    <row r="169" spans="1:8" s="153" customFormat="1" x14ac:dyDescent="0.2">
      <c r="A169" s="134">
        <f t="shared" si="12"/>
        <v>6</v>
      </c>
      <c r="B169" s="164" t="s">
        <v>441</v>
      </c>
      <c r="C169" s="154"/>
      <c r="D169" s="11">
        <f>D167</f>
        <v>6925000</v>
      </c>
      <c r="E169" s="158">
        <f>$E19</f>
        <v>1E-3</v>
      </c>
      <c r="F169" s="156">
        <f>ROUND(D169*E169,0)</f>
        <v>6925</v>
      </c>
      <c r="G169" s="158"/>
    </row>
    <row r="170" spans="1:8" x14ac:dyDescent="0.2">
      <c r="A170" s="134">
        <f t="shared" si="12"/>
        <v>7</v>
      </c>
      <c r="B170" s="27" t="s">
        <v>65</v>
      </c>
      <c r="C170" s="12"/>
      <c r="D170" s="11"/>
      <c r="E170" s="43"/>
      <c r="F170" s="12">
        <f>SUM(F165:F169)</f>
        <v>60123521</v>
      </c>
      <c r="G170" s="44"/>
    </row>
    <row r="171" spans="1:8" x14ac:dyDescent="0.2">
      <c r="A171" s="134">
        <f t="shared" si="12"/>
        <v>8</v>
      </c>
      <c r="B171" s="164" t="s">
        <v>151</v>
      </c>
      <c r="C171" s="12"/>
      <c r="D171" s="11"/>
      <c r="E171" s="43"/>
      <c r="F171" s="28">
        <f>ROUND(F170*$J$2,0)</f>
        <v>0</v>
      </c>
      <c r="G171" s="44"/>
    </row>
    <row r="172" spans="1:8" x14ac:dyDescent="0.2">
      <c r="A172" s="134">
        <f t="shared" si="12"/>
        <v>9</v>
      </c>
      <c r="B172" s="3" t="str">
        <f>$B$23</f>
        <v>Base Rate Revenue</v>
      </c>
      <c r="C172" s="14"/>
      <c r="D172" s="11"/>
      <c r="F172" s="12">
        <f>SUM(F170:F171)</f>
        <v>60123521</v>
      </c>
      <c r="G172" s="44"/>
    </row>
    <row r="173" spans="1:8" x14ac:dyDescent="0.2">
      <c r="A173" s="134">
        <f t="shared" si="12"/>
        <v>10</v>
      </c>
      <c r="B173" s="164" t="s">
        <v>66</v>
      </c>
      <c r="C173" s="14"/>
      <c r="D173" s="11">
        <f>D168</f>
        <v>6925000</v>
      </c>
      <c r="E173" s="44">
        <f>J14</f>
        <v>0.92659999999999998</v>
      </c>
      <c r="F173" s="156">
        <f>ROUND(D173*E173,0)</f>
        <v>6416705</v>
      </c>
      <c r="G173" s="44"/>
    </row>
    <row r="174" spans="1:8" x14ac:dyDescent="0.2">
      <c r="A174" s="134">
        <f t="shared" si="12"/>
        <v>11</v>
      </c>
      <c r="B174" s="14" t="s">
        <v>132</v>
      </c>
      <c r="C174" s="12">
        <f>C165</f>
        <v>922450</v>
      </c>
      <c r="D174" s="11">
        <f>D168</f>
        <v>6925000</v>
      </c>
      <c r="E174" s="43"/>
      <c r="F174" s="12">
        <f>SUM(F172:F173)</f>
        <v>66540226</v>
      </c>
      <c r="G174" s="44">
        <f>ROUND(F174/D174,4)</f>
        <v>9.6087000000000007</v>
      </c>
    </row>
    <row r="175" spans="1:8" x14ac:dyDescent="0.2">
      <c r="B175" s="14"/>
      <c r="C175" s="12"/>
      <c r="D175" s="11"/>
      <c r="E175" s="43"/>
      <c r="F175" s="12"/>
      <c r="G175" s="44"/>
    </row>
    <row r="176" spans="1:8" s="153" customFormat="1" x14ac:dyDescent="0.2">
      <c r="A176" s="134">
        <f>A174+1</f>
        <v>12</v>
      </c>
      <c r="B176" s="34" t="s">
        <v>551</v>
      </c>
      <c r="C176" s="12"/>
      <c r="D176" s="11"/>
      <c r="E176" s="43"/>
      <c r="F176" s="12"/>
      <c r="G176" s="44"/>
    </row>
    <row r="177" spans="1:7" s="153" customFormat="1" x14ac:dyDescent="0.2">
      <c r="A177" s="134"/>
      <c r="B177" s="13"/>
      <c r="C177" s="12"/>
      <c r="D177" s="11"/>
      <c r="E177" s="43"/>
      <c r="F177" s="12"/>
      <c r="G177" s="76"/>
    </row>
    <row r="178" spans="1:7" s="153" customFormat="1" x14ac:dyDescent="0.2">
      <c r="A178" s="134">
        <f>A176+1</f>
        <v>13</v>
      </c>
      <c r="B178" s="3" t="s">
        <v>62</v>
      </c>
      <c r="C178" s="12"/>
      <c r="D178" s="11"/>
      <c r="E178" s="43"/>
      <c r="F178" s="12"/>
      <c r="G178" s="76"/>
    </row>
    <row r="179" spans="1:7" s="153" customFormat="1" x14ac:dyDescent="0.2">
      <c r="A179" s="134">
        <f>A178+1</f>
        <v>14</v>
      </c>
      <c r="B179" s="166" t="s">
        <v>348</v>
      </c>
      <c r="C179" s="12">
        <f>'Sch2'!I123+'Sch2'!G76</f>
        <v>92997</v>
      </c>
      <c r="D179" s="11"/>
      <c r="E179" s="66">
        <f>$E$44</f>
        <v>21.25</v>
      </c>
      <c r="F179" s="12">
        <f>ROUND(C179*E179,0)</f>
        <v>1976186</v>
      </c>
      <c r="G179" s="44"/>
    </row>
    <row r="180" spans="1:7" s="153" customFormat="1" x14ac:dyDescent="0.2">
      <c r="A180" s="134">
        <f t="shared" ref="A180:A187" si="13">A179+1</f>
        <v>15</v>
      </c>
      <c r="B180" s="3" t="s">
        <v>63</v>
      </c>
      <c r="C180" s="12"/>
      <c r="D180" s="11"/>
      <c r="E180" s="43"/>
      <c r="F180" s="12"/>
      <c r="G180" s="158"/>
    </row>
    <row r="181" spans="1:7" s="153" customFormat="1" x14ac:dyDescent="0.2">
      <c r="A181" s="134">
        <f t="shared" si="13"/>
        <v>16</v>
      </c>
      <c r="B181" s="166" t="s">
        <v>348</v>
      </c>
      <c r="C181" s="12"/>
      <c r="D181" s="11">
        <f>'Sch3'!H113</f>
        <v>1392058.1</v>
      </c>
      <c r="E181" s="44">
        <f>E46</f>
        <v>4.0869999999999997</v>
      </c>
      <c r="F181" s="154">
        <f>ROUND(D181*E181,0)</f>
        <v>5689341</v>
      </c>
      <c r="G181" s="158"/>
    </row>
    <row r="182" spans="1:7" s="153" customFormat="1" x14ac:dyDescent="0.2">
      <c r="A182" s="134">
        <f t="shared" si="13"/>
        <v>17</v>
      </c>
      <c r="B182" s="166" t="s">
        <v>441</v>
      </c>
      <c r="C182" s="154"/>
      <c r="D182" s="11">
        <f>D181</f>
        <v>1392058.1</v>
      </c>
      <c r="E182" s="158">
        <f>E47</f>
        <v>1E-3</v>
      </c>
      <c r="F182" s="156">
        <f>ROUND(D182*E182,0)</f>
        <v>1392</v>
      </c>
      <c r="G182" s="158"/>
    </row>
    <row r="183" spans="1:7" s="153" customFormat="1" x14ac:dyDescent="0.2">
      <c r="A183" s="134">
        <f>1+A182</f>
        <v>18</v>
      </c>
      <c r="B183" s="3" t="s">
        <v>65</v>
      </c>
      <c r="C183" s="12"/>
      <c r="D183" s="11"/>
      <c r="E183" s="43"/>
      <c r="F183" s="12">
        <f>SUM(F179:F182)</f>
        <v>7666919</v>
      </c>
      <c r="G183" s="44"/>
    </row>
    <row r="184" spans="1:7" s="153" customFormat="1" x14ac:dyDescent="0.2">
      <c r="A184" s="134">
        <f t="shared" si="13"/>
        <v>19</v>
      </c>
      <c r="B184" s="166" t="s">
        <v>151</v>
      </c>
      <c r="C184" s="12"/>
      <c r="D184" s="11"/>
      <c r="E184" s="43"/>
      <c r="F184" s="28">
        <f>ROUND(F183*$J$2,0)</f>
        <v>0</v>
      </c>
      <c r="G184" s="44"/>
    </row>
    <row r="185" spans="1:7" s="153" customFormat="1" x14ac:dyDescent="0.2">
      <c r="A185" s="134">
        <f t="shared" si="13"/>
        <v>20</v>
      </c>
      <c r="B185" s="3" t="s">
        <v>152</v>
      </c>
      <c r="C185" s="14"/>
      <c r="D185" s="11"/>
      <c r="E185" s="3"/>
      <c r="F185" s="12">
        <f>SUM(F183:F184)</f>
        <v>7666919</v>
      </c>
      <c r="G185" s="44"/>
    </row>
    <row r="186" spans="1:7" s="153" customFormat="1" x14ac:dyDescent="0.2">
      <c r="A186" s="134">
        <f t="shared" si="13"/>
        <v>21</v>
      </c>
      <c r="B186" s="166" t="s">
        <v>66</v>
      </c>
      <c r="C186" s="14"/>
      <c r="D186" s="11">
        <f>D182</f>
        <v>1392058.1</v>
      </c>
      <c r="E186" s="44">
        <f>J14</f>
        <v>0.92659999999999998</v>
      </c>
      <c r="F186" s="156">
        <f>ROUND(D186*E186,0)</f>
        <v>1289881</v>
      </c>
      <c r="G186" s="44"/>
    </row>
    <row r="187" spans="1:7" s="153" customFormat="1" x14ac:dyDescent="0.2">
      <c r="A187" s="134">
        <f t="shared" si="13"/>
        <v>22</v>
      </c>
      <c r="B187" s="14" t="s">
        <v>572</v>
      </c>
      <c r="C187" s="12">
        <f>C179</f>
        <v>92997</v>
      </c>
      <c r="D187" s="11">
        <f>D186</f>
        <v>1392058.1</v>
      </c>
      <c r="E187" s="43"/>
      <c r="F187" s="12">
        <f>SUM(F185:F186)</f>
        <v>8956800</v>
      </c>
      <c r="G187" s="44">
        <f>ROUND(F187/D187,4)</f>
        <v>6.4341999999999997</v>
      </c>
    </row>
    <row r="188" spans="1:7" s="153" customFormat="1" x14ac:dyDescent="0.2">
      <c r="A188" s="134"/>
      <c r="B188" s="14"/>
      <c r="C188" s="154"/>
      <c r="D188" s="11"/>
      <c r="E188" s="157"/>
      <c r="F188" s="154"/>
      <c r="G188" s="158"/>
    </row>
    <row r="189" spans="1:7" s="153" customFormat="1" x14ac:dyDescent="0.2">
      <c r="A189" s="77">
        <f>A187+1</f>
        <v>23</v>
      </c>
      <c r="B189" s="34" t="s">
        <v>552</v>
      </c>
      <c r="C189" s="154"/>
      <c r="D189" s="11"/>
      <c r="E189" s="157"/>
      <c r="F189" s="154"/>
      <c r="G189" s="158"/>
    </row>
    <row r="190" spans="1:7" s="153" customFormat="1" x14ac:dyDescent="0.2">
      <c r="A190" s="134"/>
      <c r="B190" s="14"/>
      <c r="C190" s="154"/>
      <c r="D190" s="11"/>
      <c r="E190" s="157"/>
      <c r="F190" s="154"/>
      <c r="G190" s="158"/>
    </row>
    <row r="191" spans="1:7" s="153" customFormat="1" x14ac:dyDescent="0.2">
      <c r="A191" s="134">
        <f>A189+1</f>
        <v>24</v>
      </c>
      <c r="B191" s="153" t="s">
        <v>62</v>
      </c>
      <c r="C191" s="154"/>
      <c r="D191" s="11"/>
      <c r="E191" s="157"/>
      <c r="F191" s="154"/>
      <c r="G191" s="158"/>
    </row>
    <row r="192" spans="1:7" s="153" customFormat="1" x14ac:dyDescent="0.2">
      <c r="A192" s="134">
        <f>A191+1</f>
        <v>25</v>
      </c>
      <c r="B192" s="167" t="s">
        <v>349</v>
      </c>
      <c r="C192" s="12">
        <f>'Sch2'!I129</f>
        <v>7782</v>
      </c>
      <c r="D192" s="11"/>
      <c r="E192" s="66">
        <f>$E$59</f>
        <v>48</v>
      </c>
      <c r="F192" s="12">
        <f>ROUND(C192*E192,0)</f>
        <v>373536</v>
      </c>
      <c r="G192" s="44"/>
    </row>
    <row r="193" spans="1:7" s="153" customFormat="1" x14ac:dyDescent="0.2">
      <c r="A193" s="134">
        <f t="shared" ref="A193:A199" si="14">A192+1</f>
        <v>26</v>
      </c>
      <c r="B193" s="153" t="s">
        <v>63</v>
      </c>
      <c r="C193" s="154"/>
      <c r="D193" s="11"/>
      <c r="E193" s="66"/>
      <c r="F193" s="154"/>
      <c r="G193" s="158"/>
    </row>
    <row r="194" spans="1:7" s="153" customFormat="1" x14ac:dyDescent="0.2">
      <c r="A194" s="134">
        <f t="shared" si="14"/>
        <v>27</v>
      </c>
      <c r="B194" s="167" t="s">
        <v>349</v>
      </c>
      <c r="C194" s="154"/>
      <c r="D194" s="11">
        <f>'Sch3'!H117</f>
        <v>973921.5</v>
      </c>
      <c r="E194" s="158">
        <f>E61</f>
        <v>3.6288</v>
      </c>
      <c r="F194" s="154">
        <f>ROUND(D194*E194,0)</f>
        <v>3534166</v>
      </c>
      <c r="G194" s="158"/>
    </row>
    <row r="195" spans="1:7" s="153" customFormat="1" x14ac:dyDescent="0.2">
      <c r="A195" s="134">
        <f t="shared" si="14"/>
        <v>28</v>
      </c>
      <c r="B195" s="166" t="s">
        <v>441</v>
      </c>
      <c r="C195" s="154"/>
      <c r="D195" s="11">
        <f>D194</f>
        <v>973921.5</v>
      </c>
      <c r="E195" s="158">
        <f>E62</f>
        <v>1E-3</v>
      </c>
      <c r="F195" s="156">
        <f>ROUND(D195*E195,0)</f>
        <v>974</v>
      </c>
      <c r="G195" s="158"/>
    </row>
    <row r="196" spans="1:7" s="153" customFormat="1" x14ac:dyDescent="0.2">
      <c r="A196" s="134">
        <f>1+A195</f>
        <v>29</v>
      </c>
      <c r="B196" s="153" t="s">
        <v>65</v>
      </c>
      <c r="C196" s="154"/>
      <c r="D196" s="11"/>
      <c r="E196" s="157"/>
      <c r="F196" s="154">
        <f>SUM(F192:F195)</f>
        <v>3908676</v>
      </c>
      <c r="G196" s="158"/>
    </row>
    <row r="197" spans="1:7" s="153" customFormat="1" x14ac:dyDescent="0.2">
      <c r="A197" s="134">
        <f t="shared" si="14"/>
        <v>30</v>
      </c>
      <c r="B197" s="166" t="s">
        <v>151</v>
      </c>
      <c r="C197" s="154"/>
      <c r="D197" s="11"/>
      <c r="E197" s="157"/>
      <c r="F197" s="156">
        <f>ROUND(F196*$J$2,0)</f>
        <v>0</v>
      </c>
      <c r="G197" s="158"/>
    </row>
    <row r="198" spans="1:7" s="153" customFormat="1" x14ac:dyDescent="0.2">
      <c r="A198" s="134">
        <f t="shared" si="14"/>
        <v>31</v>
      </c>
      <c r="B198" s="153" t="s">
        <v>152</v>
      </c>
      <c r="C198" s="14"/>
      <c r="D198" s="11"/>
      <c r="F198" s="154">
        <f>SUM(F196:F197)</f>
        <v>3908676</v>
      </c>
      <c r="G198" s="158"/>
    </row>
    <row r="199" spans="1:7" s="153" customFormat="1" x14ac:dyDescent="0.2">
      <c r="A199" s="134">
        <f t="shared" si="14"/>
        <v>32</v>
      </c>
      <c r="B199" s="166" t="s">
        <v>66</v>
      </c>
      <c r="C199" s="14"/>
      <c r="D199" s="11">
        <f>D195</f>
        <v>973921.5</v>
      </c>
      <c r="E199" s="158">
        <f>E186</f>
        <v>0.92659999999999998</v>
      </c>
      <c r="F199" s="156">
        <f>ROUND(D199*E199,0)</f>
        <v>902436</v>
      </c>
      <c r="G199" s="158"/>
    </row>
    <row r="200" spans="1:7" s="153" customFormat="1" x14ac:dyDescent="0.2">
      <c r="A200" s="134">
        <f t="shared" ref="A200" si="15">A199+1</f>
        <v>33</v>
      </c>
      <c r="B200" s="14" t="s">
        <v>573</v>
      </c>
      <c r="C200" s="154">
        <f>C192</f>
        <v>7782</v>
      </c>
      <c r="D200" s="11">
        <f>D199</f>
        <v>973921.5</v>
      </c>
      <c r="E200" s="157"/>
      <c r="F200" s="154">
        <f>SUM(F198:F199)</f>
        <v>4811112</v>
      </c>
      <c r="G200" s="158">
        <f>ROUND(F200/D200,4)</f>
        <v>4.9398999999999997</v>
      </c>
    </row>
    <row r="201" spans="1:7" s="153" customFormat="1" x14ac:dyDescent="0.2">
      <c r="A201" s="134"/>
      <c r="B201" s="14"/>
      <c r="C201" s="154"/>
      <c r="D201" s="11"/>
      <c r="E201" s="157"/>
      <c r="F201" s="154"/>
      <c r="G201" s="158"/>
    </row>
    <row r="202" spans="1:7" s="153" customFormat="1" x14ac:dyDescent="0.2">
      <c r="A202" s="134">
        <f>A200+1</f>
        <v>34</v>
      </c>
      <c r="B202" s="34" t="s">
        <v>553</v>
      </c>
      <c r="C202" s="12"/>
      <c r="D202" s="11"/>
      <c r="E202" s="43"/>
      <c r="F202" s="12"/>
      <c r="G202" s="44"/>
    </row>
    <row r="203" spans="1:7" s="153" customFormat="1" x14ac:dyDescent="0.2">
      <c r="A203" s="134"/>
      <c r="B203" s="13"/>
      <c r="C203" s="12"/>
      <c r="D203" s="11"/>
      <c r="E203" s="43"/>
      <c r="F203" s="12"/>
      <c r="G203" s="44"/>
    </row>
    <row r="204" spans="1:7" s="153" customFormat="1" x14ac:dyDescent="0.2">
      <c r="A204" s="134">
        <f>A202+1</f>
        <v>35</v>
      </c>
      <c r="B204" s="27" t="s">
        <v>64</v>
      </c>
      <c r="C204" s="3"/>
      <c r="D204" s="11"/>
      <c r="E204" s="43"/>
      <c r="F204" s="12"/>
      <c r="G204" s="44"/>
    </row>
    <row r="205" spans="1:7" s="153" customFormat="1" x14ac:dyDescent="0.2">
      <c r="A205" s="134">
        <f t="shared" ref="A205:A217" si="16">A204+1</f>
        <v>36</v>
      </c>
      <c r="B205" s="166" t="s">
        <v>348</v>
      </c>
      <c r="C205" s="12">
        <f>'Sch2'!I137+'Sch2'!I143</f>
        <v>11047</v>
      </c>
      <c r="D205" s="11"/>
      <c r="E205" s="66">
        <f>$E$44</f>
        <v>21.25</v>
      </c>
      <c r="F205" s="12">
        <f>ROUND(C205*E205,0)</f>
        <v>234749</v>
      </c>
      <c r="G205" s="44"/>
    </row>
    <row r="206" spans="1:7" s="153" customFormat="1" x14ac:dyDescent="0.2">
      <c r="A206" s="134">
        <f t="shared" si="16"/>
        <v>37</v>
      </c>
      <c r="B206" s="27" t="str">
        <f>$B$16</f>
        <v>Commodity Charge:</v>
      </c>
      <c r="C206" s="3"/>
      <c r="D206" s="11"/>
      <c r="E206" s="43"/>
      <c r="F206" s="12"/>
      <c r="G206" s="158"/>
    </row>
    <row r="207" spans="1:7" s="153" customFormat="1" x14ac:dyDescent="0.2">
      <c r="A207" s="134">
        <f t="shared" si="16"/>
        <v>38</v>
      </c>
      <c r="B207" s="164" t="s">
        <v>134</v>
      </c>
      <c r="C207" s="3"/>
      <c r="D207" s="3"/>
      <c r="E207" s="3"/>
      <c r="F207" s="3"/>
      <c r="G207" s="158"/>
    </row>
    <row r="208" spans="1:7" s="153" customFormat="1" x14ac:dyDescent="0.2">
      <c r="A208" s="134">
        <f t="shared" si="16"/>
        <v>39</v>
      </c>
      <c r="B208" s="164" t="str">
        <f>B205</f>
        <v>Less Than 6,440 Therms Annually</v>
      </c>
      <c r="D208" s="11">
        <f>'Sch3'!H126+'Sch3'!H137</f>
        <v>39105.1</v>
      </c>
      <c r="E208" s="206">
        <v>3.9506000000000001</v>
      </c>
      <c r="F208" s="12">
        <f>ROUND(D208*E208,0)</f>
        <v>154489</v>
      </c>
      <c r="G208" s="158"/>
    </row>
    <row r="209" spans="1:7" s="153" customFormat="1" x14ac:dyDescent="0.2">
      <c r="A209" s="134">
        <f t="shared" si="16"/>
        <v>40</v>
      </c>
      <c r="B209" s="164" t="s">
        <v>225</v>
      </c>
      <c r="C209" s="12"/>
      <c r="D209" s="3"/>
      <c r="E209" s="3"/>
      <c r="F209" s="3"/>
      <c r="G209" s="158"/>
    </row>
    <row r="210" spans="1:7" s="153" customFormat="1" x14ac:dyDescent="0.2">
      <c r="A210" s="134">
        <f t="shared" si="16"/>
        <v>41</v>
      </c>
      <c r="B210" s="164" t="str">
        <f>B208</f>
        <v>Less Than 6,440 Therms Annually</v>
      </c>
      <c r="C210" s="154"/>
      <c r="D210" s="29">
        <f>'Sch3'!H129+'Sch3'!H140</f>
        <v>211848.4</v>
      </c>
      <c r="E210" s="158">
        <f>E208</f>
        <v>3.9506000000000001</v>
      </c>
      <c r="F210" s="154">
        <f>ROUND(D210*E210,0)</f>
        <v>836928</v>
      </c>
      <c r="G210" s="158"/>
    </row>
    <row r="211" spans="1:7" s="153" customFormat="1" x14ac:dyDescent="0.2">
      <c r="A211" s="134">
        <f t="shared" si="16"/>
        <v>42</v>
      </c>
      <c r="B211" s="164" t="s">
        <v>441</v>
      </c>
      <c r="C211" s="154"/>
      <c r="D211" s="11">
        <f>D210+D208</f>
        <v>250953.5</v>
      </c>
      <c r="E211" s="158">
        <f>E182</f>
        <v>1E-3</v>
      </c>
      <c r="F211" s="156">
        <f>ROUND(D211*E211,0)</f>
        <v>251</v>
      </c>
      <c r="G211" s="158"/>
    </row>
    <row r="212" spans="1:7" s="153" customFormat="1" x14ac:dyDescent="0.2">
      <c r="A212" s="134">
        <f>1+A211</f>
        <v>43</v>
      </c>
      <c r="B212" s="27" t="str">
        <f>$B$21</f>
        <v>Subtotal</v>
      </c>
      <c r="C212" s="12"/>
      <c r="D212" s="11"/>
      <c r="E212" s="43"/>
      <c r="F212" s="12">
        <f>SUM(F205:F211)</f>
        <v>1226417</v>
      </c>
      <c r="G212" s="44"/>
    </row>
    <row r="213" spans="1:7" s="153" customFormat="1" x14ac:dyDescent="0.2">
      <c r="A213" s="134">
        <f t="shared" si="16"/>
        <v>44</v>
      </c>
      <c r="B213" s="164" t="str">
        <f>$B$22</f>
        <v>STAS</v>
      </c>
      <c r="C213" s="12"/>
      <c r="D213" s="11"/>
      <c r="E213" s="43"/>
      <c r="F213" s="28">
        <f>ROUND(F212*$J$2,0)</f>
        <v>0</v>
      </c>
      <c r="G213" s="44"/>
    </row>
    <row r="214" spans="1:7" s="153" customFormat="1" x14ac:dyDescent="0.2">
      <c r="A214" s="134">
        <f t="shared" si="16"/>
        <v>45</v>
      </c>
      <c r="B214" s="27" t="str">
        <f>$B$21</f>
        <v>Subtotal</v>
      </c>
      <c r="C214" s="12"/>
      <c r="D214" s="11"/>
      <c r="E214" s="43"/>
      <c r="F214" s="12">
        <f>SUM(F212:F213)</f>
        <v>1226417</v>
      </c>
      <c r="G214" s="44"/>
    </row>
    <row r="215" spans="1:7" s="153" customFormat="1" x14ac:dyDescent="0.2">
      <c r="A215" s="134">
        <f t="shared" si="16"/>
        <v>46</v>
      </c>
      <c r="B215" s="164" t="s">
        <v>149</v>
      </c>
      <c r="C215" s="12">
        <f>'Sch2'!I138+'Sch2'!I144</f>
        <v>0</v>
      </c>
      <c r="D215" s="11">
        <f>'Sch3'!H131+'Sch3'!H142</f>
        <v>930</v>
      </c>
      <c r="E215" s="113" t="s">
        <v>238</v>
      </c>
      <c r="F215" s="151">
        <v>2678</v>
      </c>
      <c r="G215" s="44"/>
    </row>
    <row r="216" spans="1:7" s="153" customFormat="1" x14ac:dyDescent="0.2">
      <c r="A216" s="134">
        <f t="shared" si="16"/>
        <v>47</v>
      </c>
      <c r="B216" s="164" t="s">
        <v>222</v>
      </c>
      <c r="C216" s="28"/>
      <c r="D216" s="29">
        <f>D208</f>
        <v>39105.1</v>
      </c>
      <c r="E216" s="44">
        <f>M8</f>
        <v>1.2373000000000001</v>
      </c>
      <c r="F216" s="156">
        <f>ROUND(D216*E216,0)</f>
        <v>48385</v>
      </c>
      <c r="G216" s="44"/>
    </row>
    <row r="217" spans="1:7" s="153" customFormat="1" x14ac:dyDescent="0.2">
      <c r="A217" s="134">
        <f t="shared" si="16"/>
        <v>48</v>
      </c>
      <c r="B217" s="14" t="s">
        <v>574</v>
      </c>
      <c r="C217" s="12">
        <f>C205+C215</f>
        <v>11047</v>
      </c>
      <c r="D217" s="11">
        <f>D215+D211</f>
        <v>251883.5</v>
      </c>
      <c r="E217" s="43"/>
      <c r="F217" s="12">
        <f>SUM(F214:F216)</f>
        <v>1277480</v>
      </c>
      <c r="G217" s="44">
        <f>ROUND(F217/D217,4)</f>
        <v>5.0716999999999999</v>
      </c>
    </row>
    <row r="218" spans="1:7" x14ac:dyDescent="0.2">
      <c r="A218" s="77"/>
      <c r="B218" s="18"/>
      <c r="C218" s="20"/>
      <c r="D218" s="21"/>
      <c r="E218" s="46"/>
      <c r="F218" s="20"/>
      <c r="G218" s="2" t="str">
        <f>adjno</f>
        <v>Exhibit No. 103</v>
      </c>
    </row>
    <row r="219" spans="1:7" x14ac:dyDescent="0.2">
      <c r="A219" s="353" t="str">
        <f>coname</f>
        <v>Columbia Gas of Pennsylvania, Inc.</v>
      </c>
      <c r="B219" s="353"/>
      <c r="C219" s="353"/>
      <c r="D219" s="353"/>
      <c r="E219" s="353"/>
      <c r="F219" s="353"/>
      <c r="G219" s="2" t="s">
        <v>191</v>
      </c>
    </row>
    <row r="220" spans="1:7" x14ac:dyDescent="0.2">
      <c r="A220" s="353" t="str">
        <f>A3</f>
        <v>Revenue @ Current Rates Based on Forecast Adjusted Bills and Volumes</v>
      </c>
      <c r="B220" s="353"/>
      <c r="C220" s="353"/>
      <c r="D220" s="353"/>
      <c r="E220" s="353"/>
      <c r="F220" s="353"/>
      <c r="G220" s="2" t="s">
        <v>446</v>
      </c>
    </row>
    <row r="221" spans="1:7" x14ac:dyDescent="0.2">
      <c r="A221" s="353" t="str">
        <f>TYDESC</f>
        <v>For the 12 Months Ended December 31, 2019</v>
      </c>
      <c r="B221" s="353"/>
      <c r="C221" s="353"/>
      <c r="D221" s="353"/>
      <c r="E221" s="353"/>
      <c r="F221" s="353"/>
      <c r="G221" s="4" t="str">
        <f>'Sch1'!$G$4</f>
        <v>Witness: D. Joe Mays</v>
      </c>
    </row>
    <row r="222" spans="1:7" x14ac:dyDescent="0.2">
      <c r="A222" s="215"/>
      <c r="B222" s="1"/>
      <c r="C222" s="6"/>
    </row>
    <row r="223" spans="1:7" x14ac:dyDescent="0.2">
      <c r="A223" s="215" t="s">
        <v>3</v>
      </c>
      <c r="B223" s="1"/>
      <c r="C223" s="6"/>
      <c r="D223" s="6"/>
      <c r="E223" s="6"/>
      <c r="F223" s="6"/>
      <c r="G223" s="1"/>
    </row>
    <row r="224" spans="1:7" x14ac:dyDescent="0.2">
      <c r="A224" s="172" t="s">
        <v>6</v>
      </c>
      <c r="B224" s="161" t="s">
        <v>7</v>
      </c>
      <c r="C224" s="7" t="s">
        <v>35</v>
      </c>
      <c r="D224" s="7" t="s">
        <v>40</v>
      </c>
      <c r="E224" s="7" t="s">
        <v>30</v>
      </c>
      <c r="F224" s="7" t="s">
        <v>31</v>
      </c>
      <c r="G224" s="7" t="s">
        <v>192</v>
      </c>
    </row>
    <row r="225" spans="1:8" x14ac:dyDescent="0.2">
      <c r="A225" s="215"/>
      <c r="B225" s="6"/>
      <c r="C225" s="1" t="s">
        <v>12</v>
      </c>
      <c r="D225" s="1" t="s">
        <v>13</v>
      </c>
      <c r="E225" s="1" t="s">
        <v>32</v>
      </c>
      <c r="F225" s="1" t="s">
        <v>14</v>
      </c>
      <c r="G225" s="1" t="s">
        <v>15</v>
      </c>
      <c r="H225" s="21"/>
    </row>
    <row r="226" spans="1:8" x14ac:dyDescent="0.2">
      <c r="A226" s="215"/>
      <c r="B226" s="6"/>
      <c r="C226" s="6"/>
      <c r="D226" s="1" t="s">
        <v>241</v>
      </c>
      <c r="E226" s="8" t="s">
        <v>240</v>
      </c>
      <c r="F226" s="1" t="s">
        <v>33</v>
      </c>
      <c r="G226" s="8" t="s">
        <v>240</v>
      </c>
      <c r="H226" s="21"/>
    </row>
    <row r="227" spans="1:8" x14ac:dyDescent="0.2">
      <c r="C227" s="9" t="s">
        <v>277</v>
      </c>
      <c r="D227" s="9" t="s">
        <v>278</v>
      </c>
      <c r="H227" s="21"/>
    </row>
    <row r="228" spans="1:8" x14ac:dyDescent="0.2">
      <c r="C228" s="12"/>
      <c r="D228" s="11"/>
      <c r="E228" s="43"/>
      <c r="F228" s="12"/>
      <c r="G228" s="18"/>
      <c r="H228" s="18"/>
    </row>
    <row r="229" spans="1:8" s="153" customFormat="1" x14ac:dyDescent="0.2">
      <c r="A229" s="134">
        <v>1</v>
      </c>
      <c r="B229" s="34" t="s">
        <v>555</v>
      </c>
      <c r="C229" s="154"/>
      <c r="D229" s="11"/>
      <c r="E229" s="157"/>
      <c r="F229" s="154"/>
      <c r="G229" s="158"/>
    </row>
    <row r="230" spans="1:8" s="153" customFormat="1" x14ac:dyDescent="0.2">
      <c r="A230" s="134"/>
      <c r="B230" s="14"/>
      <c r="C230" s="154"/>
      <c r="D230" s="11"/>
      <c r="E230" s="157"/>
      <c r="F230" s="154"/>
      <c r="G230" s="158"/>
    </row>
    <row r="231" spans="1:8" s="153" customFormat="1" x14ac:dyDescent="0.2">
      <c r="A231" s="134">
        <f>A229+1</f>
        <v>2</v>
      </c>
      <c r="B231" s="27" t="s">
        <v>64</v>
      </c>
      <c r="C231" s="154"/>
      <c r="D231" s="11"/>
      <c r="E231" s="157"/>
      <c r="F231" s="154"/>
      <c r="G231" s="158"/>
    </row>
    <row r="232" spans="1:8" x14ac:dyDescent="0.2">
      <c r="A232" s="134">
        <f>A231+1</f>
        <v>3</v>
      </c>
      <c r="B232" s="167" t="s">
        <v>349</v>
      </c>
      <c r="C232" s="154">
        <f>'Sch2'!I153+'Sch2'!I159</f>
        <v>19100</v>
      </c>
      <c r="D232" s="11"/>
      <c r="E232" s="66">
        <f>$E$59</f>
        <v>48</v>
      </c>
      <c r="F232" s="154">
        <f>ROUND(C232*E232,0)</f>
        <v>916800</v>
      </c>
      <c r="G232" s="44"/>
    </row>
    <row r="233" spans="1:8" x14ac:dyDescent="0.2">
      <c r="A233" s="134">
        <f t="shared" ref="A233:A244" si="17">A232+1</f>
        <v>4</v>
      </c>
      <c r="B233" s="27" t="str">
        <f>$B$16</f>
        <v>Commodity Charge:</v>
      </c>
      <c r="G233" s="44"/>
    </row>
    <row r="234" spans="1:8" x14ac:dyDescent="0.2">
      <c r="A234" s="134">
        <f t="shared" si="17"/>
        <v>5</v>
      </c>
      <c r="B234" s="164" t="s">
        <v>134</v>
      </c>
      <c r="G234" s="44"/>
    </row>
    <row r="235" spans="1:8" s="153" customFormat="1" x14ac:dyDescent="0.2">
      <c r="A235" s="134">
        <f t="shared" si="17"/>
        <v>6</v>
      </c>
      <c r="B235" s="164" t="str">
        <f>B232</f>
        <v>6,440 - 64,400 Therms Annually</v>
      </c>
      <c r="D235" s="21">
        <f>'Sch3'!H150+'Sch3'!H160</f>
        <v>789146.4</v>
      </c>
      <c r="E235" s="206">
        <v>3.4923000000000002</v>
      </c>
      <c r="F235" s="154">
        <f>ROUND(D235*E235,0)</f>
        <v>2755936</v>
      </c>
      <c r="G235" s="158"/>
    </row>
    <row r="236" spans="1:8" s="153" customFormat="1" x14ac:dyDescent="0.2">
      <c r="A236" s="134">
        <f t="shared" si="17"/>
        <v>7</v>
      </c>
      <c r="B236" s="164" t="s">
        <v>225</v>
      </c>
      <c r="D236" s="11"/>
      <c r="E236" s="157"/>
      <c r="F236" s="154"/>
      <c r="G236" s="158"/>
    </row>
    <row r="237" spans="1:8" s="153" customFormat="1" x14ac:dyDescent="0.2">
      <c r="A237" s="134">
        <f t="shared" si="17"/>
        <v>8</v>
      </c>
      <c r="B237" s="164" t="str">
        <f>B235</f>
        <v>6,440 - 64,400 Therms Annually</v>
      </c>
      <c r="C237" s="154"/>
      <c r="D237" s="29">
        <f>'Sch3'!H153+'Sch3'!H163</f>
        <v>2990230</v>
      </c>
      <c r="E237" s="158">
        <f>E235</f>
        <v>3.4923000000000002</v>
      </c>
      <c r="F237" s="154">
        <f>ROUND(D237*E237,0)</f>
        <v>10442780</v>
      </c>
      <c r="G237" s="158"/>
    </row>
    <row r="238" spans="1:8" s="153" customFormat="1" x14ac:dyDescent="0.2">
      <c r="A238" s="134">
        <f t="shared" si="17"/>
        <v>9</v>
      </c>
      <c r="B238" s="164" t="s">
        <v>441</v>
      </c>
      <c r="C238" s="154"/>
      <c r="D238" s="11">
        <f>D237+D235</f>
        <v>3779376.4</v>
      </c>
      <c r="E238" s="158">
        <f>E211</f>
        <v>1E-3</v>
      </c>
      <c r="F238" s="156">
        <f>ROUND(D238*E238,0)</f>
        <v>3779</v>
      </c>
      <c r="G238" s="158"/>
    </row>
    <row r="239" spans="1:8" s="153" customFormat="1" x14ac:dyDescent="0.2">
      <c r="A239" s="134">
        <f>1+A238</f>
        <v>10</v>
      </c>
      <c r="B239" s="27" t="str">
        <f>$B$21</f>
        <v>Subtotal</v>
      </c>
      <c r="C239" s="154"/>
      <c r="D239" s="11"/>
      <c r="E239" s="157"/>
      <c r="F239" s="154">
        <f>SUM(F232:F238)</f>
        <v>14119295</v>
      </c>
      <c r="G239" s="158"/>
    </row>
    <row r="240" spans="1:8" x14ac:dyDescent="0.2">
      <c r="A240" s="134">
        <f t="shared" si="17"/>
        <v>11</v>
      </c>
      <c r="B240" s="164" t="str">
        <f>$B$22</f>
        <v>STAS</v>
      </c>
      <c r="C240" s="154"/>
      <c r="D240" s="11"/>
      <c r="E240" s="157"/>
      <c r="F240" s="156">
        <f>ROUND(F239*$J$2,0)</f>
        <v>0</v>
      </c>
      <c r="G240" s="158"/>
    </row>
    <row r="241" spans="1:10" x14ac:dyDescent="0.2">
      <c r="A241" s="134">
        <f t="shared" si="17"/>
        <v>12</v>
      </c>
      <c r="B241" s="27" t="str">
        <f>$B$21</f>
        <v>Subtotal</v>
      </c>
      <c r="C241" s="154"/>
      <c r="D241" s="11"/>
      <c r="E241" s="157"/>
      <c r="F241" s="154">
        <f>SUM(F239:F240)</f>
        <v>14119295</v>
      </c>
      <c r="G241" s="158"/>
    </row>
    <row r="242" spans="1:10" x14ac:dyDescent="0.2">
      <c r="A242" s="134">
        <f t="shared" si="17"/>
        <v>13</v>
      </c>
      <c r="B242" s="164" t="s">
        <v>149</v>
      </c>
      <c r="C242" s="154">
        <f>'Sch2'!I154+'Sch2'!I160</f>
        <v>24</v>
      </c>
      <c r="D242" s="11">
        <f>'Sch3'!H155</f>
        <v>27168.3</v>
      </c>
      <c r="E242" s="113" t="s">
        <v>238</v>
      </c>
      <c r="F242" s="151">
        <v>43793</v>
      </c>
      <c r="G242" s="158"/>
    </row>
    <row r="243" spans="1:10" x14ac:dyDescent="0.2">
      <c r="A243" s="134">
        <f t="shared" si="17"/>
        <v>14</v>
      </c>
      <c r="B243" s="164" t="s">
        <v>222</v>
      </c>
      <c r="C243" s="156"/>
      <c r="D243" s="29">
        <f>D235</f>
        <v>789146.4</v>
      </c>
      <c r="E243" s="158">
        <f>E216</f>
        <v>1.2373000000000001</v>
      </c>
      <c r="F243" s="156">
        <f>ROUND(D243*E243,0)</f>
        <v>976411</v>
      </c>
      <c r="G243" s="158"/>
    </row>
    <row r="244" spans="1:10" x14ac:dyDescent="0.2">
      <c r="A244" s="134">
        <f t="shared" si="17"/>
        <v>15</v>
      </c>
      <c r="B244" s="14" t="s">
        <v>575</v>
      </c>
      <c r="C244" s="154">
        <f>C242+C232</f>
        <v>19124</v>
      </c>
      <c r="D244" s="11">
        <f>D242+D238</f>
        <v>3806544.6999999997</v>
      </c>
      <c r="E244" s="157"/>
      <c r="F244" s="154">
        <f>SUM(F241:F243)</f>
        <v>15139499</v>
      </c>
      <c r="G244" s="158">
        <f>ROUND(F244/D244,4)</f>
        <v>3.9771999999999998</v>
      </c>
      <c r="J244" s="154"/>
    </row>
    <row r="245" spans="1:10" s="153" customFormat="1" x14ac:dyDescent="0.2">
      <c r="A245" s="134"/>
      <c r="B245" s="14"/>
      <c r="C245" s="154"/>
      <c r="D245" s="11"/>
      <c r="E245" s="157"/>
      <c r="F245" s="154"/>
      <c r="G245" s="158"/>
    </row>
    <row r="246" spans="1:10" s="153" customFormat="1" x14ac:dyDescent="0.2">
      <c r="A246" s="134">
        <f>A244+1</f>
        <v>16</v>
      </c>
      <c r="B246" s="42" t="s">
        <v>115</v>
      </c>
      <c r="C246" s="12"/>
      <c r="D246" s="11"/>
      <c r="E246" s="43"/>
      <c r="F246" s="12"/>
      <c r="G246" s="44"/>
    </row>
    <row r="247" spans="1:10" s="153" customFormat="1" x14ac:dyDescent="0.2">
      <c r="A247" s="134"/>
      <c r="B247" s="13"/>
      <c r="C247" s="12"/>
      <c r="D247" s="11"/>
      <c r="E247" s="43"/>
      <c r="F247" s="12"/>
      <c r="G247" s="44"/>
    </row>
    <row r="248" spans="1:10" s="153" customFormat="1" x14ac:dyDescent="0.2">
      <c r="A248" s="134">
        <f>A246+1</f>
        <v>17</v>
      </c>
      <c r="B248" s="3" t="s">
        <v>64</v>
      </c>
      <c r="C248" s="12"/>
      <c r="D248" s="11"/>
      <c r="E248" s="281"/>
      <c r="F248" s="12"/>
      <c r="G248" s="44"/>
    </row>
    <row r="249" spans="1:10" s="153" customFormat="1" x14ac:dyDescent="0.2">
      <c r="A249" s="134">
        <f t="shared" ref="A249:A257" si="18">A248+1</f>
        <v>18</v>
      </c>
      <c r="B249" s="167" t="s">
        <v>351</v>
      </c>
      <c r="C249" s="12">
        <f>'Sch2'!I169+'Sch2'!I189</f>
        <v>1933</v>
      </c>
      <c r="D249" s="11"/>
      <c r="E249" s="213">
        <v>229.75</v>
      </c>
      <c r="F249" s="12">
        <f>ROUND(C249*E249,0)</f>
        <v>444107</v>
      </c>
      <c r="G249" s="44"/>
    </row>
    <row r="250" spans="1:10" s="153" customFormat="1" x14ac:dyDescent="0.2">
      <c r="A250" s="134">
        <f t="shared" si="18"/>
        <v>19</v>
      </c>
      <c r="B250" s="167" t="s">
        <v>352</v>
      </c>
      <c r="C250" s="154">
        <f>'Sch2'!I170+'Sch2'!I190</f>
        <v>2417</v>
      </c>
      <c r="D250" s="11"/>
      <c r="E250" s="213">
        <v>757.34</v>
      </c>
      <c r="F250" s="12">
        <f>ROUND(C250*E250,0)</f>
        <v>1830491</v>
      </c>
      <c r="G250" s="44"/>
    </row>
    <row r="251" spans="1:10" s="153" customFormat="1" x14ac:dyDescent="0.2">
      <c r="A251" s="134">
        <f t="shared" si="18"/>
        <v>20</v>
      </c>
      <c r="B251" s="27" t="str">
        <f>$B$16</f>
        <v>Commodity Charge:</v>
      </c>
      <c r="C251" s="12"/>
      <c r="E251" s="206"/>
      <c r="F251" s="12"/>
      <c r="G251" s="44"/>
    </row>
    <row r="252" spans="1:10" s="153" customFormat="1" x14ac:dyDescent="0.2">
      <c r="A252" s="134">
        <f t="shared" si="18"/>
        <v>21</v>
      </c>
      <c r="B252" s="167" t="str">
        <f>B249</f>
        <v>&gt; 64,400 to ≤ 110,00 Therms Annually</v>
      </c>
      <c r="C252" s="12"/>
      <c r="D252" s="11">
        <f>'Sch3'!H182+'Sch3'!H189</f>
        <v>1395304.1</v>
      </c>
      <c r="E252" s="206">
        <v>2.3050000000000002</v>
      </c>
      <c r="F252" s="154">
        <f>ROUND(D252*E252,0)</f>
        <v>3216176</v>
      </c>
      <c r="G252" s="44"/>
    </row>
    <row r="253" spans="1:10" s="153" customFormat="1" x14ac:dyDescent="0.2">
      <c r="A253" s="134">
        <f t="shared" si="18"/>
        <v>22</v>
      </c>
      <c r="B253" s="164" t="str">
        <f>B250</f>
        <v>&gt;110,000 to ≤  540,000 Therms Annually</v>
      </c>
      <c r="C253" s="154"/>
      <c r="D253" s="29">
        <f>'Sch3'!H183+'Sch3'!H190</f>
        <v>4631727.4000000004</v>
      </c>
      <c r="E253" s="206">
        <v>2.1549999999999998</v>
      </c>
      <c r="F253" s="156">
        <f>ROUND(D253*E253,0)</f>
        <v>9981373</v>
      </c>
      <c r="G253" s="158"/>
    </row>
    <row r="254" spans="1:10" s="153" customFormat="1" x14ac:dyDescent="0.2">
      <c r="A254" s="134">
        <f t="shared" si="18"/>
        <v>23</v>
      </c>
      <c r="B254" s="27" t="str">
        <f>$B$21</f>
        <v>Subtotal</v>
      </c>
      <c r="C254" s="12"/>
      <c r="D254" s="11">
        <f>D252+D253</f>
        <v>6027031.5</v>
      </c>
      <c r="E254" s="43"/>
      <c r="F254" s="12">
        <f>SUM(F249:F253)</f>
        <v>15472147</v>
      </c>
      <c r="G254" s="44"/>
    </row>
    <row r="255" spans="1:10" s="153" customFormat="1" x14ac:dyDescent="0.2">
      <c r="A255" s="134">
        <f t="shared" si="18"/>
        <v>24</v>
      </c>
      <c r="B255" s="164" t="str">
        <f>$B$22</f>
        <v>STAS</v>
      </c>
      <c r="C255" s="12"/>
      <c r="D255" s="11"/>
      <c r="E255" s="43"/>
      <c r="F255" s="12">
        <f>ROUND(F254*$J$2,0)</f>
        <v>0</v>
      </c>
      <c r="G255" s="44"/>
    </row>
    <row r="256" spans="1:10" s="153" customFormat="1" x14ac:dyDescent="0.2">
      <c r="A256" s="134">
        <f t="shared" si="18"/>
        <v>25</v>
      </c>
      <c r="B256" s="164" t="s">
        <v>227</v>
      </c>
      <c r="C256" s="98">
        <f>'Sch2'!I171+'Sch2'!I191</f>
        <v>0</v>
      </c>
      <c r="D256" s="29">
        <f>'Sch3'!H184+'Sch3'!H191</f>
        <v>208600</v>
      </c>
      <c r="E256" s="113" t="s">
        <v>238</v>
      </c>
      <c r="F256" s="205">
        <v>163647</v>
      </c>
      <c r="G256" s="44"/>
    </row>
    <row r="257" spans="1:10" s="153" customFormat="1" x14ac:dyDescent="0.2">
      <c r="A257" s="134">
        <f t="shared" si="18"/>
        <v>26</v>
      </c>
      <c r="B257" s="14" t="s">
        <v>117</v>
      </c>
      <c r="C257" s="12">
        <f>C249+C250+C256</f>
        <v>4350</v>
      </c>
      <c r="D257" s="11">
        <f>SUM(D254:D256)</f>
        <v>6235631.5</v>
      </c>
      <c r="E257" s="43"/>
      <c r="F257" s="12">
        <f>SUM(F254:F256)</f>
        <v>15635794</v>
      </c>
      <c r="G257" s="44">
        <f>ROUND(F257/D257,4)</f>
        <v>2.5074999999999998</v>
      </c>
    </row>
    <row r="258" spans="1:10" s="153" customFormat="1" x14ac:dyDescent="0.2">
      <c r="A258" s="134"/>
      <c r="B258" s="3"/>
      <c r="C258" s="12"/>
      <c r="D258" s="11"/>
      <c r="E258" s="43"/>
      <c r="F258" s="12"/>
      <c r="G258" s="44"/>
    </row>
    <row r="259" spans="1:10" s="153" customFormat="1" x14ac:dyDescent="0.2">
      <c r="A259" s="134">
        <f>A257+1</f>
        <v>27</v>
      </c>
      <c r="B259" s="42" t="s">
        <v>116</v>
      </c>
      <c r="C259" s="12"/>
      <c r="D259" s="11"/>
      <c r="E259" s="43"/>
      <c r="F259" s="12"/>
      <c r="G259" s="44"/>
    </row>
    <row r="260" spans="1:10" s="153" customFormat="1" x14ac:dyDescent="0.2">
      <c r="A260" s="134"/>
      <c r="B260" s="13"/>
      <c r="C260" s="12"/>
      <c r="D260" s="11"/>
      <c r="E260" s="43"/>
      <c r="F260" s="12"/>
      <c r="G260" s="44"/>
    </row>
    <row r="261" spans="1:10" s="153" customFormat="1" x14ac:dyDescent="0.2">
      <c r="A261" s="134">
        <f>A259+1</f>
        <v>28</v>
      </c>
      <c r="B261" s="27" t="str">
        <f>$B$43</f>
        <v>Customer Charge:</v>
      </c>
      <c r="C261" s="12"/>
      <c r="D261" s="11"/>
      <c r="E261" s="43"/>
      <c r="F261" s="12"/>
      <c r="G261" s="44"/>
    </row>
    <row r="262" spans="1:10" s="153" customFormat="1" x14ac:dyDescent="0.2">
      <c r="A262" s="134">
        <f t="shared" ref="A262:A276" si="19">A261+1</f>
        <v>29</v>
      </c>
      <c r="B262" s="166" t="s">
        <v>285</v>
      </c>
      <c r="C262" s="12">
        <f>'Sch2'!I201+'Sch2'!I213</f>
        <v>530</v>
      </c>
      <c r="D262" s="11"/>
      <c r="E262" s="213">
        <v>1947.06</v>
      </c>
      <c r="F262" s="12">
        <f>ROUND(C262*E262,0)</f>
        <v>1031942</v>
      </c>
      <c r="G262" s="44"/>
      <c r="J262" s="154"/>
    </row>
    <row r="263" spans="1:10" s="153" customFormat="1" x14ac:dyDescent="0.2">
      <c r="A263" s="134">
        <f t="shared" si="19"/>
        <v>30</v>
      </c>
      <c r="B263" s="166" t="s">
        <v>282</v>
      </c>
      <c r="C263" s="154">
        <f>'Sch2'!I202+'Sch2'!I214</f>
        <v>312</v>
      </c>
      <c r="D263" s="11"/>
      <c r="E263" s="213">
        <v>3028.76</v>
      </c>
      <c r="F263" s="12">
        <f>ROUND(C263*E263,0)</f>
        <v>944973</v>
      </c>
      <c r="G263" s="44"/>
      <c r="J263" s="154"/>
    </row>
    <row r="264" spans="1:10" s="153" customFormat="1" x14ac:dyDescent="0.2">
      <c r="A264" s="134">
        <f t="shared" si="19"/>
        <v>31</v>
      </c>
      <c r="B264" s="166" t="s">
        <v>283</v>
      </c>
      <c r="C264" s="154">
        <f>'Sch2'!I203+'Sch2'!I215</f>
        <v>60</v>
      </c>
      <c r="D264" s="11"/>
      <c r="E264" s="213">
        <v>5841.18</v>
      </c>
      <c r="F264" s="12">
        <f>ROUND(C264*E264,0)</f>
        <v>350471</v>
      </c>
      <c r="G264" s="44"/>
      <c r="J264" s="154"/>
    </row>
    <row r="265" spans="1:10" s="153" customFormat="1" x14ac:dyDescent="0.2">
      <c r="A265" s="134">
        <f t="shared" si="19"/>
        <v>32</v>
      </c>
      <c r="B265" s="166" t="s">
        <v>286</v>
      </c>
      <c r="C265" s="156">
        <f>'Sch2'!I204+'Sch2'!I216</f>
        <v>12</v>
      </c>
      <c r="D265" s="11"/>
      <c r="E265" s="213">
        <v>8653.6</v>
      </c>
      <c r="F265" s="156">
        <f>ROUND(C265*E265,0)</f>
        <v>103843</v>
      </c>
      <c r="G265" s="44"/>
      <c r="J265" s="154"/>
    </row>
    <row r="266" spans="1:10" s="153" customFormat="1" x14ac:dyDescent="0.2">
      <c r="A266" s="134">
        <f t="shared" si="19"/>
        <v>33</v>
      </c>
      <c r="B266" s="27" t="s">
        <v>443</v>
      </c>
      <c r="C266" s="154">
        <f>SUM(C262:C265)</f>
        <v>914</v>
      </c>
      <c r="D266" s="11"/>
      <c r="E266" s="213"/>
      <c r="F266" s="154">
        <f>SUM(F262:F265)</f>
        <v>2431229</v>
      </c>
      <c r="G266" s="158"/>
      <c r="J266" s="154"/>
    </row>
    <row r="267" spans="1:10" s="153" customFormat="1" x14ac:dyDescent="0.2">
      <c r="A267" s="134">
        <f t="shared" si="19"/>
        <v>34</v>
      </c>
      <c r="B267" s="27" t="str">
        <f>$B$16</f>
        <v>Commodity Charge:</v>
      </c>
      <c r="C267" s="12"/>
      <c r="D267" s="11"/>
      <c r="E267" s="206"/>
      <c r="F267" s="12"/>
      <c r="G267" s="44"/>
      <c r="J267" s="154"/>
    </row>
    <row r="268" spans="1:10" s="153" customFormat="1" x14ac:dyDescent="0.2">
      <c r="A268" s="134">
        <f t="shared" si="19"/>
        <v>35</v>
      </c>
      <c r="B268" s="167" t="s">
        <v>285</v>
      </c>
      <c r="C268" s="12"/>
      <c r="D268" s="11">
        <f>'Sch3'!H200+'Sch3'!H209</f>
        <v>3260291.1</v>
      </c>
      <c r="E268" s="206">
        <v>1.2999000000000001</v>
      </c>
      <c r="F268" s="12">
        <f>ROUND(D268*E268,0)</f>
        <v>4238052</v>
      </c>
      <c r="G268" s="44"/>
      <c r="J268" s="154"/>
    </row>
    <row r="269" spans="1:10" s="153" customFormat="1" x14ac:dyDescent="0.2">
      <c r="A269" s="134">
        <f t="shared" si="19"/>
        <v>36</v>
      </c>
      <c r="B269" s="167" t="s">
        <v>282</v>
      </c>
      <c r="C269" s="12"/>
      <c r="D269" s="11">
        <f>'Sch3'!H201+'Sch3'!H210</f>
        <v>4629000</v>
      </c>
      <c r="E269" s="206">
        <v>1.153</v>
      </c>
      <c r="F269" s="12">
        <f>ROUND(D269*E269,0)</f>
        <v>5337237</v>
      </c>
      <c r="G269" s="76"/>
      <c r="J269" s="154"/>
    </row>
    <row r="270" spans="1:10" s="153" customFormat="1" x14ac:dyDescent="0.2">
      <c r="A270" s="134">
        <f t="shared" si="19"/>
        <v>37</v>
      </c>
      <c r="B270" s="167" t="s">
        <v>283</v>
      </c>
      <c r="C270" s="12"/>
      <c r="D270" s="11">
        <f>'Sch3'!H202+'Sch3'!H211</f>
        <v>1214000</v>
      </c>
      <c r="E270" s="206">
        <v>1.0347</v>
      </c>
      <c r="F270" s="12">
        <f>ROUND(D270*E270,0)</f>
        <v>1256126</v>
      </c>
      <c r="G270" s="44"/>
      <c r="J270" s="154"/>
    </row>
    <row r="271" spans="1:10" s="153" customFormat="1" x14ac:dyDescent="0.2">
      <c r="A271" s="134">
        <f t="shared" si="19"/>
        <v>38</v>
      </c>
      <c r="B271" s="167" t="s">
        <v>286</v>
      </c>
      <c r="C271" s="12"/>
      <c r="D271" s="29">
        <f>'Sch3'!H203+'Sch3'!H212</f>
        <v>1000000</v>
      </c>
      <c r="E271" s="206">
        <v>0.61570000000000003</v>
      </c>
      <c r="F271" s="28">
        <f>ROUND(D271*E271,0)</f>
        <v>615700</v>
      </c>
      <c r="G271" s="44"/>
      <c r="J271" s="154"/>
    </row>
    <row r="272" spans="1:10" s="153" customFormat="1" x14ac:dyDescent="0.2">
      <c r="A272" s="134">
        <f t="shared" si="19"/>
        <v>39</v>
      </c>
      <c r="B272" s="166" t="s">
        <v>360</v>
      </c>
      <c r="C272" s="12"/>
      <c r="D272" s="11">
        <f>SUM(D268:D271)</f>
        <v>10103291.1</v>
      </c>
      <c r="E272" s="43"/>
      <c r="F272" s="154">
        <f>SUM(F268:F271)</f>
        <v>11447115</v>
      </c>
      <c r="G272" s="44"/>
      <c r="J272" s="154"/>
    </row>
    <row r="273" spans="1:10" s="153" customFormat="1" x14ac:dyDescent="0.2">
      <c r="A273" s="134">
        <f>1+A272</f>
        <v>40</v>
      </c>
      <c r="B273" s="27" t="str">
        <f>$B$21</f>
        <v>Subtotal</v>
      </c>
      <c r="C273" s="12"/>
      <c r="D273" s="11"/>
      <c r="E273" s="43"/>
      <c r="F273" s="12">
        <f>SUM(F266)+F272</f>
        <v>13878344</v>
      </c>
      <c r="G273" s="44"/>
      <c r="J273" s="154"/>
    </row>
    <row r="274" spans="1:10" s="153" customFormat="1" x14ac:dyDescent="0.2">
      <c r="A274" s="134">
        <f t="shared" si="19"/>
        <v>41</v>
      </c>
      <c r="B274" s="164" t="str">
        <f>$B$22</f>
        <v>STAS</v>
      </c>
      <c r="C274" s="12"/>
      <c r="D274" s="11"/>
      <c r="E274" s="43"/>
      <c r="F274" s="12">
        <f>ROUND(F273*$J$2,0)</f>
        <v>0</v>
      </c>
      <c r="G274" s="44"/>
      <c r="J274" s="154"/>
    </row>
    <row r="275" spans="1:10" s="153" customFormat="1" x14ac:dyDescent="0.2">
      <c r="A275" s="134">
        <f t="shared" si="19"/>
        <v>42</v>
      </c>
      <c r="B275" s="164" t="s">
        <v>227</v>
      </c>
      <c r="C275" s="28">
        <f>'Sch2'!I205+'Sch2'!I217</f>
        <v>168</v>
      </c>
      <c r="D275" s="29">
        <f>'Sch3'!H204+'Sch3'!H213</f>
        <v>10548652.9</v>
      </c>
      <c r="E275" s="113" t="s">
        <v>238</v>
      </c>
      <c r="F275" s="205">
        <v>4020861</v>
      </c>
      <c r="G275" s="44"/>
      <c r="J275" s="154"/>
    </row>
    <row r="276" spans="1:10" s="153" customFormat="1" x14ac:dyDescent="0.2">
      <c r="A276" s="134">
        <f t="shared" si="19"/>
        <v>43</v>
      </c>
      <c r="B276" s="14" t="s">
        <v>118</v>
      </c>
      <c r="C276" s="12">
        <f>C262+C263+C264+C265+C275</f>
        <v>1082</v>
      </c>
      <c r="D276" s="11">
        <f>D272+D275</f>
        <v>20651944</v>
      </c>
      <c r="E276" s="43"/>
      <c r="F276" s="12">
        <f>SUM(F273:F275)</f>
        <v>17899205</v>
      </c>
      <c r="G276" s="44">
        <f>ROUND(F276/D276,4)</f>
        <v>0.86670000000000003</v>
      </c>
      <c r="J276" s="154"/>
    </row>
    <row r="277" spans="1:10" s="153" customFormat="1" x14ac:dyDescent="0.2">
      <c r="A277" s="134"/>
      <c r="B277" s="14"/>
      <c r="C277" s="154"/>
      <c r="D277" s="11"/>
      <c r="E277" s="157"/>
      <c r="F277" s="154"/>
      <c r="G277" s="158"/>
    </row>
    <row r="278" spans="1:10" s="153" customFormat="1" x14ac:dyDescent="0.2">
      <c r="A278" s="134">
        <f>A276+1</f>
        <v>44</v>
      </c>
      <c r="B278" s="42" t="s">
        <v>143</v>
      </c>
      <c r="C278" s="12"/>
      <c r="D278" s="11"/>
      <c r="E278" s="43"/>
      <c r="F278" s="12"/>
      <c r="G278" s="44"/>
    </row>
    <row r="279" spans="1:10" s="153" customFormat="1" x14ac:dyDescent="0.2">
      <c r="A279" s="134"/>
      <c r="B279" s="13"/>
      <c r="C279" s="12"/>
      <c r="D279" s="11"/>
      <c r="E279" s="43"/>
      <c r="F279" s="12"/>
      <c r="G279" s="44"/>
    </row>
    <row r="280" spans="1:10" s="153" customFormat="1" x14ac:dyDescent="0.2">
      <c r="A280" s="134">
        <f>A278+1</f>
        <v>45</v>
      </c>
      <c r="B280" s="27" t="str">
        <f>$B$43</f>
        <v>Customer Charge:</v>
      </c>
      <c r="C280" s="12"/>
      <c r="D280" s="11"/>
      <c r="E280" s="43"/>
      <c r="F280" s="12"/>
      <c r="G280" s="44"/>
    </row>
    <row r="281" spans="1:10" s="153" customFormat="1" x14ac:dyDescent="0.2">
      <c r="A281" s="134">
        <f>A280+1</f>
        <v>46</v>
      </c>
      <c r="B281" s="167" t="s">
        <v>359</v>
      </c>
      <c r="C281" s="12">
        <f>'Sch2'!I227+'Sch2'!I239</f>
        <v>12</v>
      </c>
      <c r="D281" s="11"/>
      <c r="E281" s="213">
        <v>469.34</v>
      </c>
      <c r="F281" s="12">
        <f>ROUND(C281*E281,0)</f>
        <v>5632</v>
      </c>
      <c r="G281" s="44"/>
    </row>
    <row r="282" spans="1:10" s="153" customFormat="1" x14ac:dyDescent="0.2">
      <c r="A282" s="134">
        <f t="shared" ref="A282:A292" si="20">A281+1</f>
        <v>47</v>
      </c>
      <c r="B282" s="167" t="s">
        <v>281</v>
      </c>
      <c r="C282" s="154">
        <f>'Sch2'!I228+'Sch2'!I240</f>
        <v>26</v>
      </c>
      <c r="D282" s="11"/>
      <c r="E282" s="213">
        <v>1149</v>
      </c>
      <c r="F282" s="12">
        <f>ROUND(C282*E282,0)</f>
        <v>29874</v>
      </c>
      <c r="G282" s="44"/>
    </row>
    <row r="283" spans="1:10" s="153" customFormat="1" x14ac:dyDescent="0.2">
      <c r="A283" s="134">
        <f t="shared" si="20"/>
        <v>48</v>
      </c>
      <c r="B283" s="167" t="s">
        <v>282</v>
      </c>
      <c r="C283" s="154">
        <f>'Sch2'!I229+'Sch2'!I241</f>
        <v>24</v>
      </c>
      <c r="D283" s="11"/>
      <c r="E283" s="213">
        <v>2050</v>
      </c>
      <c r="F283" s="12">
        <f>ROUND(C283*E283,0)</f>
        <v>49200</v>
      </c>
      <c r="G283" s="44"/>
    </row>
    <row r="284" spans="1:10" s="153" customFormat="1" x14ac:dyDescent="0.2">
      <c r="A284" s="134">
        <f t="shared" si="20"/>
        <v>49</v>
      </c>
      <c r="B284" s="167" t="s">
        <v>283</v>
      </c>
      <c r="C284" s="154">
        <f>'Sch2'!I230+'Sch2'!I242</f>
        <v>0</v>
      </c>
      <c r="D284" s="11"/>
      <c r="E284" s="213">
        <v>4096</v>
      </c>
      <c r="F284" s="12">
        <f>ROUND(C284*E284,0)</f>
        <v>0</v>
      </c>
      <c r="G284" s="44"/>
    </row>
    <row r="285" spans="1:10" s="153" customFormat="1" x14ac:dyDescent="0.2">
      <c r="A285" s="134">
        <f t="shared" si="20"/>
        <v>50</v>
      </c>
      <c r="B285" s="167" t="s">
        <v>286</v>
      </c>
      <c r="C285" s="156">
        <f>'Sch2'!I231+'Sch2'!I243</f>
        <v>12</v>
      </c>
      <c r="D285" s="11"/>
      <c r="E285" s="213">
        <v>7322</v>
      </c>
      <c r="F285" s="156">
        <f>ROUND(C285*E285,0)</f>
        <v>87864</v>
      </c>
      <c r="G285" s="44"/>
    </row>
    <row r="286" spans="1:10" s="153" customFormat="1" x14ac:dyDescent="0.2">
      <c r="A286" s="134">
        <f t="shared" si="20"/>
        <v>51</v>
      </c>
      <c r="B286" s="27" t="s">
        <v>443</v>
      </c>
      <c r="C286" s="154">
        <f>SUM(C281:C285)</f>
        <v>74</v>
      </c>
      <c r="D286" s="11"/>
      <c r="E286" s="213"/>
      <c r="F286" s="154">
        <f>SUM(F281:F285)</f>
        <v>172570</v>
      </c>
      <c r="G286" s="158"/>
    </row>
    <row r="287" spans="1:10" s="153" customFormat="1" x14ac:dyDescent="0.2">
      <c r="A287" s="134">
        <f t="shared" si="20"/>
        <v>52</v>
      </c>
      <c r="B287" s="27" t="str">
        <f>$B$16</f>
        <v>Commodity Charge:</v>
      </c>
      <c r="C287" s="12"/>
      <c r="D287" s="11"/>
      <c r="E287" s="213"/>
      <c r="F287" s="12"/>
      <c r="G287" s="44"/>
    </row>
    <row r="288" spans="1:10" s="153" customFormat="1" x14ac:dyDescent="0.2">
      <c r="A288" s="134">
        <f t="shared" si="20"/>
        <v>53</v>
      </c>
      <c r="B288" s="164" t="s">
        <v>41</v>
      </c>
      <c r="C288" s="12"/>
      <c r="D288" s="11">
        <f>'Sch3'!H222+'Sch3'!H228</f>
        <v>154000</v>
      </c>
      <c r="E288" s="206">
        <v>9.3700000000000006E-2</v>
      </c>
      <c r="F288" s="154">
        <f>ROUND(D288*E288,0)</f>
        <v>14430</v>
      </c>
      <c r="G288" s="44"/>
    </row>
    <row r="289" spans="1:14" s="153" customFormat="1" x14ac:dyDescent="0.2">
      <c r="A289" s="134">
        <f>1+A288</f>
        <v>54</v>
      </c>
      <c r="B289" s="27" t="str">
        <f>$B$21</f>
        <v>Subtotal</v>
      </c>
      <c r="C289" s="12"/>
      <c r="D289" s="11"/>
      <c r="E289" s="95"/>
      <c r="F289" s="12">
        <f>SUM(F286:F288)</f>
        <v>187000</v>
      </c>
      <c r="G289" s="44"/>
    </row>
    <row r="290" spans="1:14" s="153" customFormat="1" x14ac:dyDescent="0.2">
      <c r="A290" s="134">
        <f t="shared" si="20"/>
        <v>55</v>
      </c>
      <c r="B290" s="164" t="str">
        <f>$B$22</f>
        <v>STAS</v>
      </c>
      <c r="C290" s="12"/>
      <c r="D290" s="11"/>
      <c r="E290" s="95"/>
      <c r="F290" s="154">
        <f>ROUND(F289*$J$2,0)</f>
        <v>0</v>
      </c>
      <c r="G290" s="44"/>
    </row>
    <row r="291" spans="1:14" s="153" customFormat="1" x14ac:dyDescent="0.2">
      <c r="A291" s="134">
        <f t="shared" si="20"/>
        <v>56</v>
      </c>
      <c r="B291" s="164" t="s">
        <v>149</v>
      </c>
      <c r="C291" s="28">
        <f>'Sch2'!I233+'Sch2'!I245</f>
        <v>0</v>
      </c>
      <c r="D291" s="29">
        <f>'Sch3'!H229</f>
        <v>2270000</v>
      </c>
      <c r="E291" s="113" t="s">
        <v>238</v>
      </c>
      <c r="F291" s="205">
        <v>212245</v>
      </c>
      <c r="G291" s="44"/>
    </row>
    <row r="292" spans="1:14" s="153" customFormat="1" x14ac:dyDescent="0.2">
      <c r="A292" s="134">
        <f t="shared" si="20"/>
        <v>57</v>
      </c>
      <c r="B292" s="14" t="s">
        <v>144</v>
      </c>
      <c r="C292" s="12">
        <f>C286+C291</f>
        <v>74</v>
      </c>
      <c r="D292" s="11">
        <f>SUM(D288:D291)</f>
        <v>2424000</v>
      </c>
      <c r="E292" s="43"/>
      <c r="F292" s="154">
        <f>SUM(F289:F291)</f>
        <v>399245</v>
      </c>
      <c r="G292" s="44">
        <f>ROUND(F292/D292,4)</f>
        <v>0.16470000000000001</v>
      </c>
    </row>
    <row r="293" spans="1:14" x14ac:dyDescent="0.2">
      <c r="C293" s="12"/>
      <c r="D293" s="11"/>
      <c r="E293" s="43"/>
      <c r="F293" s="12"/>
      <c r="G293" s="2" t="str">
        <f>adjno</f>
        <v>Exhibit No. 103</v>
      </c>
    </row>
    <row r="294" spans="1:14" x14ac:dyDescent="0.2">
      <c r="A294" s="353" t="str">
        <f>coname</f>
        <v>Columbia Gas of Pennsylvania, Inc.</v>
      </c>
      <c r="B294" s="353"/>
      <c r="C294" s="353"/>
      <c r="D294" s="353"/>
      <c r="E294" s="353"/>
      <c r="F294" s="353"/>
      <c r="G294" s="2" t="s">
        <v>191</v>
      </c>
    </row>
    <row r="295" spans="1:14" x14ac:dyDescent="0.2">
      <c r="A295" s="353" t="str">
        <f>A3</f>
        <v>Revenue @ Current Rates Based on Forecast Adjusted Bills and Volumes</v>
      </c>
      <c r="B295" s="353"/>
      <c r="C295" s="353"/>
      <c r="D295" s="353"/>
      <c r="E295" s="353"/>
      <c r="F295" s="353"/>
      <c r="G295" s="2" t="s">
        <v>447</v>
      </c>
    </row>
    <row r="296" spans="1:14" x14ac:dyDescent="0.2">
      <c r="A296" s="353" t="str">
        <f>TYDESC</f>
        <v>For the 12 Months Ended December 31, 2019</v>
      </c>
      <c r="B296" s="353"/>
      <c r="C296" s="353"/>
      <c r="D296" s="353"/>
      <c r="E296" s="353"/>
      <c r="F296" s="353"/>
      <c r="G296" s="4" t="str">
        <f>'Sch1'!$G$4</f>
        <v>Witness: D. Joe Mays</v>
      </c>
    </row>
    <row r="297" spans="1:14" x14ac:dyDescent="0.2">
      <c r="A297" s="215"/>
      <c r="B297" s="1"/>
      <c r="C297" s="6"/>
    </row>
    <row r="298" spans="1:14" x14ac:dyDescent="0.2">
      <c r="A298" s="215" t="s">
        <v>3</v>
      </c>
      <c r="B298" s="1"/>
      <c r="C298" s="6"/>
      <c r="D298" s="6"/>
      <c r="E298" s="6"/>
      <c r="F298" s="6"/>
      <c r="G298" s="1"/>
    </row>
    <row r="299" spans="1:14" x14ac:dyDescent="0.2">
      <c r="A299" s="172" t="s">
        <v>6</v>
      </c>
      <c r="B299" s="161" t="s">
        <v>7</v>
      </c>
      <c r="C299" s="7" t="s">
        <v>35</v>
      </c>
      <c r="D299" s="7" t="s">
        <v>40</v>
      </c>
      <c r="E299" s="7" t="s">
        <v>30</v>
      </c>
      <c r="F299" s="7" t="s">
        <v>31</v>
      </c>
      <c r="G299" s="7" t="s">
        <v>192</v>
      </c>
    </row>
    <row r="300" spans="1:14" x14ac:dyDescent="0.2">
      <c r="A300" s="215"/>
      <c r="B300" s="6"/>
      <c r="C300" s="1" t="s">
        <v>12</v>
      </c>
      <c r="D300" s="1" t="s">
        <v>13</v>
      </c>
      <c r="E300" s="1" t="s">
        <v>32</v>
      </c>
      <c r="F300" s="1" t="s">
        <v>14</v>
      </c>
      <c r="G300" s="1" t="s">
        <v>15</v>
      </c>
    </row>
    <row r="301" spans="1:14" x14ac:dyDescent="0.2">
      <c r="A301" s="215"/>
      <c r="B301" s="6"/>
      <c r="C301" s="6"/>
      <c r="D301" s="1" t="s">
        <v>241</v>
      </c>
      <c r="E301" s="8" t="s">
        <v>240</v>
      </c>
      <c r="F301" s="1" t="s">
        <v>33</v>
      </c>
      <c r="G301" s="8" t="s">
        <v>240</v>
      </c>
    </row>
    <row r="302" spans="1:14" x14ac:dyDescent="0.2">
      <c r="C302" s="9" t="s">
        <v>277</v>
      </c>
      <c r="D302" s="9" t="s">
        <v>278</v>
      </c>
      <c r="J302" s="153"/>
      <c r="K302" s="153"/>
      <c r="L302" s="153"/>
      <c r="M302" s="153"/>
      <c r="N302" s="153"/>
    </row>
    <row r="303" spans="1:14" x14ac:dyDescent="0.2">
      <c r="A303" s="3"/>
    </row>
    <row r="304" spans="1:14" x14ac:dyDescent="0.2">
      <c r="A304" s="134">
        <v>1</v>
      </c>
      <c r="B304" s="42" t="s">
        <v>147</v>
      </c>
      <c r="C304" s="12"/>
      <c r="D304" s="11"/>
      <c r="E304" s="43"/>
      <c r="F304" s="154"/>
      <c r="G304" s="44"/>
      <c r="H304" s="18"/>
    </row>
    <row r="305" spans="1:10" x14ac:dyDescent="0.2">
      <c r="B305" s="13"/>
      <c r="C305" s="12"/>
      <c r="D305" s="11"/>
      <c r="E305" s="43"/>
      <c r="F305" s="154"/>
      <c r="G305" s="44"/>
      <c r="H305" s="18"/>
    </row>
    <row r="306" spans="1:10" x14ac:dyDescent="0.2">
      <c r="A306" s="134">
        <f>A304+1</f>
        <v>2</v>
      </c>
      <c r="B306" s="27" t="str">
        <f>$B$43</f>
        <v>Customer Charge:</v>
      </c>
      <c r="C306" s="12"/>
      <c r="D306" s="11"/>
      <c r="E306" s="43"/>
      <c r="F306" s="154"/>
      <c r="G306" s="44"/>
    </row>
    <row r="307" spans="1:10" x14ac:dyDescent="0.2">
      <c r="A307" s="134">
        <f>A306+1</f>
        <v>3</v>
      </c>
      <c r="B307" s="208" t="s">
        <v>452</v>
      </c>
      <c r="C307" s="154">
        <f>'Sch2'!I277</f>
        <v>0</v>
      </c>
      <c r="D307" s="11"/>
      <c r="E307" s="213">
        <v>2050</v>
      </c>
      <c r="F307" s="154">
        <f>ROUND(C307*E307,0)</f>
        <v>0</v>
      </c>
      <c r="G307" s="44"/>
      <c r="J307" s="154"/>
    </row>
    <row r="308" spans="1:10" x14ac:dyDescent="0.2">
      <c r="A308" s="134">
        <f t="shared" ref="A308:A311" si="21">A307+1</f>
        <v>4</v>
      </c>
      <c r="B308" s="167" t="s">
        <v>283</v>
      </c>
      <c r="C308" s="154">
        <f>'Sch2'!I278</f>
        <v>36</v>
      </c>
      <c r="D308" s="11"/>
      <c r="E308" s="213">
        <v>4096</v>
      </c>
      <c r="F308" s="154">
        <f>ROUND(C308*E308,0)</f>
        <v>147456</v>
      </c>
      <c r="G308" s="44"/>
      <c r="J308" s="154"/>
    </row>
    <row r="309" spans="1:10" x14ac:dyDescent="0.2">
      <c r="A309" s="134">
        <f t="shared" si="21"/>
        <v>5</v>
      </c>
      <c r="B309" s="167" t="s">
        <v>286</v>
      </c>
      <c r="C309" s="156">
        <f>'Sch2'!I279</f>
        <v>0</v>
      </c>
      <c r="D309" s="11"/>
      <c r="E309" s="213">
        <v>7322</v>
      </c>
      <c r="F309" s="156">
        <f>ROUND(C309*E309,0)</f>
        <v>0</v>
      </c>
      <c r="G309" s="44"/>
      <c r="J309" s="154"/>
    </row>
    <row r="310" spans="1:10" s="153" customFormat="1" x14ac:dyDescent="0.2">
      <c r="A310" s="134">
        <f t="shared" si="21"/>
        <v>6</v>
      </c>
      <c r="B310" s="27" t="s">
        <v>443</v>
      </c>
      <c r="C310" s="154">
        <f>SUM(C307:C309)</f>
        <v>36</v>
      </c>
      <c r="D310" s="11"/>
      <c r="E310" s="213"/>
      <c r="F310" s="154">
        <f>SUM(F307:F309)</f>
        <v>147456</v>
      </c>
      <c r="G310" s="158"/>
      <c r="J310" s="154"/>
    </row>
    <row r="311" spans="1:10" x14ac:dyDescent="0.2">
      <c r="A311" s="134">
        <f t="shared" si="21"/>
        <v>7</v>
      </c>
      <c r="B311" s="27" t="str">
        <f>$B$16</f>
        <v>Commodity Charge:</v>
      </c>
      <c r="C311" s="12"/>
      <c r="D311" s="11"/>
      <c r="E311" s="206"/>
      <c r="F311" s="154"/>
      <c r="G311" s="44"/>
      <c r="J311" s="154"/>
    </row>
    <row r="312" spans="1:10" x14ac:dyDescent="0.2">
      <c r="A312" s="134">
        <f>A311+1</f>
        <v>8</v>
      </c>
      <c r="B312" s="166" t="s">
        <v>452</v>
      </c>
      <c r="C312" s="12"/>
      <c r="D312" s="11">
        <f>'Sch3'!H257</f>
        <v>0</v>
      </c>
      <c r="E312" s="206">
        <v>0.44790000000000002</v>
      </c>
      <c r="F312" s="154">
        <f>ROUND(D312*E312,0)</f>
        <v>0</v>
      </c>
      <c r="G312" s="44"/>
      <c r="J312" s="154"/>
    </row>
    <row r="313" spans="1:10" x14ac:dyDescent="0.2">
      <c r="A313" s="134">
        <f t="shared" ref="A313:A319" si="22">A312+1</f>
        <v>9</v>
      </c>
      <c r="B313" s="167" t="s">
        <v>283</v>
      </c>
      <c r="C313" s="12"/>
      <c r="D313" s="11">
        <f>'Sch3'!H258</f>
        <v>0</v>
      </c>
      <c r="E313" s="206">
        <v>0.38740000000000002</v>
      </c>
      <c r="F313" s="154">
        <f>ROUND(D313*E313,0)</f>
        <v>0</v>
      </c>
      <c r="G313" s="44"/>
      <c r="J313" s="154"/>
    </row>
    <row r="314" spans="1:10" x14ac:dyDescent="0.2">
      <c r="A314" s="134">
        <f t="shared" si="22"/>
        <v>10</v>
      </c>
      <c r="B314" s="167" t="s">
        <v>286</v>
      </c>
      <c r="C314" s="12"/>
      <c r="D314" s="29">
        <f>'Sch3'!H259</f>
        <v>0</v>
      </c>
      <c r="E314" s="206">
        <v>0.33550000000000002</v>
      </c>
      <c r="F314" s="156">
        <f>ROUND(D314*E314,0)</f>
        <v>0</v>
      </c>
      <c r="G314" s="44"/>
      <c r="J314" s="154"/>
    </row>
    <row r="315" spans="1:10" s="153" customFormat="1" x14ac:dyDescent="0.2">
      <c r="A315" s="134">
        <f>1+A314</f>
        <v>11</v>
      </c>
      <c r="B315" s="167" t="s">
        <v>360</v>
      </c>
      <c r="C315" s="154"/>
      <c r="D315" s="11">
        <f>SUM(D312:D314)</f>
        <v>0</v>
      </c>
      <c r="E315" s="157"/>
      <c r="F315" s="11">
        <f>SUM(F312:F314)</f>
        <v>0</v>
      </c>
      <c r="G315" s="158"/>
      <c r="J315" s="154"/>
    </row>
    <row r="316" spans="1:10" x14ac:dyDescent="0.2">
      <c r="A316" s="134">
        <f>1+A315</f>
        <v>12</v>
      </c>
      <c r="B316" s="27" t="str">
        <f>$B$21</f>
        <v>Subtotal</v>
      </c>
      <c r="C316" s="12"/>
      <c r="D316" s="11"/>
      <c r="E316" s="95"/>
      <c r="F316" s="154">
        <f>+F315+F310</f>
        <v>147456</v>
      </c>
      <c r="G316" s="44"/>
      <c r="J316" s="154"/>
    </row>
    <row r="317" spans="1:10" x14ac:dyDescent="0.2">
      <c r="A317" s="134">
        <f t="shared" si="22"/>
        <v>13</v>
      </c>
      <c r="B317" s="164" t="str">
        <f>$B$22</f>
        <v>STAS</v>
      </c>
      <c r="C317" s="12"/>
      <c r="D317" s="11"/>
      <c r="E317" s="95"/>
      <c r="F317" s="154">
        <f>ROUND(F316*$J$2,0)</f>
        <v>0</v>
      </c>
      <c r="G317" s="44"/>
      <c r="J317" s="154"/>
    </row>
    <row r="318" spans="1:10" x14ac:dyDescent="0.2">
      <c r="A318" s="134">
        <f t="shared" si="22"/>
        <v>14</v>
      </c>
      <c r="B318" s="166" t="s">
        <v>149</v>
      </c>
      <c r="C318" s="28">
        <f>'Sch2'!I281+'Sch2'!C259</f>
        <v>12</v>
      </c>
      <c r="D318" s="29">
        <f>'Sch3'!H260+'Sch3'!H252</f>
        <v>2239000</v>
      </c>
      <c r="E318" s="113" t="s">
        <v>238</v>
      </c>
      <c r="F318" s="205">
        <v>636751</v>
      </c>
      <c r="G318" s="44"/>
      <c r="J318" s="154"/>
    </row>
    <row r="319" spans="1:10" x14ac:dyDescent="0.2">
      <c r="A319" s="134">
        <f t="shared" si="22"/>
        <v>15</v>
      </c>
      <c r="B319" s="14" t="s">
        <v>148</v>
      </c>
      <c r="C319" s="12">
        <f>C310+C318</f>
        <v>48</v>
      </c>
      <c r="D319" s="11">
        <f>D318+D315</f>
        <v>2239000</v>
      </c>
      <c r="E319" s="43"/>
      <c r="F319" s="154">
        <f>SUM(F316:F318)</f>
        <v>784207</v>
      </c>
      <c r="G319" s="44">
        <f>ROUND(F319/D319,4)</f>
        <v>0.35020000000000001</v>
      </c>
      <c r="J319" s="154"/>
    </row>
    <row r="320" spans="1:10" ht="12" thickBot="1" x14ac:dyDescent="0.25">
      <c r="C320" s="9"/>
      <c r="D320" s="9"/>
    </row>
    <row r="321" spans="1:14" x14ac:dyDescent="0.2">
      <c r="A321" s="221">
        <f>A319+1</f>
        <v>16</v>
      </c>
      <c r="B321" s="88" t="s">
        <v>403</v>
      </c>
      <c r="C321" s="16"/>
      <c r="D321" s="17"/>
      <c r="E321" s="17"/>
      <c r="F321" s="101"/>
      <c r="G321" s="21"/>
      <c r="H321" s="21"/>
    </row>
    <row r="322" spans="1:14" x14ac:dyDescent="0.2">
      <c r="A322" s="222"/>
      <c r="B322" s="155"/>
      <c r="C322" s="20"/>
      <c r="D322" s="21"/>
      <c r="E322" s="21"/>
      <c r="F322" s="102"/>
      <c r="G322" s="21"/>
      <c r="H322" s="21"/>
    </row>
    <row r="323" spans="1:14" x14ac:dyDescent="0.2">
      <c r="A323" s="222">
        <f>A321+1</f>
        <v>17</v>
      </c>
      <c r="B323" s="170" t="s">
        <v>237</v>
      </c>
      <c r="C323" s="20"/>
      <c r="D323" s="21"/>
      <c r="E323" s="21"/>
      <c r="F323" s="102">
        <f>F165+F167</f>
        <v>53757368</v>
      </c>
      <c r="G323" s="21"/>
      <c r="H323" s="81">
        <f>F122+F131+F139+F144+F323+F330+F336+F340</f>
        <v>377099600</v>
      </c>
      <c r="I323" s="153"/>
      <c r="J323" s="153" t="s">
        <v>491</v>
      </c>
    </row>
    <row r="324" spans="1:14" x14ac:dyDescent="0.2">
      <c r="A324" s="222">
        <f t="shared" ref="A324:A328" si="23">A323+1</f>
        <v>18</v>
      </c>
      <c r="B324" s="170" t="s">
        <v>151</v>
      </c>
      <c r="C324" s="20"/>
      <c r="D324" s="21"/>
      <c r="E324" s="21"/>
      <c r="F324" s="102">
        <f>F171</f>
        <v>0</v>
      </c>
      <c r="G324" s="21"/>
      <c r="H324" s="81">
        <f>F123+F132+F140+F145+F324+F331+F337+F341</f>
        <v>0</v>
      </c>
      <c r="I324" s="153"/>
      <c r="J324" s="153" t="s">
        <v>151</v>
      </c>
    </row>
    <row r="325" spans="1:14" x14ac:dyDescent="0.2">
      <c r="A325" s="222">
        <f t="shared" si="23"/>
        <v>19</v>
      </c>
      <c r="B325" s="170" t="s">
        <v>229</v>
      </c>
      <c r="C325" s="20"/>
      <c r="D325" s="21"/>
      <c r="E325" s="21"/>
      <c r="F325" s="102">
        <f>F168</f>
        <v>6359228</v>
      </c>
      <c r="G325" s="21"/>
      <c r="H325" s="81">
        <f>F124+F325</f>
        <v>29305816</v>
      </c>
      <c r="I325" s="153"/>
      <c r="J325" s="153" t="s">
        <v>235</v>
      </c>
    </row>
    <row r="326" spans="1:14" s="153" customFormat="1" x14ac:dyDescent="0.2">
      <c r="A326" s="222">
        <f t="shared" si="23"/>
        <v>20</v>
      </c>
      <c r="B326" s="170" t="s">
        <v>441</v>
      </c>
      <c r="C326" s="20"/>
      <c r="D326" s="21"/>
      <c r="E326" s="21"/>
      <c r="F326" s="102">
        <f>F169</f>
        <v>6925</v>
      </c>
      <c r="G326" s="21"/>
      <c r="H326" s="81">
        <f>F127+F135+F326+F332</f>
        <v>47177</v>
      </c>
      <c r="J326" s="153" t="s">
        <v>441</v>
      </c>
    </row>
    <row r="327" spans="1:14" x14ac:dyDescent="0.2">
      <c r="A327" s="222">
        <f>1+A326</f>
        <v>21</v>
      </c>
      <c r="B327" s="170" t="s">
        <v>66</v>
      </c>
      <c r="C327" s="20"/>
      <c r="D327" s="21"/>
      <c r="E327" s="21"/>
      <c r="F327" s="178">
        <f>F173</f>
        <v>6416705</v>
      </c>
      <c r="G327" s="21"/>
      <c r="H327" s="81">
        <f>F126+F134+F146</f>
        <v>2581692</v>
      </c>
      <c r="I327" s="153"/>
      <c r="J327" s="153" t="s">
        <v>492</v>
      </c>
    </row>
    <row r="328" spans="1:14" x14ac:dyDescent="0.2">
      <c r="A328" s="222">
        <f t="shared" si="23"/>
        <v>22</v>
      </c>
      <c r="B328" s="155" t="s">
        <v>362</v>
      </c>
      <c r="C328" s="20">
        <f>C174</f>
        <v>922450</v>
      </c>
      <c r="D328" s="97">
        <f>D174</f>
        <v>6925000</v>
      </c>
      <c r="E328" s="21"/>
      <c r="F328" s="102">
        <f>SUM(F323:F327)</f>
        <v>66540226</v>
      </c>
      <c r="G328" s="21"/>
      <c r="H328" s="154">
        <f>F125+F133</f>
        <v>1216174</v>
      </c>
      <c r="I328" s="153"/>
      <c r="J328" s="153" t="s">
        <v>493</v>
      </c>
    </row>
    <row r="329" spans="1:14" x14ac:dyDescent="0.2">
      <c r="A329" s="222"/>
      <c r="B329" s="155"/>
      <c r="C329" s="20"/>
      <c r="D329" s="21"/>
      <c r="E329" s="21"/>
      <c r="F329" s="102"/>
      <c r="G329" s="21"/>
      <c r="H329" s="80">
        <f>F128+F136+F147+F141+F327+F333</f>
        <v>163506936</v>
      </c>
      <c r="I329" s="153"/>
      <c r="J329" s="153" t="s">
        <v>66</v>
      </c>
    </row>
    <row r="330" spans="1:14" x14ac:dyDescent="0.2">
      <c r="A330" s="222">
        <f>A328+1</f>
        <v>23</v>
      </c>
      <c r="B330" s="170" t="s">
        <v>237</v>
      </c>
      <c r="C330" s="20"/>
      <c r="D330" s="21"/>
      <c r="E330" s="21"/>
      <c r="F330" s="102">
        <f>F179+F192+F181+F194+F208+F235+F210+F237+F254+F215+F256+F242+F205+F232</f>
        <v>42597176</v>
      </c>
      <c r="G330" s="21"/>
      <c r="H330" s="81">
        <f>SUM(H323:H329)</f>
        <v>573757395</v>
      </c>
      <c r="I330" s="153"/>
      <c r="J330" s="153"/>
    </row>
    <row r="331" spans="1:14" x14ac:dyDescent="0.2">
      <c r="A331" s="222">
        <f>A330+1</f>
        <v>24</v>
      </c>
      <c r="B331" s="170" t="s">
        <v>151</v>
      </c>
      <c r="C331" s="20"/>
      <c r="D331" s="21"/>
      <c r="E331" s="21"/>
      <c r="F331" s="102">
        <f>F184+F213+F255+F240+F197</f>
        <v>0</v>
      </c>
      <c r="G331" s="21"/>
      <c r="H331" s="21"/>
    </row>
    <row r="332" spans="1:14" s="153" customFormat="1" x14ac:dyDescent="0.2">
      <c r="A332" s="222">
        <f t="shared" ref="A332" si="24">A331+1</f>
        <v>25</v>
      </c>
      <c r="B332" s="170" t="s">
        <v>441</v>
      </c>
      <c r="C332" s="20"/>
      <c r="D332" s="21"/>
      <c r="E332" s="21"/>
      <c r="F332" s="102">
        <f>F182+F211+F238+F195</f>
        <v>6396</v>
      </c>
      <c r="G332" s="21"/>
      <c r="H332" s="21"/>
    </row>
    <row r="333" spans="1:14" x14ac:dyDescent="0.2">
      <c r="A333" s="222">
        <f>1+A332</f>
        <v>26</v>
      </c>
      <c r="B333" s="170" t="s">
        <v>66</v>
      </c>
      <c r="C333" s="20"/>
      <c r="D333" s="21"/>
      <c r="E333" s="21"/>
      <c r="F333" s="178">
        <f>F186+F216+F199+F243</f>
        <v>3217113</v>
      </c>
      <c r="G333" s="21"/>
      <c r="H333" s="21"/>
    </row>
    <row r="334" spans="1:14" x14ac:dyDescent="0.2">
      <c r="A334" s="222">
        <f>A333+1</f>
        <v>27</v>
      </c>
      <c r="B334" s="155" t="s">
        <v>364</v>
      </c>
      <c r="C334" s="20">
        <f>C187+C217+C257+C244+C200</f>
        <v>135300</v>
      </c>
      <c r="D334" s="97">
        <f>D187+D217+D257+D244+D200</f>
        <v>12660039.299999999</v>
      </c>
      <c r="E334" s="21"/>
      <c r="F334" s="102">
        <f>SUM(F330:F333)</f>
        <v>45820685</v>
      </c>
      <c r="G334" s="21"/>
      <c r="H334" s="21"/>
    </row>
    <row r="335" spans="1:14" x14ac:dyDescent="0.2">
      <c r="A335" s="222"/>
      <c r="B335" s="155"/>
      <c r="C335" s="20"/>
      <c r="D335" s="21"/>
      <c r="E335" s="21"/>
      <c r="F335" s="102"/>
      <c r="G335" s="21"/>
      <c r="H335" s="21"/>
      <c r="J335" s="153"/>
      <c r="K335" s="153"/>
      <c r="L335" s="153"/>
      <c r="M335" s="153"/>
      <c r="N335" s="153"/>
    </row>
    <row r="336" spans="1:14" s="153" customFormat="1" x14ac:dyDescent="0.2">
      <c r="A336" s="222">
        <f>A334+1</f>
        <v>28</v>
      </c>
      <c r="B336" s="170" t="s">
        <v>237</v>
      </c>
      <c r="C336" s="20"/>
      <c r="D336" s="21"/>
      <c r="E336" s="21"/>
      <c r="F336" s="102">
        <f>F273+F275</f>
        <v>17899205</v>
      </c>
      <c r="G336" s="21"/>
      <c r="H336" s="21"/>
    </row>
    <row r="337" spans="1:14" s="153" customFormat="1" x14ac:dyDescent="0.2">
      <c r="A337" s="222">
        <f>1+A336</f>
        <v>29</v>
      </c>
      <c r="B337" s="170" t="s">
        <v>151</v>
      </c>
      <c r="C337" s="20"/>
      <c r="D337" s="21"/>
      <c r="E337" s="21"/>
      <c r="F337" s="178">
        <f>F274</f>
        <v>0</v>
      </c>
      <c r="G337" s="21"/>
      <c r="H337" s="21"/>
    </row>
    <row r="338" spans="1:14" s="153" customFormat="1" x14ac:dyDescent="0.2">
      <c r="A338" s="222">
        <f>A337+1</f>
        <v>30</v>
      </c>
      <c r="B338" s="155" t="s">
        <v>365</v>
      </c>
      <c r="C338" s="21">
        <f>C276</f>
        <v>1082</v>
      </c>
      <c r="D338" s="21">
        <f>D276</f>
        <v>20651944</v>
      </c>
      <c r="E338" s="21"/>
      <c r="F338" s="102">
        <f>SUM(F336:F337)</f>
        <v>17899205</v>
      </c>
      <c r="G338" s="21"/>
      <c r="H338" s="21"/>
    </row>
    <row r="339" spans="1:14" s="153" customFormat="1" x14ac:dyDescent="0.2">
      <c r="A339" s="222"/>
      <c r="B339" s="155"/>
      <c r="C339" s="20"/>
      <c r="D339" s="21"/>
      <c r="E339" s="21"/>
      <c r="F339" s="102"/>
      <c r="G339" s="21"/>
      <c r="H339" s="21"/>
      <c r="J339" s="3"/>
      <c r="K339" s="3"/>
      <c r="L339" s="3"/>
      <c r="M339" s="3"/>
      <c r="N339" s="3"/>
    </row>
    <row r="340" spans="1:14" x14ac:dyDescent="0.2">
      <c r="A340" s="222">
        <f>A338+1</f>
        <v>31</v>
      </c>
      <c r="B340" s="170" t="s">
        <v>237</v>
      </c>
      <c r="C340" s="20"/>
      <c r="D340" s="21"/>
      <c r="E340" s="21"/>
      <c r="F340" s="102">
        <f>F289+F316+F318+F291</f>
        <v>1183452</v>
      </c>
      <c r="G340" s="21"/>
      <c r="H340" s="21"/>
    </row>
    <row r="341" spans="1:14" x14ac:dyDescent="0.2">
      <c r="A341" s="222">
        <f>1+A340</f>
        <v>32</v>
      </c>
      <c r="B341" s="170" t="s">
        <v>151</v>
      </c>
      <c r="C341" s="20"/>
      <c r="D341" s="21"/>
      <c r="E341" s="21"/>
      <c r="F341" s="178">
        <f>F317+F290</f>
        <v>0</v>
      </c>
      <c r="G341" s="21"/>
      <c r="H341" s="21"/>
    </row>
    <row r="342" spans="1:14" x14ac:dyDescent="0.2">
      <c r="A342" s="222">
        <f>A341+1</f>
        <v>33</v>
      </c>
      <c r="B342" s="155" t="s">
        <v>366</v>
      </c>
      <c r="C342" s="20">
        <f>C292+C319</f>
        <v>122</v>
      </c>
      <c r="D342" s="97">
        <f>D292+D319</f>
        <v>4663000</v>
      </c>
      <c r="E342" s="23"/>
      <c r="F342" s="102">
        <f>SUM(F340:F341)</f>
        <v>1183452</v>
      </c>
      <c r="G342" s="23"/>
      <c r="H342" s="23"/>
    </row>
    <row r="343" spans="1:14" x14ac:dyDescent="0.2">
      <c r="A343" s="222"/>
      <c r="B343" s="155"/>
      <c r="C343" s="155"/>
      <c r="D343" s="155"/>
      <c r="E343" s="155"/>
      <c r="F343" s="30"/>
      <c r="G343" s="21"/>
      <c r="H343" s="21"/>
    </row>
    <row r="344" spans="1:14" ht="12" thickBot="1" x14ac:dyDescent="0.25">
      <c r="A344" s="223">
        <f>A342+1</f>
        <v>34</v>
      </c>
      <c r="B344" s="24" t="s">
        <v>363</v>
      </c>
      <c r="C344" s="25">
        <f>SUM(C328:C342)</f>
        <v>1058954</v>
      </c>
      <c r="D344" s="26">
        <f>SUM(D328:D342)</f>
        <v>44899983.299999997</v>
      </c>
      <c r="E344" s="26"/>
      <c r="F344" s="105">
        <f>F328+F334+F342+F338</f>
        <v>131443568</v>
      </c>
      <c r="G344" s="21"/>
      <c r="H344" s="21"/>
      <c r="J344" s="154">
        <f>F174+F187+F217+F257+F276+F292+F319+F244+F200</f>
        <v>131443568</v>
      </c>
    </row>
    <row r="345" spans="1:14" x14ac:dyDescent="0.2">
      <c r="A345" s="77"/>
      <c r="B345" s="155"/>
      <c r="C345" s="20"/>
      <c r="D345" s="21"/>
      <c r="E345" s="21"/>
      <c r="F345" s="20"/>
      <c r="G345" s="21"/>
      <c r="H345" s="21"/>
    </row>
    <row r="346" spans="1:14" x14ac:dyDescent="0.2">
      <c r="A346" s="77"/>
      <c r="B346" s="155"/>
      <c r="C346" s="20"/>
      <c r="D346" s="21"/>
      <c r="E346" s="21"/>
      <c r="F346" s="20"/>
      <c r="G346" s="21"/>
      <c r="H346" s="21"/>
    </row>
    <row r="347" spans="1:14" ht="12" thickBot="1" x14ac:dyDescent="0.25">
      <c r="A347" s="77"/>
      <c r="B347" s="155"/>
      <c r="C347" s="20"/>
      <c r="D347" s="21"/>
      <c r="E347" s="21"/>
      <c r="F347" s="20"/>
      <c r="G347" s="21"/>
      <c r="H347" s="21"/>
    </row>
    <row r="348" spans="1:14" ht="12" thickBot="1" x14ac:dyDescent="0.25">
      <c r="A348" s="224">
        <f>A344+1</f>
        <v>35</v>
      </c>
      <c r="B348" s="179" t="s">
        <v>28</v>
      </c>
      <c r="C348" s="180">
        <f>C150+C344</f>
        <v>5283795</v>
      </c>
      <c r="D348" s="181">
        <f>D150+D344</f>
        <v>82119330.400000006</v>
      </c>
      <c r="E348" s="181"/>
      <c r="F348" s="182">
        <f>F150+F344</f>
        <v>573757395</v>
      </c>
      <c r="G348" s="21"/>
      <c r="H348" s="21"/>
    </row>
    <row r="349" spans="1:14" x14ac:dyDescent="0.2">
      <c r="A349" s="77"/>
      <c r="B349" s="155"/>
      <c r="C349" s="20"/>
      <c r="D349" s="21"/>
      <c r="E349" s="21"/>
      <c r="F349" s="20"/>
      <c r="G349" s="21"/>
      <c r="H349" s="21"/>
    </row>
    <row r="350" spans="1:14" x14ac:dyDescent="0.2">
      <c r="C350" s="9"/>
      <c r="D350" s="9"/>
      <c r="E350" s="9"/>
      <c r="F350" s="9"/>
      <c r="G350" s="9"/>
    </row>
    <row r="351" spans="1:14" x14ac:dyDescent="0.2">
      <c r="A351" s="134">
        <f>A348+1</f>
        <v>36</v>
      </c>
      <c r="B351" s="6" t="s">
        <v>209</v>
      </c>
      <c r="G351" s="31"/>
    </row>
    <row r="353" spans="1:8" x14ac:dyDescent="0.2">
      <c r="A353" s="134">
        <f>A351+1</f>
        <v>37</v>
      </c>
      <c r="B353" s="167" t="s">
        <v>201</v>
      </c>
      <c r="C353" s="35"/>
      <c r="D353" s="41"/>
      <c r="E353" s="43"/>
      <c r="F353" s="12">
        <f>'Ex 103, Pg 14-15'!K18</f>
        <v>1246120</v>
      </c>
      <c r="G353" s="36"/>
    </row>
    <row r="354" spans="1:8" x14ac:dyDescent="0.2">
      <c r="A354" s="134">
        <f t="shared" ref="A354:A359" si="25">A353+1</f>
        <v>38</v>
      </c>
      <c r="B354" s="167" t="s">
        <v>202</v>
      </c>
      <c r="C354" s="35"/>
      <c r="D354" s="41"/>
      <c r="E354" s="43"/>
      <c r="F354" s="12">
        <f>'Ex 103, Pg 14-15'!K19</f>
        <v>105936.41</v>
      </c>
      <c r="G354" s="36"/>
    </row>
    <row r="355" spans="1:8" x14ac:dyDescent="0.2">
      <c r="A355" s="134">
        <f t="shared" si="25"/>
        <v>39</v>
      </c>
      <c r="B355" s="167" t="s">
        <v>203</v>
      </c>
      <c r="C355" s="35"/>
      <c r="D355" s="41"/>
      <c r="E355" s="43"/>
      <c r="F355" s="12">
        <f>'Ex 103, Pg 14-15'!K21</f>
        <v>9600</v>
      </c>
      <c r="G355" s="35"/>
    </row>
    <row r="356" spans="1:8" x14ac:dyDescent="0.2">
      <c r="A356" s="134">
        <f t="shared" si="25"/>
        <v>40</v>
      </c>
      <c r="B356" s="167" t="s">
        <v>204</v>
      </c>
      <c r="C356" s="35"/>
      <c r="D356" s="41"/>
      <c r="E356" s="43"/>
      <c r="F356" s="12">
        <f>'Ex 103, Pg 14-15'!K22</f>
        <v>0</v>
      </c>
      <c r="G356" s="36"/>
    </row>
    <row r="357" spans="1:8" x14ac:dyDescent="0.2">
      <c r="A357" s="134">
        <f t="shared" si="25"/>
        <v>41</v>
      </c>
      <c r="B357" s="167" t="s">
        <v>205</v>
      </c>
      <c r="C357" s="35"/>
      <c r="D357" s="41"/>
      <c r="E357" s="43"/>
      <c r="F357" s="12">
        <f>'Ex 103, Pg 14-15'!K23</f>
        <v>0</v>
      </c>
      <c r="G357" s="36"/>
    </row>
    <row r="358" spans="1:8" x14ac:dyDescent="0.2">
      <c r="A358" s="134">
        <f t="shared" si="25"/>
        <v>42</v>
      </c>
      <c r="B358" s="167" t="s">
        <v>206</v>
      </c>
      <c r="C358" s="35"/>
      <c r="D358" s="41"/>
      <c r="E358" s="43"/>
      <c r="F358" s="12">
        <f>'Ex 103, Pg 14-15'!K24</f>
        <v>229067.91</v>
      </c>
      <c r="G358" s="36"/>
    </row>
    <row r="359" spans="1:8" x14ac:dyDescent="0.2">
      <c r="A359" s="134">
        <f t="shared" si="25"/>
        <v>43</v>
      </c>
      <c r="B359" s="167" t="s">
        <v>207</v>
      </c>
      <c r="C359" s="35"/>
      <c r="D359" s="38"/>
      <c r="E359" s="43"/>
      <c r="F359" s="28">
        <f>'Ex 103, Pg 14-15'!K25</f>
        <v>0</v>
      </c>
      <c r="G359" s="36"/>
    </row>
    <row r="360" spans="1:8" x14ac:dyDescent="0.2">
      <c r="C360" s="35"/>
      <c r="D360" s="87"/>
      <c r="E360" s="87"/>
      <c r="F360" s="39"/>
      <c r="G360" s="36"/>
    </row>
    <row r="361" spans="1:8" x14ac:dyDescent="0.2">
      <c r="A361" s="134">
        <f>A359+1</f>
        <v>44</v>
      </c>
      <c r="B361" s="6" t="s">
        <v>210</v>
      </c>
      <c r="C361" s="36"/>
      <c r="D361" s="11"/>
      <c r="E361" s="36"/>
      <c r="F361" s="36">
        <f>SUM(F353:F359)</f>
        <v>1590724.3199999998</v>
      </c>
      <c r="G361" s="36"/>
    </row>
    <row r="362" spans="1:8" ht="12" thickBot="1" x14ac:dyDescent="0.25">
      <c r="A362" s="77"/>
      <c r="B362" s="155"/>
      <c r="C362" s="20"/>
      <c r="D362" s="21"/>
      <c r="E362" s="20"/>
      <c r="F362" s="20"/>
      <c r="G362" s="20"/>
      <c r="H362" s="155"/>
    </row>
    <row r="363" spans="1:8" ht="12" thickBot="1" x14ac:dyDescent="0.25">
      <c r="A363" s="224">
        <f>A361+1</f>
        <v>45</v>
      </c>
      <c r="B363" s="179" t="s">
        <v>208</v>
      </c>
      <c r="C363" s="180"/>
      <c r="D363" s="181"/>
      <c r="E363" s="180"/>
      <c r="F363" s="182">
        <f>F348+F361</f>
        <v>575348119.32000005</v>
      </c>
      <c r="G363" s="20"/>
      <c r="H363" s="20">
        <f>F363-'Ex 103, Pg 14-15'!J78</f>
        <v>0</v>
      </c>
    </row>
    <row r="364" spans="1:8" x14ac:dyDescent="0.2">
      <c r="A364" s="77"/>
      <c r="B364" s="155"/>
      <c r="C364" s="20"/>
      <c r="D364" s="21"/>
      <c r="E364" s="20"/>
      <c r="F364" s="20"/>
      <c r="G364" s="20"/>
      <c r="H364" s="155"/>
    </row>
    <row r="367" spans="1:8" x14ac:dyDescent="0.2">
      <c r="F367" s="154"/>
    </row>
  </sheetData>
  <customSheetViews>
    <customSheetView guid="{818D6814-8976-4390-B9DF-A301351E9DE9}" showPageBreaks="1" printArea="1" showRuler="0" topLeftCell="A343">
      <selection activeCell="F362" sqref="F362"/>
      <rowBreaks count="9" manualBreakCount="9">
        <brk id="75" max="10" man="1"/>
        <brk id="137" max="10" man="1"/>
        <brk id="194" max="10" man="1"/>
        <brk id="232" max="10" man="1"/>
        <brk id="287" max="10" man="1"/>
        <brk id="336" max="10" man="1"/>
        <brk id="398" max="10" man="1"/>
        <brk id="450" max="10" man="1"/>
        <brk id="502" max="10" man="1"/>
      </rowBreaks>
      <colBreaks count="1" manualBreakCount="1">
        <brk id="11" max="1048575" man="1"/>
      </colBreaks>
      <pageMargins left="0.5" right="0.5" top="0.5" bottom="0.25" header="0" footer="0"/>
      <printOptions horizontalCentered="1"/>
      <pageSetup scale="85" orientation="portrait" r:id="rId1"/>
      <headerFooter alignWithMargins="0"/>
    </customSheetView>
  </customSheetViews>
  <mergeCells count="15">
    <mergeCell ref="A294:F294"/>
    <mergeCell ref="A295:F295"/>
    <mergeCell ref="A296:F296"/>
    <mergeCell ref="A219:F219"/>
    <mergeCell ref="A220:F220"/>
    <mergeCell ref="A221:F221"/>
    <mergeCell ref="A154:F154"/>
    <mergeCell ref="A155:F155"/>
    <mergeCell ref="A4:F4"/>
    <mergeCell ref="A2:F2"/>
    <mergeCell ref="A3:F3"/>
    <mergeCell ref="A73:F73"/>
    <mergeCell ref="A74:F74"/>
    <mergeCell ref="A75:F75"/>
    <mergeCell ref="A153:F153"/>
  </mergeCells>
  <phoneticPr fontId="0" type="noConversion"/>
  <printOptions horizontalCentered="1"/>
  <pageMargins left="0.5" right="0.5" top="0.5" bottom="0.25" header="0" footer="0"/>
  <pageSetup scale="80" orientation="portrait" r:id="rId2"/>
  <headerFooter alignWithMargins="0"/>
  <rowBreaks count="4" manualBreakCount="4">
    <brk id="71" max="6" man="1"/>
    <brk id="151" max="6" man="1"/>
    <brk id="217" max="6" man="1"/>
    <brk id="292" max="6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2">
    <tabColor rgb="FF92D050"/>
  </sheetPr>
  <dimension ref="A1:N313"/>
  <sheetViews>
    <sheetView topLeftCell="A85" zoomScaleNormal="100" zoomScaleSheetLayoutView="100" workbookViewId="0">
      <selection activeCell="I116" activeCellId="2" sqref="I17 I23 I116"/>
    </sheetView>
  </sheetViews>
  <sheetFormatPr defaultColWidth="7" defaultRowHeight="11.25" x14ac:dyDescent="0.2"/>
  <cols>
    <col min="1" max="1" width="6" style="134" customWidth="1"/>
    <col min="2" max="2" width="49.3984375" style="3" customWidth="1"/>
    <col min="3" max="3" width="13" style="3" customWidth="1"/>
    <col min="4" max="6" width="17.59765625" style="3" bestFit="1" customWidth="1"/>
    <col min="7" max="7" width="13" style="3" customWidth="1"/>
    <col min="8" max="8" width="11.19921875" style="3" customWidth="1"/>
    <col min="9" max="9" width="20" style="3" bestFit="1" customWidth="1"/>
    <col min="10" max="10" width="7" style="3"/>
    <col min="11" max="11" width="10" style="153" bestFit="1" customWidth="1"/>
    <col min="12" max="12" width="9.796875" style="3" customWidth="1"/>
    <col min="13" max="13" width="7.3984375" style="3" bestFit="1" customWidth="1"/>
    <col min="14" max="14" width="7" style="3"/>
    <col min="15" max="15" width="7.3984375" style="3" bestFit="1" customWidth="1"/>
    <col min="16" max="16384" width="7" style="3"/>
  </cols>
  <sheetData>
    <row r="1" spans="1:9" x14ac:dyDescent="0.2">
      <c r="B1" s="191"/>
      <c r="C1" s="191"/>
      <c r="D1" s="191"/>
      <c r="E1" s="191"/>
      <c r="F1" s="191"/>
      <c r="G1" s="191"/>
      <c r="H1" s="191"/>
      <c r="I1" s="2" t="str">
        <f>adjno</f>
        <v>Exhibit No. 103</v>
      </c>
    </row>
    <row r="2" spans="1:9" x14ac:dyDescent="0.2">
      <c r="A2" s="356" t="str">
        <f>coname</f>
        <v>Columbia Gas of Pennsylvania, Inc.</v>
      </c>
      <c r="B2" s="356"/>
      <c r="C2" s="356"/>
      <c r="D2" s="356"/>
      <c r="E2" s="356"/>
      <c r="F2" s="356"/>
      <c r="G2" s="356"/>
      <c r="H2" s="356"/>
      <c r="I2" s="2" t="s">
        <v>193</v>
      </c>
    </row>
    <row r="3" spans="1:9" x14ac:dyDescent="0.2">
      <c r="A3" s="356" t="s">
        <v>110</v>
      </c>
      <c r="B3" s="356"/>
      <c r="C3" s="356"/>
      <c r="D3" s="356"/>
      <c r="E3" s="356"/>
      <c r="F3" s="356"/>
      <c r="G3" s="356"/>
      <c r="H3" s="356"/>
      <c r="I3" s="2" t="s">
        <v>494</v>
      </c>
    </row>
    <row r="4" spans="1:9" x14ac:dyDescent="0.2">
      <c r="A4" s="353" t="str">
        <f>TYDESC</f>
        <v>For the 12 Months Ended December 31, 2019</v>
      </c>
      <c r="B4" s="353"/>
      <c r="C4" s="353"/>
      <c r="D4" s="353"/>
      <c r="E4" s="353"/>
      <c r="F4" s="353"/>
      <c r="G4" s="353"/>
      <c r="H4" s="353"/>
      <c r="I4" s="4" t="str">
        <f>'Sch1'!$G$4</f>
        <v>Witness: D. Joe Mays</v>
      </c>
    </row>
    <row r="5" spans="1:9" x14ac:dyDescent="0.2">
      <c r="C5" s="6"/>
      <c r="I5" s="100"/>
    </row>
    <row r="6" spans="1:9" x14ac:dyDescent="0.2">
      <c r="D6" s="147" t="s">
        <v>0</v>
      </c>
      <c r="I6" s="6"/>
    </row>
    <row r="7" spans="1:9" x14ac:dyDescent="0.2">
      <c r="A7" s="215"/>
      <c r="B7" s="6"/>
      <c r="C7" s="6"/>
      <c r="D7" s="147" t="s">
        <v>1</v>
      </c>
      <c r="G7" s="147" t="s">
        <v>2</v>
      </c>
      <c r="H7" s="147"/>
      <c r="I7" s="6"/>
    </row>
    <row r="8" spans="1:9" x14ac:dyDescent="0.2">
      <c r="A8" s="215" t="s">
        <v>3</v>
      </c>
      <c r="B8" s="147"/>
      <c r="C8" s="147"/>
      <c r="D8" s="147" t="s">
        <v>4</v>
      </c>
      <c r="E8" s="357" t="s">
        <v>169</v>
      </c>
      <c r="F8" s="357"/>
      <c r="G8" s="147" t="s">
        <v>5</v>
      </c>
      <c r="H8" s="147" t="s">
        <v>168</v>
      </c>
      <c r="I8" s="147" t="s">
        <v>268</v>
      </c>
    </row>
    <row r="9" spans="1:9" x14ac:dyDescent="0.2">
      <c r="A9" s="172" t="s">
        <v>6</v>
      </c>
      <c r="B9" s="161" t="s">
        <v>7</v>
      </c>
      <c r="C9" s="148" t="s">
        <v>425</v>
      </c>
      <c r="D9" s="148" t="s">
        <v>8</v>
      </c>
      <c r="E9" s="129" t="s">
        <v>150</v>
      </c>
      <c r="F9" s="129" t="s">
        <v>10</v>
      </c>
      <c r="G9" s="148" t="s">
        <v>111</v>
      </c>
      <c r="H9" s="148" t="s">
        <v>35</v>
      </c>
      <c r="I9" s="148" t="s">
        <v>11</v>
      </c>
    </row>
    <row r="10" spans="1:9" x14ac:dyDescent="0.2">
      <c r="C10" s="194" t="s">
        <v>12</v>
      </c>
      <c r="D10" s="194" t="s">
        <v>13</v>
      </c>
      <c r="E10" s="195" t="s">
        <v>32</v>
      </c>
      <c r="F10" s="195" t="s">
        <v>14</v>
      </c>
      <c r="G10" s="195" t="s">
        <v>15</v>
      </c>
      <c r="H10" s="195" t="s">
        <v>16</v>
      </c>
      <c r="I10" s="195" t="s">
        <v>421</v>
      </c>
    </row>
    <row r="11" spans="1:9" x14ac:dyDescent="0.2">
      <c r="D11" s="9" t="s">
        <v>276</v>
      </c>
      <c r="E11" s="9" t="s">
        <v>276</v>
      </c>
      <c r="F11" s="9" t="s">
        <v>276</v>
      </c>
      <c r="G11" s="150"/>
    </row>
    <row r="12" spans="1:9" x14ac:dyDescent="0.2">
      <c r="E12" s="10"/>
    </row>
    <row r="13" spans="1:9" x14ac:dyDescent="0.2">
      <c r="A13" s="134">
        <v>1</v>
      </c>
      <c r="B13" s="34" t="s">
        <v>120</v>
      </c>
      <c r="E13" s="10"/>
    </row>
    <row r="14" spans="1:9" x14ac:dyDescent="0.2">
      <c r="B14" s="6"/>
      <c r="E14" s="36"/>
      <c r="F14" s="36"/>
      <c r="G14" s="36"/>
    </row>
    <row r="15" spans="1:9" x14ac:dyDescent="0.2">
      <c r="A15" s="134">
        <f>A13+1</f>
        <v>2</v>
      </c>
      <c r="B15" s="168" t="s">
        <v>18</v>
      </c>
    </row>
    <row r="16" spans="1:9" x14ac:dyDescent="0.2">
      <c r="G16" s="282"/>
    </row>
    <row r="17" spans="1:11" x14ac:dyDescent="0.2">
      <c r="A17" s="134">
        <f>A15+1</f>
        <v>3</v>
      </c>
      <c r="B17" s="14" t="s">
        <v>129</v>
      </c>
      <c r="C17" s="200">
        <v>3553505</v>
      </c>
      <c r="D17" s="35">
        <v>0</v>
      </c>
      <c r="E17" s="12">
        <f>'Sch4'!C13</f>
        <v>26457</v>
      </c>
      <c r="F17" s="12">
        <f>'Sch4'!D13</f>
        <v>-5910</v>
      </c>
      <c r="G17" s="35">
        <v>0</v>
      </c>
      <c r="H17" s="200">
        <v>59490</v>
      </c>
      <c r="I17" s="36">
        <f>SUM(C17:H17)</f>
        <v>3633542</v>
      </c>
      <c r="K17" s="153" t="s">
        <v>460</v>
      </c>
    </row>
    <row r="18" spans="1:11" x14ac:dyDescent="0.2">
      <c r="C18" s="58"/>
      <c r="D18" s="12"/>
      <c r="E18" s="12"/>
      <c r="F18" s="12"/>
      <c r="G18" s="12"/>
      <c r="H18" s="200"/>
      <c r="I18" s="36"/>
    </row>
    <row r="19" spans="1:11" x14ac:dyDescent="0.2">
      <c r="A19" s="134">
        <f>A17+1</f>
        <v>4</v>
      </c>
      <c r="B19" s="42" t="s">
        <v>618</v>
      </c>
      <c r="C19" s="153"/>
      <c r="H19" s="307"/>
    </row>
    <row r="20" spans="1:11" x14ac:dyDescent="0.2">
      <c r="B20" s="6"/>
      <c r="C20" s="153"/>
      <c r="H20" s="307"/>
    </row>
    <row r="21" spans="1:11" x14ac:dyDescent="0.2">
      <c r="A21" s="134">
        <f>A19+1</f>
        <v>5</v>
      </c>
      <c r="B21" s="168" t="s">
        <v>18</v>
      </c>
      <c r="C21" s="153"/>
      <c r="H21" s="307"/>
    </row>
    <row r="22" spans="1:11" x14ac:dyDescent="0.2">
      <c r="C22" s="153"/>
      <c r="H22" s="307"/>
    </row>
    <row r="23" spans="1:11" x14ac:dyDescent="0.2">
      <c r="A23" s="134">
        <f>A21+1</f>
        <v>6</v>
      </c>
      <c r="B23" s="14" t="s">
        <v>619</v>
      </c>
      <c r="C23" s="200">
        <v>267459</v>
      </c>
      <c r="D23" s="35">
        <v>0</v>
      </c>
      <c r="E23" s="35">
        <v>0</v>
      </c>
      <c r="F23" s="35">
        <v>0</v>
      </c>
      <c r="G23" s="35">
        <v>0</v>
      </c>
      <c r="H23" s="200">
        <v>4731</v>
      </c>
      <c r="I23" s="36">
        <f>SUM(C23:H23)</f>
        <v>272190</v>
      </c>
      <c r="K23" s="153" t="s">
        <v>461</v>
      </c>
    </row>
    <row r="24" spans="1:11" x14ac:dyDescent="0.2">
      <c r="C24" s="154" t="s">
        <v>231</v>
      </c>
      <c r="D24" s="12"/>
      <c r="E24" s="12"/>
      <c r="F24" s="12"/>
      <c r="G24" s="12"/>
      <c r="H24" s="151"/>
      <c r="I24" s="12"/>
    </row>
    <row r="25" spans="1:11" x14ac:dyDescent="0.2">
      <c r="A25" s="134">
        <f>A23+1</f>
        <v>7</v>
      </c>
      <c r="B25" s="34" t="s">
        <v>548</v>
      </c>
      <c r="C25" s="36"/>
      <c r="D25" s="36"/>
      <c r="E25" s="36"/>
      <c r="F25" s="36"/>
      <c r="G25" s="36"/>
      <c r="H25" s="151"/>
      <c r="I25" s="36"/>
    </row>
    <row r="26" spans="1:11" x14ac:dyDescent="0.2">
      <c r="B26" s="6"/>
      <c r="C26" s="154"/>
      <c r="D26" s="12"/>
      <c r="E26" s="12"/>
      <c r="F26" s="12"/>
      <c r="G26" s="12"/>
      <c r="H26" s="151"/>
      <c r="I26" s="12"/>
    </row>
    <row r="27" spans="1:11" x14ac:dyDescent="0.2">
      <c r="A27" s="134">
        <f>A25+1</f>
        <v>8</v>
      </c>
      <c r="B27" s="168" t="s">
        <v>19</v>
      </c>
      <c r="C27" s="36"/>
      <c r="D27" s="36"/>
      <c r="E27" s="36"/>
      <c r="F27" s="36"/>
      <c r="G27" s="36"/>
      <c r="H27" s="151"/>
      <c r="I27" s="36"/>
    </row>
    <row r="28" spans="1:11" x14ac:dyDescent="0.2">
      <c r="C28" s="154"/>
      <c r="D28" s="36"/>
      <c r="E28" s="36"/>
      <c r="F28" s="36"/>
      <c r="G28" s="36"/>
      <c r="H28" s="151"/>
      <c r="I28" s="36"/>
    </row>
    <row r="29" spans="1:11" x14ac:dyDescent="0.2">
      <c r="A29" s="134">
        <f>A27+1</f>
        <v>9</v>
      </c>
      <c r="B29" s="166" t="s">
        <v>348</v>
      </c>
      <c r="C29" s="209">
        <f>281311+2721</f>
        <v>284032</v>
      </c>
      <c r="D29" s="35">
        <v>0</v>
      </c>
      <c r="E29" s="36">
        <f>'Sch4'!C18</f>
        <v>3639</v>
      </c>
      <c r="F29" s="36">
        <f>'Sch4'!D18</f>
        <v>-2400</v>
      </c>
      <c r="G29" s="58">
        <v>0</v>
      </c>
      <c r="H29" s="200">
        <v>1704</v>
      </c>
      <c r="I29" s="36">
        <f>SUM(C29:H29)</f>
        <v>286975</v>
      </c>
      <c r="K29" s="153" t="s">
        <v>462</v>
      </c>
    </row>
    <row r="30" spans="1:11" x14ac:dyDescent="0.2">
      <c r="C30" s="36"/>
      <c r="D30" s="36"/>
      <c r="E30" s="36"/>
      <c r="F30" s="36"/>
      <c r="G30" s="36"/>
      <c r="H30" s="151"/>
      <c r="I30" s="36"/>
    </row>
    <row r="31" spans="1:11" x14ac:dyDescent="0.2">
      <c r="A31" s="134">
        <f>A29+1</f>
        <v>10</v>
      </c>
      <c r="B31" s="168" t="s">
        <v>21</v>
      </c>
      <c r="C31" s="36"/>
      <c r="D31" s="36"/>
      <c r="E31" s="36"/>
      <c r="F31" s="36"/>
      <c r="G31" s="36"/>
      <c r="H31" s="151"/>
      <c r="I31" s="36"/>
    </row>
    <row r="32" spans="1:11" x14ac:dyDescent="0.2">
      <c r="C32" s="12"/>
      <c r="D32" s="36"/>
      <c r="E32" s="36"/>
      <c r="F32" s="36"/>
      <c r="G32" s="36"/>
      <c r="H32" s="151"/>
      <c r="I32" s="36"/>
    </row>
    <row r="33" spans="1:11" x14ac:dyDescent="0.2">
      <c r="A33" s="134">
        <f>A31+1</f>
        <v>11</v>
      </c>
      <c r="B33" s="166" t="s">
        <v>348</v>
      </c>
      <c r="C33" s="201">
        <f>219+12</f>
        <v>231</v>
      </c>
      <c r="D33" s="87">
        <v>0</v>
      </c>
      <c r="E33" s="87">
        <v>0</v>
      </c>
      <c r="F33" s="87">
        <v>0</v>
      </c>
      <c r="G33" s="65">
        <v>0</v>
      </c>
      <c r="H33" s="201">
        <v>0</v>
      </c>
      <c r="I33" s="39">
        <f>SUM(C33:H33)</f>
        <v>231</v>
      </c>
      <c r="K33" s="153" t="s">
        <v>464</v>
      </c>
    </row>
    <row r="34" spans="1:11" x14ac:dyDescent="0.2">
      <c r="C34" s="12"/>
      <c r="D34" s="36"/>
      <c r="E34" s="36"/>
      <c r="F34" s="36"/>
      <c r="G34" s="36"/>
      <c r="H34" s="86"/>
      <c r="I34" s="36"/>
    </row>
    <row r="35" spans="1:11" x14ac:dyDescent="0.2">
      <c r="A35" s="134">
        <f>A33+1</f>
        <v>12</v>
      </c>
      <c r="B35" s="14" t="s">
        <v>549</v>
      </c>
      <c r="C35" s="36">
        <f>C29+C33</f>
        <v>284263</v>
      </c>
      <c r="D35" s="36">
        <f t="shared" ref="D35:I35" si="0">D29+D33</f>
        <v>0</v>
      </c>
      <c r="E35" s="36">
        <f t="shared" si="0"/>
        <v>3639</v>
      </c>
      <c r="F35" s="36">
        <f t="shared" si="0"/>
        <v>-2400</v>
      </c>
      <c r="G35" s="36">
        <f t="shared" si="0"/>
        <v>0</v>
      </c>
      <c r="H35" s="36">
        <f t="shared" si="0"/>
        <v>1704</v>
      </c>
      <c r="I35" s="36">
        <f t="shared" si="0"/>
        <v>287206</v>
      </c>
    </row>
    <row r="36" spans="1:11" x14ac:dyDescent="0.2">
      <c r="C36" s="36"/>
      <c r="D36" s="36"/>
      <c r="E36" s="36"/>
      <c r="F36" s="36"/>
      <c r="G36" s="36"/>
      <c r="H36" s="36"/>
      <c r="I36" s="36"/>
    </row>
    <row r="37" spans="1:11" s="153" customFormat="1" x14ac:dyDescent="0.2">
      <c r="A37" s="134">
        <f>A35+1</f>
        <v>13</v>
      </c>
      <c r="B37" s="34" t="s">
        <v>547</v>
      </c>
      <c r="C37" s="36"/>
      <c r="D37" s="36"/>
      <c r="E37" s="36"/>
      <c r="F37" s="36"/>
      <c r="G37" s="36"/>
      <c r="H37" s="36"/>
      <c r="I37" s="36"/>
    </row>
    <row r="38" spans="1:11" s="153" customFormat="1" x14ac:dyDescent="0.2">
      <c r="A38" s="134"/>
      <c r="C38" s="36"/>
      <c r="D38" s="36"/>
      <c r="E38" s="36"/>
      <c r="F38" s="36"/>
      <c r="G38" s="36"/>
      <c r="H38" s="36"/>
      <c r="I38" s="36"/>
    </row>
    <row r="39" spans="1:11" s="153" customFormat="1" x14ac:dyDescent="0.2">
      <c r="A39" s="134">
        <f>A37+1</f>
        <v>14</v>
      </c>
      <c r="B39" s="168" t="s">
        <v>19</v>
      </c>
      <c r="C39" s="36"/>
      <c r="D39" s="36"/>
      <c r="E39" s="36"/>
      <c r="F39" s="36"/>
      <c r="G39" s="36"/>
      <c r="H39" s="36"/>
      <c r="I39" s="36"/>
    </row>
    <row r="40" spans="1:11" s="153" customFormat="1" x14ac:dyDescent="0.2">
      <c r="A40" s="134"/>
      <c r="C40" s="36"/>
      <c r="D40" s="36"/>
      <c r="E40" s="36"/>
      <c r="F40" s="36"/>
      <c r="G40" s="36"/>
      <c r="H40" s="36"/>
      <c r="I40" s="36"/>
    </row>
    <row r="41" spans="1:11" s="153" customFormat="1" x14ac:dyDescent="0.2">
      <c r="A41" s="134">
        <f>A39+1</f>
        <v>15</v>
      </c>
      <c r="B41" s="167" t="s">
        <v>349</v>
      </c>
      <c r="C41" s="337">
        <v>30529</v>
      </c>
      <c r="D41" s="35">
        <v>0</v>
      </c>
      <c r="E41" s="35">
        <f>'Sch4'!C19</f>
        <v>0</v>
      </c>
      <c r="F41" s="35">
        <f>'Sch4'!D19</f>
        <v>0</v>
      </c>
      <c r="G41" s="58">
        <v>0</v>
      </c>
      <c r="H41" s="200">
        <v>77</v>
      </c>
      <c r="I41" s="36">
        <f>SUM(C41:H41)</f>
        <v>30606</v>
      </c>
      <c r="J41" s="3"/>
      <c r="K41" s="153" t="s">
        <v>463</v>
      </c>
    </row>
    <row r="42" spans="1:11" s="153" customFormat="1" x14ac:dyDescent="0.2">
      <c r="A42" s="134"/>
      <c r="C42" s="36"/>
      <c r="D42" s="36"/>
      <c r="E42" s="36"/>
      <c r="F42" s="36"/>
      <c r="G42" s="36"/>
      <c r="H42" s="36"/>
      <c r="I42" s="36"/>
    </row>
    <row r="43" spans="1:11" s="153" customFormat="1" x14ac:dyDescent="0.2">
      <c r="A43" s="134">
        <f>A41+1</f>
        <v>16</v>
      </c>
      <c r="B43" s="168" t="s">
        <v>21</v>
      </c>
      <c r="C43" s="36"/>
      <c r="D43" s="36"/>
      <c r="E43" s="36"/>
      <c r="F43" s="36"/>
      <c r="G43" s="36"/>
      <c r="H43" s="36"/>
      <c r="I43" s="36"/>
    </row>
    <row r="44" spans="1:11" s="153" customFormat="1" x14ac:dyDescent="0.2">
      <c r="A44" s="134"/>
      <c r="C44" s="36"/>
      <c r="D44" s="36"/>
      <c r="E44" s="36"/>
      <c r="F44" s="36"/>
      <c r="G44" s="36"/>
      <c r="H44" s="36"/>
      <c r="I44" s="36"/>
    </row>
    <row r="45" spans="1:11" s="153" customFormat="1" x14ac:dyDescent="0.2">
      <c r="A45" s="134">
        <f>A43+1</f>
        <v>17</v>
      </c>
      <c r="B45" s="167" t="s">
        <v>349</v>
      </c>
      <c r="C45" s="201">
        <v>466</v>
      </c>
      <c r="D45" s="87">
        <v>0</v>
      </c>
      <c r="E45" s="87">
        <v>0</v>
      </c>
      <c r="F45" s="87">
        <v>0</v>
      </c>
      <c r="G45" s="65">
        <v>0</v>
      </c>
      <c r="H45" s="201">
        <v>1</v>
      </c>
      <c r="I45" s="39">
        <f>SUM(C45:H45)</f>
        <v>467</v>
      </c>
      <c r="J45" s="3"/>
      <c r="K45" s="153" t="s">
        <v>465</v>
      </c>
    </row>
    <row r="46" spans="1:11" s="153" customFormat="1" x14ac:dyDescent="0.2">
      <c r="A46" s="134"/>
      <c r="C46" s="36"/>
      <c r="D46" s="36"/>
      <c r="E46" s="36"/>
      <c r="F46" s="36"/>
      <c r="G46" s="36"/>
      <c r="H46" s="36"/>
      <c r="I46" s="36"/>
    </row>
    <row r="47" spans="1:11" s="153" customFormat="1" x14ac:dyDescent="0.2">
      <c r="A47" s="134">
        <f>A45+1</f>
        <v>18</v>
      </c>
      <c r="B47" s="14" t="s">
        <v>550</v>
      </c>
      <c r="C47" s="36">
        <f>C41+C45</f>
        <v>30995</v>
      </c>
      <c r="D47" s="36">
        <f t="shared" ref="D47:I47" si="1">D41+D45</f>
        <v>0</v>
      </c>
      <c r="E47" s="36">
        <f t="shared" si="1"/>
        <v>0</v>
      </c>
      <c r="F47" s="36">
        <f t="shared" si="1"/>
        <v>0</v>
      </c>
      <c r="G47" s="36">
        <f t="shared" si="1"/>
        <v>0</v>
      </c>
      <c r="H47" s="36">
        <f t="shared" si="1"/>
        <v>78</v>
      </c>
      <c r="I47" s="36">
        <f t="shared" si="1"/>
        <v>31073</v>
      </c>
    </row>
    <row r="48" spans="1:11" s="153" customFormat="1" x14ac:dyDescent="0.2">
      <c r="A48" s="134"/>
      <c r="C48" s="36"/>
      <c r="D48" s="36"/>
      <c r="E48" s="36"/>
      <c r="F48" s="36"/>
      <c r="G48" s="36"/>
      <c r="H48" s="36"/>
      <c r="I48" s="36"/>
    </row>
    <row r="49" spans="1:11" x14ac:dyDescent="0.2">
      <c r="A49" s="134">
        <f>A47+1</f>
        <v>19</v>
      </c>
      <c r="B49" s="34" t="s">
        <v>219</v>
      </c>
      <c r="C49" s="12"/>
      <c r="D49" s="12"/>
      <c r="E49" s="12"/>
      <c r="F49" s="12"/>
      <c r="G49" s="12"/>
      <c r="H49" s="12"/>
      <c r="I49" s="12"/>
    </row>
    <row r="50" spans="1:11" x14ac:dyDescent="0.2">
      <c r="B50" s="166"/>
      <c r="C50" s="12"/>
      <c r="D50" s="36"/>
      <c r="E50" s="36"/>
      <c r="F50" s="36"/>
      <c r="G50" s="36"/>
      <c r="H50" s="12"/>
      <c r="I50" s="36"/>
    </row>
    <row r="51" spans="1:11" x14ac:dyDescent="0.2">
      <c r="A51" s="134">
        <f>A49+1</f>
        <v>20</v>
      </c>
      <c r="B51" s="168" t="s">
        <v>19</v>
      </c>
      <c r="C51" s="12"/>
      <c r="D51" s="36"/>
      <c r="E51" s="36"/>
      <c r="F51" s="36"/>
      <c r="G51" s="36"/>
      <c r="H51" s="12"/>
      <c r="I51" s="36"/>
    </row>
    <row r="52" spans="1:11" x14ac:dyDescent="0.2">
      <c r="C52" s="12"/>
      <c r="D52" s="36"/>
      <c r="E52" s="36"/>
      <c r="F52" s="36"/>
      <c r="G52" s="36"/>
      <c r="H52" s="12"/>
      <c r="I52" s="36"/>
    </row>
    <row r="53" spans="1:11" x14ac:dyDescent="0.2">
      <c r="A53" s="134">
        <f>A51+1</f>
        <v>21</v>
      </c>
      <c r="B53" s="167" t="s">
        <v>350</v>
      </c>
      <c r="C53" s="209">
        <v>12</v>
      </c>
      <c r="D53" s="35">
        <v>0</v>
      </c>
      <c r="E53" s="35">
        <v>0</v>
      </c>
      <c r="F53" s="35">
        <v>0</v>
      </c>
      <c r="G53" s="35">
        <v>0</v>
      </c>
      <c r="H53" s="209">
        <v>0</v>
      </c>
      <c r="I53" s="36">
        <f>SUM(C53:H53)</f>
        <v>12</v>
      </c>
      <c r="K53" s="153" t="s">
        <v>466</v>
      </c>
    </row>
    <row r="54" spans="1:11" x14ac:dyDescent="0.2">
      <c r="C54" s="209"/>
      <c r="D54" s="36"/>
      <c r="E54" s="36"/>
      <c r="F54" s="36"/>
      <c r="G54" s="36"/>
      <c r="H54" s="36"/>
      <c r="I54" s="36"/>
    </row>
    <row r="55" spans="1:11" x14ac:dyDescent="0.2">
      <c r="A55" s="134">
        <f>A53+1</f>
        <v>22</v>
      </c>
      <c r="B55" s="168" t="s">
        <v>21</v>
      </c>
      <c r="C55" s="151"/>
      <c r="D55" s="83"/>
      <c r="E55" s="36"/>
      <c r="F55" s="36"/>
      <c r="G55" s="36"/>
      <c r="H55" s="12"/>
      <c r="I55" s="36"/>
    </row>
    <row r="56" spans="1:11" x14ac:dyDescent="0.2">
      <c r="C56" s="151"/>
      <c r="D56" s="83"/>
      <c r="E56" s="36"/>
      <c r="F56" s="36"/>
      <c r="G56" s="36"/>
      <c r="H56" s="12"/>
      <c r="I56" s="36"/>
    </row>
    <row r="57" spans="1:11" x14ac:dyDescent="0.2">
      <c r="A57" s="134">
        <f>A55+1</f>
        <v>23</v>
      </c>
      <c r="B57" s="167" t="s">
        <v>350</v>
      </c>
      <c r="C57" s="209">
        <v>0</v>
      </c>
      <c r="D57" s="35">
        <v>0</v>
      </c>
      <c r="E57" s="35">
        <v>0</v>
      </c>
      <c r="F57" s="35">
        <v>0</v>
      </c>
      <c r="G57" s="35">
        <v>0</v>
      </c>
      <c r="H57" s="209">
        <v>0</v>
      </c>
      <c r="I57" s="36">
        <f>SUM(C57:H57)</f>
        <v>0</v>
      </c>
    </row>
    <row r="58" spans="1:11" x14ac:dyDescent="0.2">
      <c r="C58" s="36"/>
      <c r="D58" s="36"/>
      <c r="E58" s="36"/>
      <c r="F58" s="36"/>
      <c r="G58" s="36"/>
      <c r="H58" s="36"/>
      <c r="I58" s="36"/>
    </row>
    <row r="59" spans="1:11" x14ac:dyDescent="0.2">
      <c r="A59" s="134">
        <f>A57+1</f>
        <v>24</v>
      </c>
      <c r="B59" s="14" t="s">
        <v>220</v>
      </c>
      <c r="C59" s="36">
        <f>C57+C53</f>
        <v>12</v>
      </c>
      <c r="D59" s="36">
        <f t="shared" ref="D59:I59" si="2">D57+D53</f>
        <v>0</v>
      </c>
      <c r="E59" s="36">
        <f t="shared" si="2"/>
        <v>0</v>
      </c>
      <c r="F59" s="36">
        <f t="shared" si="2"/>
        <v>0</v>
      </c>
      <c r="G59" s="36">
        <f t="shared" si="2"/>
        <v>0</v>
      </c>
      <c r="H59" s="36">
        <f t="shared" si="2"/>
        <v>0</v>
      </c>
      <c r="I59" s="36">
        <f t="shared" si="2"/>
        <v>12</v>
      </c>
      <c r="K59" s="73"/>
    </row>
    <row r="60" spans="1:11" x14ac:dyDescent="0.2">
      <c r="C60" s="36"/>
      <c r="D60" s="36"/>
      <c r="E60" s="36"/>
      <c r="F60" s="36"/>
      <c r="G60" s="36"/>
      <c r="H60" s="36"/>
      <c r="I60" s="36"/>
      <c r="K60" s="73"/>
    </row>
    <row r="61" spans="1:11" x14ac:dyDescent="0.2">
      <c r="A61" s="134">
        <f>A59+1</f>
        <v>25</v>
      </c>
      <c r="B61" s="34" t="s">
        <v>121</v>
      </c>
      <c r="C61" s="12"/>
      <c r="D61" s="12"/>
      <c r="E61" s="12"/>
      <c r="F61" s="12"/>
      <c r="G61" s="12"/>
      <c r="H61" s="12"/>
      <c r="I61" s="12"/>
      <c r="K61" s="73"/>
    </row>
    <row r="62" spans="1:11" x14ac:dyDescent="0.2">
      <c r="C62" s="12"/>
      <c r="D62" s="36"/>
      <c r="E62" s="36"/>
      <c r="F62" s="36"/>
      <c r="G62" s="36"/>
      <c r="H62" s="12"/>
      <c r="I62" s="36"/>
      <c r="K62" s="73"/>
    </row>
    <row r="63" spans="1:11" x14ac:dyDescent="0.2">
      <c r="A63" s="134">
        <f>A61+1</f>
        <v>26</v>
      </c>
      <c r="B63" s="168" t="s">
        <v>19</v>
      </c>
      <c r="C63" s="12"/>
      <c r="D63" s="36"/>
      <c r="E63" s="36"/>
      <c r="F63" s="36"/>
      <c r="G63" s="36"/>
      <c r="H63" s="12"/>
      <c r="I63" s="36"/>
      <c r="K63" s="73"/>
    </row>
    <row r="64" spans="1:11" x14ac:dyDescent="0.2">
      <c r="C64" s="12"/>
      <c r="D64" s="36"/>
      <c r="E64" s="36"/>
      <c r="F64" s="36"/>
      <c r="G64" s="36"/>
      <c r="H64" s="12"/>
      <c r="I64" s="36"/>
    </row>
    <row r="65" spans="1:11" x14ac:dyDescent="0.2">
      <c r="A65" s="134">
        <f>A63+1</f>
        <v>27</v>
      </c>
      <c r="B65" s="167" t="s">
        <v>351</v>
      </c>
      <c r="C65" s="200">
        <v>488</v>
      </c>
      <c r="D65" s="35">
        <v>0</v>
      </c>
      <c r="E65" s="35">
        <v>0</v>
      </c>
      <c r="F65" s="35">
        <v>0</v>
      </c>
      <c r="G65" s="35">
        <v>0</v>
      </c>
      <c r="H65" s="209">
        <v>0</v>
      </c>
      <c r="I65" s="36">
        <f t="shared" ref="I65:I70" si="3">SUM(C65:H65)</f>
        <v>488</v>
      </c>
      <c r="K65" s="153" t="s">
        <v>467</v>
      </c>
    </row>
    <row r="66" spans="1:11" x14ac:dyDescent="0.2">
      <c r="A66" s="134">
        <f>A65+1</f>
        <v>28</v>
      </c>
      <c r="B66" s="167" t="s">
        <v>352</v>
      </c>
      <c r="C66" s="209">
        <v>258</v>
      </c>
      <c r="D66" s="35">
        <v>0</v>
      </c>
      <c r="E66" s="35">
        <v>0</v>
      </c>
      <c r="F66" s="35">
        <v>0</v>
      </c>
      <c r="G66" s="35">
        <v>0</v>
      </c>
      <c r="H66" s="209">
        <v>0</v>
      </c>
      <c r="I66" s="36">
        <f t="shared" si="3"/>
        <v>258</v>
      </c>
      <c r="K66" s="153" t="s">
        <v>468</v>
      </c>
    </row>
    <row r="67" spans="1:11" x14ac:dyDescent="0.2">
      <c r="A67" s="134">
        <f>A66+1</f>
        <v>29</v>
      </c>
      <c r="B67" s="167" t="s">
        <v>353</v>
      </c>
      <c r="C67" s="209">
        <v>0</v>
      </c>
      <c r="D67" s="35">
        <v>0</v>
      </c>
      <c r="E67" s="35">
        <v>0</v>
      </c>
      <c r="F67" s="35">
        <v>0</v>
      </c>
      <c r="G67" s="35">
        <v>0</v>
      </c>
      <c r="H67" s="209">
        <v>0</v>
      </c>
      <c r="I67" s="36">
        <f t="shared" si="3"/>
        <v>0</v>
      </c>
      <c r="K67" s="153" t="s">
        <v>469</v>
      </c>
    </row>
    <row r="68" spans="1:11" x14ac:dyDescent="0.2">
      <c r="A68" s="134">
        <f>A67+1</f>
        <v>30</v>
      </c>
      <c r="B68" s="167" t="s">
        <v>354</v>
      </c>
      <c r="C68" s="209">
        <v>0</v>
      </c>
      <c r="D68" s="35">
        <v>0</v>
      </c>
      <c r="E68" s="35">
        <v>0</v>
      </c>
      <c r="F68" s="35">
        <v>0</v>
      </c>
      <c r="G68" s="35">
        <v>0</v>
      </c>
      <c r="H68" s="209">
        <v>0</v>
      </c>
      <c r="I68" s="36">
        <f t="shared" si="3"/>
        <v>0</v>
      </c>
    </row>
    <row r="69" spans="1:11" x14ac:dyDescent="0.2">
      <c r="A69" s="134">
        <f>A68+1</f>
        <v>31</v>
      </c>
      <c r="B69" s="167" t="s">
        <v>355</v>
      </c>
      <c r="C69" s="209">
        <v>0</v>
      </c>
      <c r="D69" s="35">
        <v>0</v>
      </c>
      <c r="E69" s="35">
        <v>0</v>
      </c>
      <c r="F69" s="35">
        <v>0</v>
      </c>
      <c r="G69" s="35">
        <v>0</v>
      </c>
      <c r="H69" s="209">
        <v>0</v>
      </c>
      <c r="I69" s="36">
        <f t="shared" si="3"/>
        <v>0</v>
      </c>
    </row>
    <row r="70" spans="1:11" x14ac:dyDescent="0.2">
      <c r="A70" s="134">
        <f>A69+1</f>
        <v>32</v>
      </c>
      <c r="B70" s="167" t="s">
        <v>356</v>
      </c>
      <c r="C70" s="314">
        <v>0</v>
      </c>
      <c r="D70" s="87">
        <v>0</v>
      </c>
      <c r="E70" s="87">
        <v>0</v>
      </c>
      <c r="F70" s="87">
        <v>0</v>
      </c>
      <c r="G70" s="87">
        <v>0</v>
      </c>
      <c r="H70" s="314">
        <v>0</v>
      </c>
      <c r="I70" s="39">
        <f t="shared" si="3"/>
        <v>0</v>
      </c>
    </row>
    <row r="71" spans="1:11" x14ac:dyDescent="0.2">
      <c r="C71" s="12"/>
      <c r="D71" s="36"/>
      <c r="E71" s="36"/>
      <c r="F71" s="36"/>
      <c r="G71" s="36"/>
      <c r="H71" s="12"/>
      <c r="I71" s="36"/>
    </row>
    <row r="72" spans="1:11" x14ac:dyDescent="0.2">
      <c r="A72" s="134">
        <f>A70+1</f>
        <v>33</v>
      </c>
      <c r="B72" s="14" t="s">
        <v>215</v>
      </c>
      <c r="C72" s="36">
        <f t="shared" ref="C72:I72" si="4">SUM(C65:C70)</f>
        <v>746</v>
      </c>
      <c r="D72" s="36">
        <f t="shared" si="4"/>
        <v>0</v>
      </c>
      <c r="E72" s="36">
        <f t="shared" si="4"/>
        <v>0</v>
      </c>
      <c r="F72" s="36">
        <f t="shared" si="4"/>
        <v>0</v>
      </c>
      <c r="G72" s="36">
        <f t="shared" ref="G72" si="5">SUM(G65:G70)</f>
        <v>0</v>
      </c>
      <c r="H72" s="36">
        <f t="shared" si="4"/>
        <v>0</v>
      </c>
      <c r="I72" s="36">
        <f t="shared" si="4"/>
        <v>746</v>
      </c>
    </row>
    <row r="73" spans="1:11" x14ac:dyDescent="0.2">
      <c r="C73" s="12"/>
      <c r="D73" s="36"/>
      <c r="E73" s="36"/>
      <c r="F73" s="36"/>
      <c r="G73" s="36"/>
      <c r="H73" s="12"/>
      <c r="I73" s="36"/>
    </row>
    <row r="74" spans="1:11" x14ac:dyDescent="0.2">
      <c r="A74" s="134">
        <f>A72+1</f>
        <v>34</v>
      </c>
      <c r="B74" s="168" t="s">
        <v>21</v>
      </c>
      <c r="C74" s="12"/>
      <c r="D74" s="36"/>
      <c r="E74" s="36"/>
      <c r="F74" s="36"/>
      <c r="G74" s="36"/>
      <c r="H74" s="12"/>
      <c r="I74" s="36"/>
    </row>
    <row r="75" spans="1:11" x14ac:dyDescent="0.2">
      <c r="C75" s="12"/>
      <c r="D75" s="36"/>
      <c r="E75" s="36"/>
      <c r="F75" s="36"/>
      <c r="G75" s="36"/>
      <c r="H75" s="12"/>
      <c r="I75" s="36"/>
    </row>
    <row r="76" spans="1:11" x14ac:dyDescent="0.2">
      <c r="A76" s="134">
        <f>A74+1</f>
        <v>35</v>
      </c>
      <c r="B76" s="167" t="s">
        <v>351</v>
      </c>
      <c r="C76" s="209">
        <v>48</v>
      </c>
      <c r="D76" s="35">
        <v>0</v>
      </c>
      <c r="E76" s="35">
        <v>0</v>
      </c>
      <c r="F76" s="35">
        <v>0</v>
      </c>
      <c r="G76" s="35">
        <v>0</v>
      </c>
      <c r="H76" s="209">
        <v>0</v>
      </c>
      <c r="I76" s="36">
        <f t="shared" ref="I76:I81" si="6">SUM(C76:H76)</f>
        <v>48</v>
      </c>
      <c r="K76" s="153" t="s">
        <v>467</v>
      </c>
    </row>
    <row r="77" spans="1:11" x14ac:dyDescent="0.2">
      <c r="A77" s="134">
        <f>A76+1</f>
        <v>36</v>
      </c>
      <c r="B77" s="167" t="s">
        <v>352</v>
      </c>
      <c r="C77" s="209">
        <v>24</v>
      </c>
      <c r="D77" s="36">
        <f>'Sch4'!E53</f>
        <v>0</v>
      </c>
      <c r="E77" s="35">
        <v>0</v>
      </c>
      <c r="F77" s="35">
        <v>0</v>
      </c>
      <c r="G77" s="35">
        <v>0</v>
      </c>
      <c r="H77" s="209">
        <v>0</v>
      </c>
      <c r="I77" s="36">
        <f t="shared" si="6"/>
        <v>24</v>
      </c>
      <c r="K77" s="153" t="s">
        <v>468</v>
      </c>
    </row>
    <row r="78" spans="1:11" x14ac:dyDescent="0.2">
      <c r="A78" s="134">
        <f>A77+1</f>
        <v>37</v>
      </c>
      <c r="B78" s="167" t="s">
        <v>353</v>
      </c>
      <c r="C78" s="209">
        <v>0</v>
      </c>
      <c r="D78" s="35">
        <v>0</v>
      </c>
      <c r="E78" s="35">
        <v>0</v>
      </c>
      <c r="F78" s="35">
        <v>0</v>
      </c>
      <c r="G78" s="35">
        <v>0</v>
      </c>
      <c r="H78" s="209">
        <v>0</v>
      </c>
      <c r="I78" s="36">
        <f t="shared" si="6"/>
        <v>0</v>
      </c>
    </row>
    <row r="79" spans="1:11" x14ac:dyDescent="0.2">
      <c r="A79" s="134">
        <f>A78+1</f>
        <v>38</v>
      </c>
      <c r="B79" s="167" t="s">
        <v>354</v>
      </c>
      <c r="C79" s="209">
        <v>0</v>
      </c>
      <c r="D79" s="35">
        <v>0</v>
      </c>
      <c r="E79" s="35">
        <v>0</v>
      </c>
      <c r="F79" s="35">
        <v>0</v>
      </c>
      <c r="G79" s="35">
        <v>0</v>
      </c>
      <c r="H79" s="209">
        <v>0</v>
      </c>
      <c r="I79" s="36">
        <f t="shared" si="6"/>
        <v>0</v>
      </c>
    </row>
    <row r="80" spans="1:11" x14ac:dyDescent="0.2">
      <c r="A80" s="134">
        <f>A79+1</f>
        <v>39</v>
      </c>
      <c r="B80" s="167" t="s">
        <v>355</v>
      </c>
      <c r="C80" s="209">
        <v>0</v>
      </c>
      <c r="D80" s="35">
        <v>0</v>
      </c>
      <c r="E80" s="35">
        <v>0</v>
      </c>
      <c r="F80" s="35">
        <v>0</v>
      </c>
      <c r="G80" s="35">
        <v>0</v>
      </c>
      <c r="H80" s="209">
        <v>0</v>
      </c>
      <c r="I80" s="36">
        <f t="shared" si="6"/>
        <v>0</v>
      </c>
    </row>
    <row r="81" spans="1:9" x14ac:dyDescent="0.2">
      <c r="A81" s="134">
        <f>A80+1</f>
        <v>40</v>
      </c>
      <c r="B81" s="167" t="s">
        <v>356</v>
      </c>
      <c r="C81" s="314">
        <v>0</v>
      </c>
      <c r="D81" s="87">
        <v>0</v>
      </c>
      <c r="E81" s="87">
        <v>0</v>
      </c>
      <c r="F81" s="87">
        <v>0</v>
      </c>
      <c r="G81" s="87">
        <v>0</v>
      </c>
      <c r="H81" s="314">
        <v>0</v>
      </c>
      <c r="I81" s="39">
        <f t="shared" si="6"/>
        <v>0</v>
      </c>
    </row>
    <row r="82" spans="1:9" x14ac:dyDescent="0.2">
      <c r="C82" s="12"/>
      <c r="D82" s="36"/>
      <c r="E82" s="36"/>
      <c r="F82" s="36"/>
      <c r="G82" s="36"/>
      <c r="H82" s="86"/>
      <c r="I82" s="36"/>
    </row>
    <row r="83" spans="1:9" x14ac:dyDescent="0.2">
      <c r="A83" s="134">
        <f>A81+1</f>
        <v>41</v>
      </c>
      <c r="B83" s="14" t="s">
        <v>216</v>
      </c>
      <c r="C83" s="36">
        <f t="shared" ref="C83:I83" si="7">SUM(C76:C81)</f>
        <v>72</v>
      </c>
      <c r="D83" s="36">
        <f t="shared" si="7"/>
        <v>0</v>
      </c>
      <c r="E83" s="36">
        <f t="shared" si="7"/>
        <v>0</v>
      </c>
      <c r="F83" s="36">
        <f t="shared" si="7"/>
        <v>0</v>
      </c>
      <c r="G83" s="36">
        <f t="shared" ref="G83" si="8">SUM(G76:G81)</f>
        <v>0</v>
      </c>
      <c r="H83" s="36">
        <f t="shared" si="7"/>
        <v>0</v>
      </c>
      <c r="I83" s="36">
        <f t="shared" si="7"/>
        <v>72</v>
      </c>
    </row>
    <row r="84" spans="1:9" x14ac:dyDescent="0.2">
      <c r="C84" s="12"/>
      <c r="D84" s="36"/>
      <c r="E84" s="36"/>
      <c r="F84" s="36"/>
      <c r="G84" s="36"/>
      <c r="H84" s="86"/>
      <c r="I84" s="36"/>
    </row>
    <row r="85" spans="1:9" x14ac:dyDescent="0.2">
      <c r="A85" s="134">
        <f>A83+1</f>
        <v>42</v>
      </c>
      <c r="B85" s="14" t="s">
        <v>124</v>
      </c>
      <c r="C85" s="36">
        <f t="shared" ref="C85:I85" si="9">C83+C72</f>
        <v>818</v>
      </c>
      <c r="D85" s="36">
        <f t="shared" si="9"/>
        <v>0</v>
      </c>
      <c r="E85" s="36">
        <f t="shared" si="9"/>
        <v>0</v>
      </c>
      <c r="F85" s="36">
        <f t="shared" si="9"/>
        <v>0</v>
      </c>
      <c r="G85" s="36">
        <f t="shared" ref="G85" si="10">G83+G72</f>
        <v>0</v>
      </c>
      <c r="H85" s="36">
        <f t="shared" si="9"/>
        <v>0</v>
      </c>
      <c r="I85" s="36">
        <f t="shared" si="9"/>
        <v>818</v>
      </c>
    </row>
    <row r="86" spans="1:9" x14ac:dyDescent="0.2">
      <c r="C86" s="36"/>
      <c r="D86" s="36"/>
      <c r="E86" s="36"/>
      <c r="F86" s="36"/>
      <c r="G86" s="36"/>
      <c r="H86" s="36"/>
      <c r="I86" s="36"/>
    </row>
    <row r="87" spans="1:9" x14ac:dyDescent="0.2">
      <c r="A87" s="3"/>
    </row>
    <row r="88" spans="1:9" x14ac:dyDescent="0.2">
      <c r="C88" s="36"/>
      <c r="D88" s="36"/>
      <c r="E88" s="36"/>
      <c r="F88" s="36"/>
      <c r="G88" s="36"/>
      <c r="H88" s="36"/>
      <c r="I88" s="2" t="str">
        <f>adjno</f>
        <v>Exhibit No. 103</v>
      </c>
    </row>
    <row r="89" spans="1:9" x14ac:dyDescent="0.2">
      <c r="A89" s="356" t="str">
        <f>A2</f>
        <v>Columbia Gas of Pennsylvania, Inc.</v>
      </c>
      <c r="B89" s="356"/>
      <c r="C89" s="356"/>
      <c r="D89" s="356"/>
      <c r="E89" s="356"/>
      <c r="F89" s="356"/>
      <c r="G89" s="356"/>
      <c r="H89" s="356"/>
      <c r="I89" s="2" t="s">
        <v>193</v>
      </c>
    </row>
    <row r="90" spans="1:9" x14ac:dyDescent="0.2">
      <c r="A90" s="356" t="str">
        <f>A3</f>
        <v>Number of Bills</v>
      </c>
      <c r="B90" s="356"/>
      <c r="C90" s="356"/>
      <c r="D90" s="356"/>
      <c r="E90" s="356"/>
      <c r="F90" s="356"/>
      <c r="G90" s="356"/>
      <c r="H90" s="356"/>
      <c r="I90" s="2" t="s">
        <v>495</v>
      </c>
    </row>
    <row r="91" spans="1:9" x14ac:dyDescent="0.2">
      <c r="A91" s="356" t="str">
        <f>A4</f>
        <v>For the 12 Months Ended December 31, 2019</v>
      </c>
      <c r="B91" s="356"/>
      <c r="C91" s="356"/>
      <c r="D91" s="356"/>
      <c r="E91" s="356"/>
      <c r="F91" s="356"/>
      <c r="G91" s="356"/>
      <c r="H91" s="356"/>
      <c r="I91" s="4" t="str">
        <f>'Sch1'!$G$4</f>
        <v>Witness: D. Joe Mays</v>
      </c>
    </row>
    <row r="92" spans="1:9" x14ac:dyDescent="0.2">
      <c r="A92" s="149"/>
      <c r="B92" s="149"/>
      <c r="C92" s="149"/>
      <c r="D92" s="149"/>
      <c r="E92" s="149"/>
      <c r="F92" s="149"/>
      <c r="G92" s="149"/>
      <c r="I92" s="4"/>
    </row>
    <row r="93" spans="1:9" x14ac:dyDescent="0.2">
      <c r="D93" s="147" t="s">
        <v>0</v>
      </c>
      <c r="I93" s="6"/>
    </row>
    <row r="94" spans="1:9" x14ac:dyDescent="0.2">
      <c r="A94" s="215"/>
      <c r="B94" s="6"/>
      <c r="C94" s="6"/>
      <c r="D94" s="147" t="s">
        <v>1</v>
      </c>
      <c r="G94" s="147" t="s">
        <v>2</v>
      </c>
      <c r="H94" s="147"/>
      <c r="I94" s="6"/>
    </row>
    <row r="95" spans="1:9" x14ac:dyDescent="0.2">
      <c r="A95" s="215" t="s">
        <v>3</v>
      </c>
      <c r="B95" s="147"/>
      <c r="C95" s="147"/>
      <c r="D95" s="147" t="s">
        <v>4</v>
      </c>
      <c r="E95" s="357" t="s">
        <v>169</v>
      </c>
      <c r="F95" s="357"/>
      <c r="G95" s="147" t="s">
        <v>5</v>
      </c>
      <c r="H95" s="147" t="s">
        <v>168</v>
      </c>
      <c r="I95" s="198" t="s">
        <v>268</v>
      </c>
    </row>
    <row r="96" spans="1:9" x14ac:dyDescent="0.2">
      <c r="A96" s="172" t="s">
        <v>6</v>
      </c>
      <c r="B96" s="161" t="s">
        <v>7</v>
      </c>
      <c r="C96" s="172" t="s">
        <v>425</v>
      </c>
      <c r="D96" s="148" t="s">
        <v>8</v>
      </c>
      <c r="E96" s="129" t="s">
        <v>150</v>
      </c>
      <c r="F96" s="129" t="s">
        <v>10</v>
      </c>
      <c r="G96" s="148" t="s">
        <v>111</v>
      </c>
      <c r="H96" s="148" t="s">
        <v>35</v>
      </c>
      <c r="I96" s="148" t="s">
        <v>11</v>
      </c>
    </row>
    <row r="97" spans="1:9" x14ac:dyDescent="0.2">
      <c r="C97" s="194" t="s">
        <v>12</v>
      </c>
      <c r="D97" s="194" t="s">
        <v>13</v>
      </c>
      <c r="E97" s="195" t="s">
        <v>32</v>
      </c>
      <c r="F97" s="195" t="s">
        <v>14</v>
      </c>
      <c r="G97" s="195" t="s">
        <v>15</v>
      </c>
      <c r="H97" s="195" t="s">
        <v>16</v>
      </c>
      <c r="I97" s="195" t="s">
        <v>421</v>
      </c>
    </row>
    <row r="98" spans="1:9" x14ac:dyDescent="0.2">
      <c r="D98" s="9" t="s">
        <v>276</v>
      </c>
      <c r="E98" s="9" t="s">
        <v>276</v>
      </c>
      <c r="F98" s="9" t="s">
        <v>276</v>
      </c>
      <c r="G98" s="9"/>
    </row>
    <row r="99" spans="1:9" s="153" customFormat="1" x14ac:dyDescent="0.2">
      <c r="A99" s="134"/>
      <c r="D99" s="9"/>
      <c r="E99" s="9"/>
      <c r="F99" s="9"/>
      <c r="G99" s="9"/>
    </row>
    <row r="100" spans="1:9" ht="12" thickBot="1" x14ac:dyDescent="0.25"/>
    <row r="101" spans="1:9" s="153" customFormat="1" x14ac:dyDescent="0.2">
      <c r="A101" s="221"/>
      <c r="B101" s="15"/>
      <c r="C101" s="109"/>
      <c r="D101" s="16"/>
      <c r="E101" s="16"/>
      <c r="F101" s="16"/>
      <c r="G101" s="16"/>
      <c r="H101" s="16"/>
      <c r="I101" s="101"/>
    </row>
    <row r="102" spans="1:9" s="153" customFormat="1" x14ac:dyDescent="0.2">
      <c r="A102" s="222">
        <v>1</v>
      </c>
      <c r="B102" s="19" t="s">
        <v>23</v>
      </c>
      <c r="C102" s="20"/>
      <c r="D102" s="20"/>
      <c r="E102" s="20"/>
      <c r="F102" s="20"/>
      <c r="G102" s="20"/>
      <c r="H102" s="20"/>
      <c r="I102" s="102"/>
    </row>
    <row r="103" spans="1:9" s="153" customFormat="1" x14ac:dyDescent="0.2">
      <c r="A103" s="222"/>
      <c r="B103" s="155"/>
      <c r="C103" s="20"/>
      <c r="D103" s="20"/>
      <c r="E103" s="20"/>
      <c r="F103" s="20"/>
      <c r="G103" s="20"/>
      <c r="H103" s="20"/>
      <c r="I103" s="102"/>
    </row>
    <row r="104" spans="1:9" s="153" customFormat="1" x14ac:dyDescent="0.2">
      <c r="A104" s="222">
        <f>A102+1</f>
        <v>2</v>
      </c>
      <c r="B104" s="162" t="s">
        <v>24</v>
      </c>
      <c r="C104" s="81">
        <f t="shared" ref="C104:I104" si="11">C17+C23</f>
        <v>3820964</v>
      </c>
      <c r="D104" s="81">
        <f t="shared" si="11"/>
        <v>0</v>
      </c>
      <c r="E104" s="81">
        <f t="shared" si="11"/>
        <v>26457</v>
      </c>
      <c r="F104" s="81">
        <f t="shared" si="11"/>
        <v>-5910</v>
      </c>
      <c r="G104" s="81">
        <f t="shared" si="11"/>
        <v>0</v>
      </c>
      <c r="H104" s="81">
        <f t="shared" si="11"/>
        <v>64221</v>
      </c>
      <c r="I104" s="103">
        <f t="shared" si="11"/>
        <v>3905732</v>
      </c>
    </row>
    <row r="105" spans="1:9" s="153" customFormat="1" x14ac:dyDescent="0.2">
      <c r="A105" s="222"/>
      <c r="B105" s="162"/>
      <c r="C105" s="20"/>
      <c r="D105" s="20"/>
      <c r="E105" s="20"/>
      <c r="F105" s="20"/>
      <c r="G105" s="20"/>
      <c r="H105" s="20"/>
      <c r="I105" s="102"/>
    </row>
    <row r="106" spans="1:9" s="153" customFormat="1" x14ac:dyDescent="0.2">
      <c r="A106" s="222">
        <f>A104+1</f>
        <v>3</v>
      </c>
      <c r="B106" s="162" t="s">
        <v>25</v>
      </c>
      <c r="C106" s="81">
        <f t="shared" ref="C106:I106" si="12">+C72+C53+C41+C29</f>
        <v>315319</v>
      </c>
      <c r="D106" s="81">
        <f t="shared" si="12"/>
        <v>0</v>
      </c>
      <c r="E106" s="81">
        <f t="shared" si="12"/>
        <v>3639</v>
      </c>
      <c r="F106" s="81">
        <f t="shared" si="12"/>
        <v>-2400</v>
      </c>
      <c r="G106" s="81">
        <f t="shared" si="12"/>
        <v>0</v>
      </c>
      <c r="H106" s="81">
        <f t="shared" si="12"/>
        <v>1781</v>
      </c>
      <c r="I106" s="103">
        <f t="shared" si="12"/>
        <v>318339</v>
      </c>
    </row>
    <row r="107" spans="1:9" s="153" customFormat="1" x14ac:dyDescent="0.2">
      <c r="A107" s="222"/>
      <c r="B107" s="162"/>
      <c r="C107" s="81"/>
      <c r="D107" s="81"/>
      <c r="E107" s="81"/>
      <c r="F107" s="81"/>
      <c r="G107" s="81"/>
      <c r="H107" s="81"/>
      <c r="I107" s="103"/>
    </row>
    <row r="108" spans="1:9" s="153" customFormat="1" x14ac:dyDescent="0.2">
      <c r="A108" s="222">
        <f>A106+1</f>
        <v>4</v>
      </c>
      <c r="B108" s="162" t="s">
        <v>26</v>
      </c>
      <c r="C108" s="80">
        <f t="shared" ref="C108:I108" si="13">C83+C57+C45+C33</f>
        <v>769</v>
      </c>
      <c r="D108" s="80">
        <f t="shared" si="13"/>
        <v>0</v>
      </c>
      <c r="E108" s="80">
        <f t="shared" si="13"/>
        <v>0</v>
      </c>
      <c r="F108" s="80">
        <f t="shared" si="13"/>
        <v>0</v>
      </c>
      <c r="G108" s="80">
        <f t="shared" si="13"/>
        <v>0</v>
      </c>
      <c r="H108" s="80">
        <f t="shared" si="13"/>
        <v>1</v>
      </c>
      <c r="I108" s="104">
        <f t="shared" si="13"/>
        <v>770</v>
      </c>
    </row>
    <row r="109" spans="1:9" s="153" customFormat="1" x14ac:dyDescent="0.2">
      <c r="A109" s="222"/>
      <c r="B109" s="155"/>
      <c r="C109" s="20"/>
      <c r="D109" s="20"/>
      <c r="E109" s="20"/>
      <c r="F109" s="20"/>
      <c r="G109" s="20"/>
      <c r="H109" s="20"/>
      <c r="I109" s="102"/>
    </row>
    <row r="110" spans="1:9" s="153" customFormat="1" x14ac:dyDescent="0.2">
      <c r="A110" s="222">
        <f>A108+1</f>
        <v>5</v>
      </c>
      <c r="B110" s="155" t="s">
        <v>27</v>
      </c>
      <c r="C110" s="81">
        <f>SUM(C104:C108)</f>
        <v>4137052</v>
      </c>
      <c r="D110" s="81">
        <f t="shared" ref="D110:I110" si="14">SUM(D104:D108)</f>
        <v>0</v>
      </c>
      <c r="E110" s="81">
        <f t="shared" si="14"/>
        <v>30096</v>
      </c>
      <c r="F110" s="81">
        <f t="shared" si="14"/>
        <v>-8310</v>
      </c>
      <c r="G110" s="81">
        <f t="shared" ref="G110" si="15">SUM(G104:G108)</f>
        <v>0</v>
      </c>
      <c r="H110" s="81">
        <f t="shared" si="14"/>
        <v>66003</v>
      </c>
      <c r="I110" s="103">
        <f t="shared" si="14"/>
        <v>4224841</v>
      </c>
    </row>
    <row r="111" spans="1:9" s="153" customFormat="1" ht="12" thickBot="1" x14ac:dyDescent="0.25">
      <c r="A111" s="223"/>
      <c r="B111" s="24"/>
      <c r="C111" s="110"/>
      <c r="D111" s="25"/>
      <c r="E111" s="25"/>
      <c r="F111" s="25"/>
      <c r="G111" s="25"/>
      <c r="H111" s="25"/>
      <c r="I111" s="105"/>
    </row>
    <row r="112" spans="1:9" s="153" customFormat="1" x14ac:dyDescent="0.2">
      <c r="A112" s="134"/>
    </row>
    <row r="113" spans="1:11" x14ac:dyDescent="0.2">
      <c r="A113" s="77">
        <f>A110+1</f>
        <v>6</v>
      </c>
      <c r="B113" s="34" t="s">
        <v>113</v>
      </c>
      <c r="C113" s="12"/>
      <c r="D113" s="12"/>
      <c r="E113" s="12"/>
      <c r="F113" s="12"/>
      <c r="G113" s="12"/>
      <c r="H113" s="12"/>
      <c r="I113" s="12"/>
    </row>
    <row r="114" spans="1:11" x14ac:dyDescent="0.2">
      <c r="A114" s="77"/>
      <c r="C114" s="12"/>
      <c r="D114" s="12"/>
      <c r="E114" s="12"/>
      <c r="F114" s="12"/>
      <c r="G114" s="12"/>
      <c r="H114" s="12"/>
      <c r="I114" s="12"/>
    </row>
    <row r="115" spans="1:11" x14ac:dyDescent="0.2">
      <c r="A115" s="77">
        <f>A113+1</f>
        <v>7</v>
      </c>
      <c r="B115" s="168" t="s">
        <v>18</v>
      </c>
      <c r="C115" s="12"/>
      <c r="D115" s="12"/>
      <c r="E115" s="12"/>
      <c r="F115" s="12"/>
      <c r="G115" s="12"/>
      <c r="H115" s="12"/>
      <c r="I115" s="12"/>
    </row>
    <row r="116" spans="1:11" x14ac:dyDescent="0.2">
      <c r="A116" s="77"/>
      <c r="C116" s="12"/>
      <c r="D116" s="36"/>
      <c r="E116" s="36"/>
      <c r="F116" s="36"/>
      <c r="G116" s="36"/>
      <c r="H116" s="12"/>
      <c r="I116" s="36"/>
    </row>
    <row r="117" spans="1:11" x14ac:dyDescent="0.2">
      <c r="A117" s="77">
        <f>A115+1</f>
        <v>8</v>
      </c>
      <c r="B117" s="14" t="s">
        <v>132</v>
      </c>
      <c r="C117" s="200">
        <v>916467</v>
      </c>
      <c r="D117" s="35">
        <v>0</v>
      </c>
      <c r="E117" s="35">
        <v>0</v>
      </c>
      <c r="F117" s="35">
        <v>0</v>
      </c>
      <c r="G117" s="35">
        <v>0</v>
      </c>
      <c r="H117" s="209">
        <v>5983</v>
      </c>
      <c r="I117" s="36">
        <f>SUM(C117:H117)</f>
        <v>922450</v>
      </c>
      <c r="K117" s="153" t="s">
        <v>470</v>
      </c>
    </row>
    <row r="118" spans="1:11" x14ac:dyDescent="0.2">
      <c r="A118" s="77"/>
      <c r="C118" s="58"/>
      <c r="D118" s="35"/>
      <c r="E118" s="35"/>
      <c r="F118" s="35"/>
      <c r="G118" s="36"/>
      <c r="H118" s="35"/>
      <c r="I118" s="36"/>
    </row>
    <row r="119" spans="1:11" x14ac:dyDescent="0.2">
      <c r="A119" s="77">
        <f>A117+1</f>
        <v>9</v>
      </c>
      <c r="B119" s="34" t="s">
        <v>551</v>
      </c>
      <c r="C119" s="58"/>
      <c r="D119" s="36"/>
      <c r="E119" s="36"/>
      <c r="F119" s="36"/>
      <c r="G119" s="36"/>
      <c r="H119" s="58"/>
      <c r="I119" s="36"/>
    </row>
    <row r="120" spans="1:11" x14ac:dyDescent="0.2">
      <c r="A120" s="77"/>
      <c r="C120" s="58"/>
      <c r="D120" s="36"/>
      <c r="E120" s="36"/>
      <c r="F120" s="36"/>
      <c r="G120" s="36"/>
      <c r="H120" s="58"/>
      <c r="I120" s="36"/>
    </row>
    <row r="121" spans="1:11" x14ac:dyDescent="0.2">
      <c r="A121" s="77">
        <f>A119+1</f>
        <v>10</v>
      </c>
      <c r="B121" s="168" t="s">
        <v>19</v>
      </c>
      <c r="C121" s="58"/>
      <c r="D121" s="36"/>
      <c r="E121" s="36"/>
      <c r="F121" s="36"/>
      <c r="G121" s="36"/>
      <c r="H121" s="58"/>
      <c r="I121" s="36"/>
    </row>
    <row r="122" spans="1:11" x14ac:dyDescent="0.2">
      <c r="A122" s="77"/>
      <c r="C122" s="58"/>
      <c r="D122" s="36"/>
      <c r="E122" s="36"/>
      <c r="F122" s="36"/>
      <c r="G122" s="36"/>
      <c r="H122" s="58"/>
      <c r="I122" s="36"/>
    </row>
    <row r="123" spans="1:11" x14ac:dyDescent="0.2">
      <c r="A123" s="77">
        <f>A121+1</f>
        <v>11</v>
      </c>
      <c r="B123" s="166" t="s">
        <v>348</v>
      </c>
      <c r="C123" s="200">
        <f>91635+1051</f>
        <v>92686</v>
      </c>
      <c r="D123" s="35">
        <v>0</v>
      </c>
      <c r="E123" s="35">
        <v>0</v>
      </c>
      <c r="F123" s="35">
        <v>0</v>
      </c>
      <c r="G123" s="35">
        <v>0</v>
      </c>
      <c r="H123" s="209">
        <v>311</v>
      </c>
      <c r="I123" s="36">
        <f>SUM(C123:H123)</f>
        <v>92997</v>
      </c>
      <c r="K123" s="153" t="s">
        <v>471</v>
      </c>
    </row>
    <row r="124" spans="1:11" s="153" customFormat="1" x14ac:dyDescent="0.2">
      <c r="A124" s="77"/>
      <c r="B124" s="166"/>
      <c r="C124" s="200"/>
      <c r="D124" s="35"/>
      <c r="E124" s="35"/>
      <c r="F124" s="35"/>
      <c r="G124" s="35"/>
      <c r="H124" s="35"/>
      <c r="I124" s="36"/>
    </row>
    <row r="125" spans="1:11" s="153" customFormat="1" x14ac:dyDescent="0.2">
      <c r="A125" s="77">
        <f>A123+1</f>
        <v>12</v>
      </c>
      <c r="B125" s="34" t="s">
        <v>552</v>
      </c>
      <c r="C125" s="58"/>
      <c r="D125" s="36"/>
      <c r="E125" s="36"/>
      <c r="F125" s="35"/>
      <c r="G125" s="35"/>
      <c r="H125" s="35"/>
      <c r="I125" s="36"/>
    </row>
    <row r="126" spans="1:11" s="153" customFormat="1" x14ac:dyDescent="0.2">
      <c r="A126" s="77"/>
      <c r="C126" s="58"/>
      <c r="D126" s="36"/>
      <c r="E126" s="36"/>
      <c r="F126" s="35"/>
      <c r="G126" s="35"/>
      <c r="H126" s="35"/>
      <c r="I126" s="36"/>
    </row>
    <row r="127" spans="1:11" s="153" customFormat="1" x14ac:dyDescent="0.2">
      <c r="A127" s="77">
        <f>A125+1</f>
        <v>13</v>
      </c>
      <c r="B127" s="168" t="s">
        <v>19</v>
      </c>
      <c r="C127" s="58"/>
      <c r="D127" s="36"/>
      <c r="E127" s="36"/>
      <c r="F127" s="35"/>
      <c r="G127" s="35"/>
      <c r="H127" s="35"/>
      <c r="I127" s="36"/>
    </row>
    <row r="128" spans="1:11" s="153" customFormat="1" x14ac:dyDescent="0.2">
      <c r="A128" s="77"/>
      <c r="B128" s="166"/>
      <c r="C128" s="200"/>
      <c r="D128" s="35"/>
      <c r="E128" s="35"/>
      <c r="F128" s="35"/>
      <c r="G128" s="35"/>
      <c r="H128" s="35"/>
      <c r="I128" s="36"/>
    </row>
    <row r="129" spans="1:14" x14ac:dyDescent="0.2">
      <c r="A129" s="77">
        <f>A127+1</f>
        <v>14</v>
      </c>
      <c r="B129" s="167" t="s">
        <v>349</v>
      </c>
      <c r="C129" s="201">
        <v>7767</v>
      </c>
      <c r="D129" s="87">
        <v>0</v>
      </c>
      <c r="E129" s="87">
        <v>0</v>
      </c>
      <c r="F129" s="87">
        <v>0</v>
      </c>
      <c r="G129" s="87">
        <v>0</v>
      </c>
      <c r="H129" s="314">
        <v>15</v>
      </c>
      <c r="I129" s="39">
        <f>SUM(C129:H129)</f>
        <v>7782</v>
      </c>
      <c r="K129" s="153" t="s">
        <v>472</v>
      </c>
    </row>
    <row r="130" spans="1:14" x14ac:dyDescent="0.2">
      <c r="A130" s="77"/>
      <c r="C130" s="65"/>
      <c r="D130" s="87"/>
      <c r="E130" s="87"/>
      <c r="F130" s="87"/>
      <c r="G130" s="87"/>
      <c r="H130" s="87"/>
      <c r="I130" s="39"/>
    </row>
    <row r="131" spans="1:14" x14ac:dyDescent="0.2">
      <c r="A131" s="77">
        <f>A129+1</f>
        <v>15</v>
      </c>
      <c r="B131" s="14" t="s">
        <v>133</v>
      </c>
      <c r="C131" s="68">
        <f>C129+C123</f>
        <v>100453</v>
      </c>
      <c r="D131" s="68">
        <f t="shared" ref="D131:I131" si="16">D129+D123</f>
        <v>0</v>
      </c>
      <c r="E131" s="68">
        <f t="shared" si="16"/>
        <v>0</v>
      </c>
      <c r="F131" s="68">
        <f t="shared" si="16"/>
        <v>0</v>
      </c>
      <c r="G131" s="68">
        <f t="shared" si="16"/>
        <v>0</v>
      </c>
      <c r="H131" s="68">
        <f t="shared" si="16"/>
        <v>326</v>
      </c>
      <c r="I131" s="68">
        <f t="shared" si="16"/>
        <v>100779</v>
      </c>
    </row>
    <row r="132" spans="1:14" x14ac:dyDescent="0.2">
      <c r="A132" s="77"/>
      <c r="C132" s="58"/>
      <c r="D132" s="36"/>
      <c r="E132" s="36"/>
      <c r="F132" s="36"/>
      <c r="G132" s="36"/>
      <c r="H132" s="58"/>
      <c r="I132" s="36"/>
    </row>
    <row r="133" spans="1:14" x14ac:dyDescent="0.2">
      <c r="A133" s="77">
        <f>A131+1</f>
        <v>16</v>
      </c>
      <c r="B133" s="34" t="s">
        <v>553</v>
      </c>
      <c r="C133" s="58"/>
      <c r="D133" s="36"/>
      <c r="E133" s="36"/>
      <c r="F133" s="36"/>
      <c r="G133" s="36"/>
      <c r="H133" s="58"/>
      <c r="I133" s="36"/>
    </row>
    <row r="134" spans="1:14" x14ac:dyDescent="0.2">
      <c r="A134" s="77"/>
      <c r="B134" s="6"/>
      <c r="C134" s="58"/>
      <c r="D134" s="36"/>
      <c r="E134" s="36"/>
      <c r="F134" s="36"/>
      <c r="G134" s="36"/>
      <c r="H134" s="58"/>
      <c r="I134" s="36"/>
    </row>
    <row r="135" spans="1:14" x14ac:dyDescent="0.2">
      <c r="A135" s="77">
        <f>A133+1</f>
        <v>17</v>
      </c>
      <c r="B135" s="168" t="s">
        <v>19</v>
      </c>
      <c r="C135" s="58"/>
      <c r="D135" s="36"/>
      <c r="E135" s="36"/>
      <c r="F135" s="36"/>
      <c r="G135" s="36"/>
      <c r="H135" s="58"/>
      <c r="I135" s="36"/>
    </row>
    <row r="136" spans="1:14" x14ac:dyDescent="0.2">
      <c r="A136" s="77"/>
      <c r="C136" s="58"/>
      <c r="D136" s="36"/>
      <c r="E136" s="36"/>
      <c r="F136" s="36"/>
      <c r="G136" s="36"/>
      <c r="H136" s="58"/>
      <c r="I136" s="36"/>
    </row>
    <row r="137" spans="1:14" x14ac:dyDescent="0.2">
      <c r="A137" s="77">
        <f>A135+1</f>
        <v>18</v>
      </c>
      <c r="B137" s="166" t="s">
        <v>348</v>
      </c>
      <c r="C137" s="200">
        <f>1522+9357+36</f>
        <v>10915</v>
      </c>
      <c r="D137" s="36">
        <f>'Sch4'!E30</f>
        <v>0</v>
      </c>
      <c r="E137" s="35">
        <v>0</v>
      </c>
      <c r="F137" s="35">
        <v>0</v>
      </c>
      <c r="G137" s="35">
        <v>0</v>
      </c>
      <c r="H137" s="209">
        <v>37</v>
      </c>
      <c r="I137" s="36">
        <f>SUM(C137:H137)</f>
        <v>10952</v>
      </c>
      <c r="K137" s="153" t="s">
        <v>580</v>
      </c>
      <c r="N137" s="154"/>
    </row>
    <row r="138" spans="1:14" s="153" customFormat="1" x14ac:dyDescent="0.2">
      <c r="A138" s="77">
        <f>A137+1</f>
        <v>19</v>
      </c>
      <c r="B138" s="166" t="s">
        <v>149</v>
      </c>
      <c r="C138" s="201">
        <v>0</v>
      </c>
      <c r="D138" s="87">
        <v>0</v>
      </c>
      <c r="E138" s="87">
        <v>0</v>
      </c>
      <c r="F138" s="87">
        <v>0</v>
      </c>
      <c r="G138" s="87">
        <v>0</v>
      </c>
      <c r="H138" s="314">
        <v>0</v>
      </c>
      <c r="I138" s="39">
        <f>SUM(C138:H138)</f>
        <v>0</v>
      </c>
    </row>
    <row r="139" spans="1:14" s="153" customFormat="1" x14ac:dyDescent="0.2">
      <c r="A139" s="77">
        <f>1+A138</f>
        <v>20</v>
      </c>
      <c r="B139" s="3" t="s">
        <v>125</v>
      </c>
      <c r="C139" s="68">
        <f>SUM(C137:C138)</f>
        <v>10915</v>
      </c>
      <c r="D139" s="68">
        <f t="shared" ref="D139:I139" si="17">SUM(D137:D138)</f>
        <v>0</v>
      </c>
      <c r="E139" s="68">
        <f t="shared" si="17"/>
        <v>0</v>
      </c>
      <c r="F139" s="68">
        <f t="shared" si="17"/>
        <v>0</v>
      </c>
      <c r="G139" s="68">
        <f t="shared" si="17"/>
        <v>0</v>
      </c>
      <c r="H139" s="68">
        <f t="shared" si="17"/>
        <v>37</v>
      </c>
      <c r="I139" s="68">
        <f t="shared" si="17"/>
        <v>10952</v>
      </c>
    </row>
    <row r="140" spans="1:14" s="153" customFormat="1" x14ac:dyDescent="0.2">
      <c r="A140" s="77"/>
      <c r="B140" s="166"/>
      <c r="C140" s="200"/>
      <c r="D140" s="36"/>
      <c r="E140" s="35"/>
      <c r="F140" s="35"/>
      <c r="G140" s="35"/>
      <c r="H140" s="199"/>
      <c r="I140" s="36"/>
    </row>
    <row r="141" spans="1:14" s="153" customFormat="1" x14ac:dyDescent="0.2">
      <c r="A141" s="77">
        <f>1+A139</f>
        <v>21</v>
      </c>
      <c r="B141" s="168" t="s">
        <v>21</v>
      </c>
      <c r="C141" s="3"/>
      <c r="D141" s="3"/>
      <c r="E141" s="3"/>
      <c r="F141" s="3"/>
      <c r="G141" s="3"/>
      <c r="H141" s="3"/>
      <c r="I141" s="3"/>
      <c r="J141" s="3"/>
    </row>
    <row r="142" spans="1:14" s="153" customFormat="1" x14ac:dyDescent="0.2">
      <c r="A142" s="77"/>
      <c r="B142" s="3"/>
      <c r="C142" s="65"/>
      <c r="D142" s="39"/>
      <c r="E142" s="39"/>
      <c r="F142" s="39"/>
      <c r="G142" s="39"/>
      <c r="H142" s="65"/>
      <c r="I142" s="39"/>
      <c r="J142" s="3"/>
    </row>
    <row r="143" spans="1:14" s="153" customFormat="1" x14ac:dyDescent="0.2">
      <c r="A143" s="77">
        <f>A141+1</f>
        <v>22</v>
      </c>
      <c r="B143" s="166" t="s">
        <v>348</v>
      </c>
      <c r="C143" s="200">
        <v>94</v>
      </c>
      <c r="D143" s="35">
        <v>0</v>
      </c>
      <c r="E143" s="35">
        <v>0</v>
      </c>
      <c r="F143" s="35">
        <v>0</v>
      </c>
      <c r="G143" s="35">
        <v>0</v>
      </c>
      <c r="H143" s="209">
        <v>1</v>
      </c>
      <c r="I143" s="36">
        <f>SUM(C143:H143)</f>
        <v>95</v>
      </c>
      <c r="J143" s="3"/>
      <c r="K143" s="153" t="s">
        <v>473</v>
      </c>
      <c r="N143" s="154"/>
    </row>
    <row r="144" spans="1:14" s="153" customFormat="1" x14ac:dyDescent="0.2">
      <c r="A144" s="77">
        <f>A143+1</f>
        <v>23</v>
      </c>
      <c r="B144" s="166" t="s">
        <v>149</v>
      </c>
      <c r="C144" s="201">
        <v>0</v>
      </c>
      <c r="D144" s="87">
        <v>0</v>
      </c>
      <c r="E144" s="87">
        <v>0</v>
      </c>
      <c r="F144" s="87">
        <v>0</v>
      </c>
      <c r="G144" s="87">
        <v>0</v>
      </c>
      <c r="H144" s="314">
        <v>0</v>
      </c>
      <c r="I144" s="39">
        <f>SUM(C144:H144)</f>
        <v>0</v>
      </c>
    </row>
    <row r="145" spans="1:14" s="153" customFormat="1" x14ac:dyDescent="0.2">
      <c r="A145" s="77">
        <f>A144+1</f>
        <v>24</v>
      </c>
      <c r="B145" s="3" t="s">
        <v>126</v>
      </c>
      <c r="C145" s="68">
        <f>SUM(C143:C144)</f>
        <v>94</v>
      </c>
      <c r="D145" s="68">
        <f t="shared" ref="D145:I145" si="18">SUM(D143:D144)</f>
        <v>0</v>
      </c>
      <c r="E145" s="68">
        <f t="shared" si="18"/>
        <v>0</v>
      </c>
      <c r="F145" s="68">
        <f t="shared" si="18"/>
        <v>0</v>
      </c>
      <c r="G145" s="68">
        <f t="shared" si="18"/>
        <v>0</v>
      </c>
      <c r="H145" s="68">
        <f t="shared" si="18"/>
        <v>1</v>
      </c>
      <c r="I145" s="68">
        <f t="shared" si="18"/>
        <v>95</v>
      </c>
    </row>
    <row r="146" spans="1:14" s="153" customFormat="1" x14ac:dyDescent="0.2"/>
    <row r="147" spans="1:14" s="153" customFormat="1" x14ac:dyDescent="0.2">
      <c r="A147" s="77">
        <f>A145+1</f>
        <v>25</v>
      </c>
      <c r="B147" s="153" t="s">
        <v>554</v>
      </c>
      <c r="C147" s="36">
        <f>C139+C145</f>
        <v>11009</v>
      </c>
      <c r="D147" s="36">
        <f t="shared" ref="D147:I147" si="19">D139+D145</f>
        <v>0</v>
      </c>
      <c r="E147" s="36">
        <f t="shared" si="19"/>
        <v>0</v>
      </c>
      <c r="F147" s="36">
        <f t="shared" si="19"/>
        <v>0</v>
      </c>
      <c r="G147" s="36">
        <f t="shared" si="19"/>
        <v>0</v>
      </c>
      <c r="H147" s="36">
        <f t="shared" si="19"/>
        <v>38</v>
      </c>
      <c r="I147" s="36">
        <f t="shared" si="19"/>
        <v>11047</v>
      </c>
    </row>
    <row r="148" spans="1:14" s="153" customFormat="1" x14ac:dyDescent="0.2">
      <c r="A148" s="77"/>
      <c r="B148" s="166"/>
      <c r="C148" s="200"/>
      <c r="D148" s="36"/>
      <c r="E148" s="35"/>
      <c r="F148" s="35"/>
      <c r="G148" s="35"/>
      <c r="H148" s="199"/>
      <c r="I148" s="36"/>
    </row>
    <row r="149" spans="1:14" s="153" customFormat="1" x14ac:dyDescent="0.2">
      <c r="A149" s="77">
        <f>A147+1</f>
        <v>26</v>
      </c>
      <c r="B149" s="34" t="s">
        <v>555</v>
      </c>
      <c r="C149" s="58"/>
      <c r="D149" s="36"/>
      <c r="E149" s="35"/>
      <c r="F149" s="35"/>
      <c r="G149" s="35"/>
      <c r="H149" s="199"/>
      <c r="I149" s="36"/>
    </row>
    <row r="150" spans="1:14" s="153" customFormat="1" x14ac:dyDescent="0.2">
      <c r="A150" s="77"/>
      <c r="B150" s="6"/>
      <c r="C150" s="58"/>
      <c r="D150" s="36"/>
      <c r="E150" s="35"/>
      <c r="F150" s="35"/>
      <c r="G150" s="35"/>
      <c r="H150" s="199"/>
      <c r="I150" s="36"/>
    </row>
    <row r="151" spans="1:14" s="153" customFormat="1" x14ac:dyDescent="0.2">
      <c r="A151" s="77">
        <f>A149+1</f>
        <v>27</v>
      </c>
      <c r="B151" s="168" t="s">
        <v>19</v>
      </c>
      <c r="C151" s="58"/>
      <c r="D151" s="36"/>
      <c r="E151" s="35"/>
      <c r="F151" s="35"/>
      <c r="G151" s="35"/>
      <c r="H151" s="199"/>
      <c r="I151" s="36"/>
    </row>
    <row r="152" spans="1:14" s="153" customFormat="1" x14ac:dyDescent="0.2">
      <c r="A152" s="77"/>
      <c r="B152" s="166"/>
      <c r="C152" s="200"/>
      <c r="D152" s="36"/>
      <c r="E152" s="35"/>
      <c r="F152" s="35"/>
      <c r="G152" s="35"/>
      <c r="H152" s="199"/>
      <c r="I152" s="36"/>
    </row>
    <row r="153" spans="1:14" x14ac:dyDescent="0.2">
      <c r="A153" s="77">
        <f>A151+1</f>
        <v>28</v>
      </c>
      <c r="B153" s="167" t="s">
        <v>349</v>
      </c>
      <c r="C153" s="200">
        <f>3984+14573+60</f>
        <v>18617</v>
      </c>
      <c r="D153" s="36">
        <f>'Sch4'!E31</f>
        <v>0</v>
      </c>
      <c r="E153" s="35">
        <v>0</v>
      </c>
      <c r="F153" s="35">
        <v>0</v>
      </c>
      <c r="G153" s="35">
        <v>0</v>
      </c>
      <c r="H153" s="209">
        <v>62</v>
      </c>
      <c r="I153" s="36">
        <f>SUM(C153:H153)</f>
        <v>18679</v>
      </c>
      <c r="K153" s="153" t="s">
        <v>581</v>
      </c>
      <c r="N153" s="154"/>
    </row>
    <row r="154" spans="1:14" x14ac:dyDescent="0.2">
      <c r="A154" s="77">
        <f>A153+1</f>
        <v>29</v>
      </c>
      <c r="B154" s="166" t="s">
        <v>149</v>
      </c>
      <c r="C154" s="201">
        <v>24</v>
      </c>
      <c r="D154" s="87">
        <v>0</v>
      </c>
      <c r="E154" s="87">
        <v>0</v>
      </c>
      <c r="F154" s="87">
        <v>0</v>
      </c>
      <c r="G154" s="87">
        <v>0</v>
      </c>
      <c r="H154" s="314">
        <v>0</v>
      </c>
      <c r="I154" s="39">
        <f>SUM(C154:H154)</f>
        <v>24</v>
      </c>
    </row>
    <row r="155" spans="1:14" x14ac:dyDescent="0.2">
      <c r="A155" s="77">
        <f>1+A154</f>
        <v>30</v>
      </c>
      <c r="B155" s="153" t="s">
        <v>125</v>
      </c>
      <c r="C155" s="68">
        <f>SUM(C153:C154)</f>
        <v>18641</v>
      </c>
      <c r="D155" s="68">
        <f t="shared" ref="D155" si="20">SUM(D153:D154)</f>
        <v>0</v>
      </c>
      <c r="E155" s="68">
        <f t="shared" ref="E155" si="21">SUM(E153:E154)</f>
        <v>0</v>
      </c>
      <c r="F155" s="68">
        <f t="shared" ref="F155" si="22">SUM(F153:F154)</f>
        <v>0</v>
      </c>
      <c r="G155" s="68">
        <f t="shared" ref="G155" si="23">SUM(G153:G154)</f>
        <v>0</v>
      </c>
      <c r="H155" s="68">
        <f t="shared" ref="H155" si="24">SUM(H153:H154)</f>
        <v>62</v>
      </c>
      <c r="I155" s="68">
        <f t="shared" ref="I155" si="25">SUM(I153:I154)</f>
        <v>18703</v>
      </c>
    </row>
    <row r="156" spans="1:14" x14ac:dyDescent="0.2">
      <c r="A156" s="3"/>
    </row>
    <row r="157" spans="1:14" x14ac:dyDescent="0.2">
      <c r="A157" s="77">
        <f>1+A155</f>
        <v>31</v>
      </c>
      <c r="B157" s="168" t="s">
        <v>21</v>
      </c>
      <c r="C157" s="58"/>
      <c r="D157" s="58"/>
      <c r="E157" s="58"/>
      <c r="F157" s="58"/>
      <c r="G157" s="58"/>
      <c r="H157" s="58"/>
      <c r="I157" s="36"/>
    </row>
    <row r="158" spans="1:14" x14ac:dyDescent="0.2">
      <c r="A158" s="3"/>
      <c r="K158" s="3"/>
    </row>
    <row r="159" spans="1:14" x14ac:dyDescent="0.2">
      <c r="A159" s="77">
        <f>A157+1</f>
        <v>32</v>
      </c>
      <c r="B159" s="167" t="s">
        <v>349</v>
      </c>
      <c r="C159" s="200">
        <v>420</v>
      </c>
      <c r="D159" s="35">
        <v>0</v>
      </c>
      <c r="E159" s="35">
        <v>0</v>
      </c>
      <c r="F159" s="35">
        <v>0</v>
      </c>
      <c r="G159" s="35">
        <v>0</v>
      </c>
      <c r="H159" s="209">
        <v>1</v>
      </c>
      <c r="I159" s="36">
        <f>SUM(C159:H159)</f>
        <v>421</v>
      </c>
      <c r="K159" s="153" t="s">
        <v>474</v>
      </c>
      <c r="N159" s="154"/>
    </row>
    <row r="160" spans="1:14" x14ac:dyDescent="0.2">
      <c r="A160" s="134">
        <f>A159+1</f>
        <v>33</v>
      </c>
      <c r="B160" s="166" t="s">
        <v>149</v>
      </c>
      <c r="C160" s="201">
        <v>0</v>
      </c>
      <c r="D160" s="87">
        <v>0</v>
      </c>
      <c r="E160" s="87">
        <v>0</v>
      </c>
      <c r="F160" s="87">
        <v>0</v>
      </c>
      <c r="G160" s="87">
        <v>0</v>
      </c>
      <c r="H160" s="314">
        <v>0</v>
      </c>
      <c r="I160" s="39">
        <f>SUM(C160:H160)</f>
        <v>0</v>
      </c>
    </row>
    <row r="161" spans="1:14" x14ac:dyDescent="0.2">
      <c r="A161" s="77">
        <f>A160+1</f>
        <v>34</v>
      </c>
      <c r="B161" s="153" t="s">
        <v>126</v>
      </c>
      <c r="C161" s="68">
        <f>SUM(C159:C160)</f>
        <v>420</v>
      </c>
      <c r="D161" s="68">
        <f t="shared" ref="D161" si="26">SUM(D159:D160)</f>
        <v>0</v>
      </c>
      <c r="E161" s="68">
        <f t="shared" ref="E161" si="27">SUM(E159:E160)</f>
        <v>0</v>
      </c>
      <c r="F161" s="68">
        <f t="shared" ref="F161" si="28">SUM(F159:F160)</f>
        <v>0</v>
      </c>
      <c r="G161" s="68">
        <f t="shared" ref="G161" si="29">SUM(G159:G160)</f>
        <v>0</v>
      </c>
      <c r="H161" s="68">
        <f t="shared" ref="H161" si="30">SUM(H159:H160)</f>
        <v>1</v>
      </c>
      <c r="I161" s="68">
        <f t="shared" ref="I161" si="31">SUM(I159:I160)</f>
        <v>421</v>
      </c>
    </row>
    <row r="162" spans="1:14" x14ac:dyDescent="0.2">
      <c r="A162" s="3"/>
    </row>
    <row r="163" spans="1:14" x14ac:dyDescent="0.2">
      <c r="A163" s="77">
        <f>A161+1</f>
        <v>35</v>
      </c>
      <c r="B163" s="153" t="s">
        <v>556</v>
      </c>
      <c r="C163" s="36">
        <f>C155+C161</f>
        <v>19061</v>
      </c>
      <c r="D163" s="36">
        <f t="shared" ref="D163:I163" si="32">D155+D161</f>
        <v>0</v>
      </c>
      <c r="E163" s="36">
        <f t="shared" si="32"/>
        <v>0</v>
      </c>
      <c r="F163" s="36">
        <f t="shared" si="32"/>
        <v>0</v>
      </c>
      <c r="G163" s="36">
        <f t="shared" si="32"/>
        <v>0</v>
      </c>
      <c r="H163" s="36">
        <f t="shared" si="32"/>
        <v>63</v>
      </c>
      <c r="I163" s="36">
        <f t="shared" si="32"/>
        <v>19124</v>
      </c>
    </row>
    <row r="164" spans="1:14" x14ac:dyDescent="0.2">
      <c r="A164" s="3"/>
    </row>
    <row r="165" spans="1:14" x14ac:dyDescent="0.2">
      <c r="A165" s="77">
        <f>A163+1</f>
        <v>36</v>
      </c>
      <c r="B165" s="34" t="s">
        <v>115</v>
      </c>
      <c r="C165" s="12"/>
      <c r="D165" s="12"/>
      <c r="E165" s="12"/>
      <c r="F165" s="12"/>
      <c r="G165" s="12"/>
      <c r="H165" s="12"/>
      <c r="I165" s="12"/>
    </row>
    <row r="166" spans="1:14" x14ac:dyDescent="0.2">
      <c r="A166" s="77"/>
      <c r="C166" s="12"/>
      <c r="D166" s="12"/>
      <c r="E166" s="12"/>
      <c r="F166" s="12"/>
      <c r="G166" s="12"/>
      <c r="H166" s="12"/>
      <c r="I166" s="12"/>
    </row>
    <row r="167" spans="1:14" x14ac:dyDescent="0.2">
      <c r="A167" s="77">
        <f>A165+1</f>
        <v>37</v>
      </c>
      <c r="B167" s="168" t="s">
        <v>19</v>
      </c>
      <c r="C167" s="12"/>
      <c r="D167" s="12"/>
      <c r="E167" s="12"/>
      <c r="F167" s="12"/>
      <c r="G167" s="12"/>
      <c r="H167" s="12"/>
      <c r="I167" s="12"/>
    </row>
    <row r="168" spans="1:14" x14ac:dyDescent="0.2">
      <c r="A168" s="77"/>
      <c r="C168" s="12"/>
      <c r="D168" s="36"/>
      <c r="E168" s="36"/>
      <c r="F168" s="36"/>
      <c r="G168" s="36"/>
      <c r="H168" s="12"/>
      <c r="I168" s="36"/>
    </row>
    <row r="169" spans="1:14" x14ac:dyDescent="0.2">
      <c r="A169" s="77">
        <f>A167+1</f>
        <v>38</v>
      </c>
      <c r="B169" s="167" t="s">
        <v>351</v>
      </c>
      <c r="C169" s="200">
        <f>1673+24</f>
        <v>1697</v>
      </c>
      <c r="D169" s="36">
        <f>'Sch4'!E34</f>
        <v>0</v>
      </c>
      <c r="E169" s="35">
        <v>0</v>
      </c>
      <c r="F169" s="35">
        <v>0</v>
      </c>
      <c r="G169" s="35">
        <v>0</v>
      </c>
      <c r="H169" s="209">
        <v>7</v>
      </c>
      <c r="I169" s="36">
        <f>SUM(C169:H169)</f>
        <v>1704</v>
      </c>
      <c r="K169" s="153" t="s">
        <v>475</v>
      </c>
      <c r="N169" s="154"/>
    </row>
    <row r="170" spans="1:14" x14ac:dyDescent="0.2">
      <c r="A170" s="77">
        <f>A169+1</f>
        <v>39</v>
      </c>
      <c r="B170" s="167" t="s">
        <v>352</v>
      </c>
      <c r="C170" s="200">
        <f>1452+72</f>
        <v>1524</v>
      </c>
      <c r="D170" s="36">
        <f>'Sch4'!E35</f>
        <v>0</v>
      </c>
      <c r="E170" s="35">
        <v>0</v>
      </c>
      <c r="F170" s="35">
        <v>0</v>
      </c>
      <c r="G170" s="58">
        <v>0</v>
      </c>
      <c r="H170" s="200">
        <v>4</v>
      </c>
      <c r="I170" s="36">
        <f>SUM(C170:H170)</f>
        <v>1528</v>
      </c>
      <c r="K170" s="153" t="s">
        <v>476</v>
      </c>
      <c r="N170" s="154"/>
    </row>
    <row r="171" spans="1:14" x14ac:dyDescent="0.2">
      <c r="A171" s="77">
        <f>A170+1</f>
        <v>40</v>
      </c>
      <c r="B171" s="167" t="str">
        <f>$B$138</f>
        <v>Flex</v>
      </c>
      <c r="C171" s="201">
        <v>0</v>
      </c>
      <c r="D171" s="39">
        <f>'Sch4'!E36</f>
        <v>0</v>
      </c>
      <c r="E171" s="87">
        <v>0</v>
      </c>
      <c r="F171" s="87">
        <v>0</v>
      </c>
      <c r="G171" s="87">
        <v>0</v>
      </c>
      <c r="H171" s="314">
        <v>0</v>
      </c>
      <c r="I171" s="39">
        <f>SUM(C171:H171)</f>
        <v>0</v>
      </c>
    </row>
    <row r="172" spans="1:14" x14ac:dyDescent="0.2">
      <c r="A172" s="77"/>
      <c r="C172" s="58"/>
      <c r="D172" s="36"/>
      <c r="E172" s="36"/>
      <c r="F172" s="36"/>
      <c r="G172" s="36"/>
      <c r="H172" s="58"/>
      <c r="I172" s="36"/>
    </row>
    <row r="173" spans="1:14" x14ac:dyDescent="0.2">
      <c r="A173" s="77">
        <f>A171+1</f>
        <v>41</v>
      </c>
      <c r="B173" s="14" t="s">
        <v>127</v>
      </c>
      <c r="C173" s="68">
        <f>SUM(C169:C171)</f>
        <v>3221</v>
      </c>
      <c r="D173" s="68">
        <f t="shared" ref="D173:I173" si="33">SUM(D169:D171)</f>
        <v>0</v>
      </c>
      <c r="E173" s="68">
        <f t="shared" si="33"/>
        <v>0</v>
      </c>
      <c r="F173" s="68">
        <f t="shared" si="33"/>
        <v>0</v>
      </c>
      <c r="G173" s="68">
        <f t="shared" ref="G173" si="34">SUM(G169:G171)</f>
        <v>0</v>
      </c>
      <c r="H173" s="68">
        <f t="shared" si="33"/>
        <v>11</v>
      </c>
      <c r="I173" s="68">
        <f t="shared" si="33"/>
        <v>3232</v>
      </c>
    </row>
    <row r="174" spans="1:14" x14ac:dyDescent="0.2">
      <c r="A174" s="77"/>
      <c r="C174" s="58"/>
      <c r="D174" s="58"/>
      <c r="E174" s="58"/>
      <c r="F174" s="58"/>
      <c r="G174" s="58"/>
      <c r="H174" s="58"/>
      <c r="I174" s="58"/>
    </row>
    <row r="175" spans="1:14" x14ac:dyDescent="0.2">
      <c r="A175" s="77"/>
      <c r="C175" s="36"/>
      <c r="D175" s="36"/>
      <c r="E175" s="36"/>
      <c r="F175" s="36"/>
      <c r="G175" s="36"/>
      <c r="H175" s="36"/>
      <c r="I175" s="2" t="str">
        <f>adjno</f>
        <v>Exhibit No. 103</v>
      </c>
    </row>
    <row r="176" spans="1:14" x14ac:dyDescent="0.2">
      <c r="A176" s="356" t="str">
        <f>A2</f>
        <v>Columbia Gas of Pennsylvania, Inc.</v>
      </c>
      <c r="B176" s="356"/>
      <c r="C176" s="356"/>
      <c r="D176" s="356"/>
      <c r="E176" s="356"/>
      <c r="F176" s="356"/>
      <c r="G176" s="356"/>
      <c r="H176" s="356"/>
      <c r="I176" s="2" t="s">
        <v>193</v>
      </c>
    </row>
    <row r="177" spans="1:14" x14ac:dyDescent="0.2">
      <c r="A177" s="356" t="str">
        <f>A3</f>
        <v>Number of Bills</v>
      </c>
      <c r="B177" s="356"/>
      <c r="C177" s="356"/>
      <c r="D177" s="356"/>
      <c r="E177" s="356"/>
      <c r="F177" s="356"/>
      <c r="G177" s="356"/>
      <c r="H177" s="356"/>
      <c r="I177" s="2" t="s">
        <v>496</v>
      </c>
    </row>
    <row r="178" spans="1:14" x14ac:dyDescent="0.2">
      <c r="A178" s="356" t="str">
        <f>A4</f>
        <v>For the 12 Months Ended December 31, 2019</v>
      </c>
      <c r="B178" s="356"/>
      <c r="C178" s="356"/>
      <c r="D178" s="356"/>
      <c r="E178" s="356"/>
      <c r="F178" s="356"/>
      <c r="G178" s="356"/>
      <c r="H178" s="356"/>
      <c r="I178" s="4" t="str">
        <f>'Sch1'!$G$4</f>
        <v>Witness: D. Joe Mays</v>
      </c>
    </row>
    <row r="179" spans="1:14" x14ac:dyDescent="0.2">
      <c r="C179" s="6"/>
      <c r="I179" s="100"/>
    </row>
    <row r="180" spans="1:14" x14ac:dyDescent="0.2">
      <c r="D180" s="147" t="s">
        <v>0</v>
      </c>
      <c r="I180" s="6"/>
    </row>
    <row r="181" spans="1:14" x14ac:dyDescent="0.2">
      <c r="A181" s="215"/>
      <c r="B181" s="6"/>
      <c r="C181" s="6"/>
      <c r="D181" s="147" t="s">
        <v>1</v>
      </c>
      <c r="G181" s="147" t="s">
        <v>2</v>
      </c>
      <c r="H181" s="147"/>
      <c r="I181" s="6"/>
    </row>
    <row r="182" spans="1:14" x14ac:dyDescent="0.2">
      <c r="A182" s="215" t="s">
        <v>3</v>
      </c>
      <c r="B182" s="147"/>
      <c r="C182" s="147"/>
      <c r="D182" s="147" t="s">
        <v>4</v>
      </c>
      <c r="E182" s="357" t="s">
        <v>169</v>
      </c>
      <c r="F182" s="357"/>
      <c r="G182" s="147" t="s">
        <v>5</v>
      </c>
      <c r="H182" s="147" t="s">
        <v>168</v>
      </c>
      <c r="I182" s="198" t="s">
        <v>268</v>
      </c>
    </row>
    <row r="183" spans="1:14" x14ac:dyDescent="0.2">
      <c r="A183" s="172" t="s">
        <v>6</v>
      </c>
      <c r="B183" s="161" t="s">
        <v>7</v>
      </c>
      <c r="C183" s="172" t="s">
        <v>425</v>
      </c>
      <c r="D183" s="148" t="s">
        <v>8</v>
      </c>
      <c r="E183" s="129" t="s">
        <v>150</v>
      </c>
      <c r="F183" s="129" t="s">
        <v>10</v>
      </c>
      <c r="G183" s="148" t="s">
        <v>111</v>
      </c>
      <c r="H183" s="148" t="s">
        <v>35</v>
      </c>
      <c r="I183" s="148" t="s">
        <v>11</v>
      </c>
    </row>
    <row r="184" spans="1:14" x14ac:dyDescent="0.2">
      <c r="C184" s="147" t="s">
        <v>12</v>
      </c>
      <c r="D184" s="147" t="s">
        <v>13</v>
      </c>
      <c r="E184" s="150" t="s">
        <v>32</v>
      </c>
      <c r="F184" s="150" t="s">
        <v>14</v>
      </c>
      <c r="G184" s="195" t="s">
        <v>15</v>
      </c>
      <c r="H184" s="195" t="s">
        <v>16</v>
      </c>
      <c r="I184" s="195" t="s">
        <v>421</v>
      </c>
    </row>
    <row r="185" spans="1:14" x14ac:dyDescent="0.2">
      <c r="D185" s="9" t="s">
        <v>276</v>
      </c>
      <c r="E185" s="9" t="s">
        <v>276</v>
      </c>
      <c r="F185" s="9" t="s">
        <v>276</v>
      </c>
      <c r="G185" s="9"/>
    </row>
    <row r="186" spans="1:14" s="153" customFormat="1" x14ac:dyDescent="0.2">
      <c r="A186" s="77"/>
      <c r="C186" s="58"/>
      <c r="D186" s="58"/>
      <c r="E186" s="58"/>
      <c r="F186" s="58"/>
      <c r="G186" s="58"/>
      <c r="H186" s="58"/>
      <c r="I186" s="58"/>
    </row>
    <row r="187" spans="1:14" s="153" customFormat="1" x14ac:dyDescent="0.2">
      <c r="A187" s="77">
        <v>1</v>
      </c>
      <c r="B187" s="168" t="s">
        <v>21</v>
      </c>
      <c r="C187" s="58"/>
      <c r="D187" s="58"/>
      <c r="E187" s="58"/>
      <c r="F187" s="58"/>
      <c r="G187" s="58"/>
      <c r="H187" s="58"/>
      <c r="I187" s="58"/>
      <c r="J187" s="3"/>
    </row>
    <row r="188" spans="1:14" s="153" customFormat="1" x14ac:dyDescent="0.2">
      <c r="A188" s="77"/>
      <c r="B188" s="3"/>
      <c r="C188" s="58"/>
      <c r="D188" s="58"/>
      <c r="E188" s="58"/>
      <c r="F188" s="58"/>
      <c r="G188" s="58"/>
      <c r="H188" s="58"/>
      <c r="I188" s="58"/>
      <c r="J188" s="3"/>
    </row>
    <row r="189" spans="1:14" s="153" customFormat="1" x14ac:dyDescent="0.2">
      <c r="A189" s="77">
        <f>A187+1</f>
        <v>2</v>
      </c>
      <c r="B189" s="167" t="s">
        <v>351</v>
      </c>
      <c r="C189" s="200">
        <v>228</v>
      </c>
      <c r="D189" s="35">
        <v>0</v>
      </c>
      <c r="E189" s="35">
        <v>0</v>
      </c>
      <c r="F189" s="35">
        <v>0</v>
      </c>
      <c r="G189" s="35">
        <v>0</v>
      </c>
      <c r="H189" s="209">
        <v>1</v>
      </c>
      <c r="I189" s="36">
        <f>SUM(C189:H189)</f>
        <v>229</v>
      </c>
      <c r="J189" s="3"/>
      <c r="K189" s="153" t="s">
        <v>475</v>
      </c>
      <c r="L189" s="154">
        <f>C169+C189</f>
        <v>1925</v>
      </c>
      <c r="N189" s="154"/>
    </row>
    <row r="190" spans="1:14" s="153" customFormat="1" x14ac:dyDescent="0.2">
      <c r="A190" s="77">
        <f>A189+1</f>
        <v>3</v>
      </c>
      <c r="B190" s="167" t="s">
        <v>352</v>
      </c>
      <c r="C190" s="200">
        <f>876+12</f>
        <v>888</v>
      </c>
      <c r="D190" s="35">
        <v>0</v>
      </c>
      <c r="E190" s="35">
        <v>0</v>
      </c>
      <c r="F190" s="35">
        <v>0</v>
      </c>
      <c r="G190" s="35">
        <v>0</v>
      </c>
      <c r="H190" s="200">
        <v>1</v>
      </c>
      <c r="I190" s="36">
        <f>SUM(C190:H190)</f>
        <v>889</v>
      </c>
      <c r="J190" s="3"/>
      <c r="K190" s="153" t="s">
        <v>476</v>
      </c>
      <c r="L190" s="154">
        <f>C170+C190</f>
        <v>2412</v>
      </c>
      <c r="N190" s="154"/>
    </row>
    <row r="191" spans="1:14" s="153" customFormat="1" x14ac:dyDescent="0.2">
      <c r="A191" s="77">
        <f>A190+1</f>
        <v>4</v>
      </c>
      <c r="B191" s="167" t="str">
        <f>$B$138</f>
        <v>Flex</v>
      </c>
      <c r="C191" s="201">
        <v>0</v>
      </c>
      <c r="D191" s="87">
        <v>0</v>
      </c>
      <c r="E191" s="87">
        <v>0</v>
      </c>
      <c r="F191" s="87">
        <v>0</v>
      </c>
      <c r="G191" s="87">
        <v>0</v>
      </c>
      <c r="H191" s="314">
        <v>0</v>
      </c>
      <c r="I191" s="39">
        <f>SUM(C191:H191)</f>
        <v>0</v>
      </c>
      <c r="J191" s="3"/>
    </row>
    <row r="192" spans="1:14" s="153" customFormat="1" x14ac:dyDescent="0.2">
      <c r="A192" s="77"/>
      <c r="B192" s="3"/>
      <c r="C192" s="58"/>
      <c r="D192" s="36"/>
      <c r="E192" s="36"/>
      <c r="F192" s="36"/>
      <c r="G192" s="36"/>
      <c r="H192" s="58"/>
      <c r="I192" s="36"/>
      <c r="J192" s="3"/>
    </row>
    <row r="193" spans="1:14" s="153" customFormat="1" x14ac:dyDescent="0.2">
      <c r="A193" s="77">
        <f>A191+1</f>
        <v>5</v>
      </c>
      <c r="B193" s="14" t="s">
        <v>128</v>
      </c>
      <c r="C193" s="68">
        <f>SUM(C189:C191)</f>
        <v>1116</v>
      </c>
      <c r="D193" s="68">
        <f t="shared" ref="D193:I193" si="35">SUM(D189:D191)</f>
        <v>0</v>
      </c>
      <c r="E193" s="68">
        <f t="shared" si="35"/>
        <v>0</v>
      </c>
      <c r="F193" s="68">
        <f t="shared" si="35"/>
        <v>0</v>
      </c>
      <c r="G193" s="68">
        <f t="shared" ref="G193" si="36">SUM(G189:G191)</f>
        <v>0</v>
      </c>
      <c r="H193" s="68">
        <f t="shared" si="35"/>
        <v>2</v>
      </c>
      <c r="I193" s="68">
        <f t="shared" si="35"/>
        <v>1118</v>
      </c>
      <c r="J193" s="3"/>
    </row>
    <row r="194" spans="1:14" s="153" customFormat="1" x14ac:dyDescent="0.2">
      <c r="A194" s="77"/>
      <c r="B194" s="3"/>
      <c r="C194" s="12"/>
      <c r="D194" s="12"/>
      <c r="E194" s="12"/>
      <c r="F194" s="12"/>
      <c r="G194" s="12"/>
      <c r="H194" s="12"/>
      <c r="I194" s="12"/>
      <c r="J194" s="3"/>
    </row>
    <row r="195" spans="1:14" s="153" customFormat="1" x14ac:dyDescent="0.2">
      <c r="A195" s="77">
        <f>A193+1</f>
        <v>6</v>
      </c>
      <c r="B195" s="14" t="s">
        <v>117</v>
      </c>
      <c r="C195" s="36">
        <f>C173+C193</f>
        <v>4337</v>
      </c>
      <c r="D195" s="36">
        <f t="shared" ref="D195:I195" si="37">D173+D193</f>
        <v>0</v>
      </c>
      <c r="E195" s="36">
        <f t="shared" si="37"/>
        <v>0</v>
      </c>
      <c r="F195" s="36">
        <f t="shared" si="37"/>
        <v>0</v>
      </c>
      <c r="G195" s="36">
        <f t="shared" si="37"/>
        <v>0</v>
      </c>
      <c r="H195" s="36">
        <f t="shared" si="37"/>
        <v>13</v>
      </c>
      <c r="I195" s="36">
        <f t="shared" si="37"/>
        <v>4350</v>
      </c>
      <c r="J195" s="3"/>
    </row>
    <row r="196" spans="1:14" s="153" customFormat="1" x14ac:dyDescent="0.2">
      <c r="A196" s="77"/>
      <c r="C196" s="58"/>
      <c r="D196" s="58"/>
      <c r="E196" s="58"/>
      <c r="F196" s="58"/>
      <c r="G196" s="58"/>
      <c r="H196" s="58"/>
      <c r="I196" s="58"/>
    </row>
    <row r="197" spans="1:14" s="153" customFormat="1" x14ac:dyDescent="0.2">
      <c r="A197" s="77">
        <f>A195+1</f>
        <v>7</v>
      </c>
      <c r="B197" s="34" t="s">
        <v>116</v>
      </c>
      <c r="C197" s="12"/>
      <c r="D197" s="12"/>
      <c r="E197" s="12"/>
      <c r="F197" s="12"/>
      <c r="G197" s="12"/>
      <c r="H197" s="12"/>
      <c r="I197" s="12"/>
      <c r="J197" s="3"/>
    </row>
    <row r="198" spans="1:14" s="153" customFormat="1" x14ac:dyDescent="0.2">
      <c r="A198" s="77"/>
      <c r="B198" s="3"/>
      <c r="C198" s="12"/>
      <c r="D198" s="12"/>
      <c r="E198" s="12"/>
      <c r="F198" s="12"/>
      <c r="G198" s="12"/>
      <c r="H198" s="12"/>
      <c r="I198" s="12"/>
      <c r="J198" s="3"/>
    </row>
    <row r="199" spans="1:14" s="153" customFormat="1" x14ac:dyDescent="0.2">
      <c r="A199" s="77">
        <f>A197+1</f>
        <v>8</v>
      </c>
      <c r="B199" s="168" t="s">
        <v>19</v>
      </c>
      <c r="C199" s="12"/>
      <c r="D199" s="12"/>
      <c r="E199" s="12"/>
      <c r="F199" s="12"/>
      <c r="G199" s="12"/>
      <c r="H199" s="12"/>
      <c r="I199" s="12"/>
      <c r="J199" s="3"/>
    </row>
    <row r="200" spans="1:14" s="153" customFormat="1" x14ac:dyDescent="0.2">
      <c r="A200" s="77"/>
      <c r="B200" s="3"/>
      <c r="C200" s="12"/>
      <c r="D200" s="36"/>
      <c r="E200" s="36"/>
      <c r="F200" s="36"/>
      <c r="G200" s="36"/>
      <c r="H200" s="12"/>
      <c r="I200" s="36"/>
      <c r="J200" s="3"/>
    </row>
    <row r="201" spans="1:14" s="153" customFormat="1" x14ac:dyDescent="0.2">
      <c r="A201" s="77">
        <f>A199+1</f>
        <v>9</v>
      </c>
      <c r="B201" s="167" t="s">
        <v>285</v>
      </c>
      <c r="C201" s="200">
        <v>228</v>
      </c>
      <c r="D201" s="35">
        <v>0</v>
      </c>
      <c r="E201" s="35">
        <v>0</v>
      </c>
      <c r="F201" s="35">
        <v>0</v>
      </c>
      <c r="G201" s="35">
        <v>0</v>
      </c>
      <c r="H201" s="209">
        <v>1</v>
      </c>
      <c r="I201" s="36">
        <f>SUM(C201:H201)</f>
        <v>229</v>
      </c>
      <c r="J201" s="3"/>
      <c r="K201" s="153" t="s">
        <v>477</v>
      </c>
      <c r="N201" s="154"/>
    </row>
    <row r="202" spans="1:14" s="153" customFormat="1" x14ac:dyDescent="0.2">
      <c r="A202" s="77">
        <f>A201+1</f>
        <v>10</v>
      </c>
      <c r="B202" s="167" t="s">
        <v>282</v>
      </c>
      <c r="C202" s="200">
        <v>72</v>
      </c>
      <c r="D202" s="36">
        <f>'Sch4'!E40</f>
        <v>0</v>
      </c>
      <c r="E202" s="35">
        <v>0</v>
      </c>
      <c r="F202" s="35">
        <v>0</v>
      </c>
      <c r="G202" s="35">
        <v>0</v>
      </c>
      <c r="H202" s="209">
        <v>0</v>
      </c>
      <c r="I202" s="36">
        <f>SUM(C202:H202)</f>
        <v>72</v>
      </c>
      <c r="J202" s="3"/>
      <c r="K202" s="153" t="s">
        <v>478</v>
      </c>
      <c r="N202" s="154"/>
    </row>
    <row r="203" spans="1:14" s="153" customFormat="1" x14ac:dyDescent="0.2">
      <c r="A203" s="77">
        <f>A202+1</f>
        <v>11</v>
      </c>
      <c r="B203" s="167" t="s">
        <v>283</v>
      </c>
      <c r="C203" s="200">
        <v>0</v>
      </c>
      <c r="D203" s="35">
        <v>0</v>
      </c>
      <c r="E203" s="35">
        <v>0</v>
      </c>
      <c r="F203" s="35">
        <v>0</v>
      </c>
      <c r="G203" s="35">
        <v>0</v>
      </c>
      <c r="H203" s="209">
        <v>0</v>
      </c>
      <c r="I203" s="36">
        <f>SUM(C203:H203)</f>
        <v>0</v>
      </c>
      <c r="J203" s="3"/>
      <c r="K203" s="153" t="s">
        <v>628</v>
      </c>
    </row>
    <row r="204" spans="1:14" s="153" customFormat="1" x14ac:dyDescent="0.2">
      <c r="A204" s="77">
        <f t="shared" ref="A204:A205" si="38">A203+1</f>
        <v>12</v>
      </c>
      <c r="B204" s="167" t="s">
        <v>286</v>
      </c>
      <c r="C204" s="200">
        <v>0</v>
      </c>
      <c r="D204" s="35">
        <v>0</v>
      </c>
      <c r="E204" s="35">
        <v>0</v>
      </c>
      <c r="F204" s="35">
        <v>0</v>
      </c>
      <c r="G204" s="35">
        <v>0</v>
      </c>
      <c r="H204" s="209">
        <v>0</v>
      </c>
      <c r="I204" s="36">
        <f>SUM(C204:H204)</f>
        <v>0</v>
      </c>
      <c r="J204" s="3"/>
      <c r="K204" s="153" t="s">
        <v>579</v>
      </c>
    </row>
    <row r="205" spans="1:14" s="153" customFormat="1" x14ac:dyDescent="0.2">
      <c r="A205" s="77">
        <f t="shared" si="38"/>
        <v>13</v>
      </c>
      <c r="B205" s="167" t="str">
        <f>$B$138</f>
        <v>Flex</v>
      </c>
      <c r="C205" s="201">
        <v>12</v>
      </c>
      <c r="D205" s="87">
        <v>0</v>
      </c>
      <c r="E205" s="87">
        <v>0</v>
      </c>
      <c r="F205" s="87">
        <v>0</v>
      </c>
      <c r="G205" s="87">
        <v>0</v>
      </c>
      <c r="H205" s="314">
        <v>0</v>
      </c>
      <c r="I205" s="39">
        <f>SUM(C205:H205)</f>
        <v>12</v>
      </c>
      <c r="J205" s="3"/>
    </row>
    <row r="206" spans="1:14" s="153" customFormat="1" x14ac:dyDescent="0.2">
      <c r="A206" s="77"/>
      <c r="B206" s="3"/>
      <c r="C206" s="36"/>
      <c r="D206" s="36"/>
      <c r="E206" s="36"/>
      <c r="F206" s="36"/>
      <c r="G206" s="36"/>
      <c r="H206" s="58"/>
      <c r="I206" s="36"/>
      <c r="J206" s="3"/>
    </row>
    <row r="207" spans="1:14" s="153" customFormat="1" x14ac:dyDescent="0.2">
      <c r="A207" s="77">
        <f>A205+1</f>
        <v>14</v>
      </c>
      <c r="B207" s="14" t="s">
        <v>217</v>
      </c>
      <c r="C207" s="36">
        <f>SUM(C201:C205)</f>
        <v>312</v>
      </c>
      <c r="D207" s="36">
        <f t="shared" ref="D207:I207" si="39">SUM(D201:D205)</f>
        <v>0</v>
      </c>
      <c r="E207" s="36">
        <f t="shared" si="39"/>
        <v>0</v>
      </c>
      <c r="F207" s="36">
        <f t="shared" si="39"/>
        <v>0</v>
      </c>
      <c r="G207" s="36">
        <f t="shared" ref="G207" si="40">SUM(G201:G205)</f>
        <v>0</v>
      </c>
      <c r="H207" s="36">
        <f t="shared" si="39"/>
        <v>1</v>
      </c>
      <c r="I207" s="36">
        <f t="shared" si="39"/>
        <v>313</v>
      </c>
      <c r="J207" s="3"/>
    </row>
    <row r="208" spans="1:14" s="153" customFormat="1" x14ac:dyDescent="0.2">
      <c r="A208" s="77"/>
      <c r="C208" s="58"/>
      <c r="D208" s="58"/>
      <c r="E208" s="58"/>
      <c r="F208" s="58"/>
      <c r="G208" s="58"/>
      <c r="H208" s="58"/>
      <c r="I208" s="58"/>
    </row>
    <row r="209" spans="1:14" s="153" customFormat="1" x14ac:dyDescent="0.2">
      <c r="A209" s="77">
        <f>A207+1</f>
        <v>15</v>
      </c>
      <c r="B209" s="34" t="s">
        <v>116</v>
      </c>
      <c r="C209" s="154"/>
      <c r="D209" s="154"/>
      <c r="E209" s="154"/>
      <c r="F209" s="154"/>
      <c r="G209" s="154"/>
      <c r="H209" s="154"/>
      <c r="I209" s="154"/>
    </row>
    <row r="210" spans="1:14" s="153" customFormat="1" x14ac:dyDescent="0.2">
      <c r="A210" s="77"/>
      <c r="C210" s="58"/>
      <c r="D210" s="58"/>
      <c r="E210" s="58"/>
      <c r="F210" s="58"/>
      <c r="G210" s="58"/>
      <c r="H210" s="58"/>
      <c r="I210" s="58"/>
    </row>
    <row r="211" spans="1:14" x14ac:dyDescent="0.2">
      <c r="A211" s="77">
        <f>A209+1</f>
        <v>16</v>
      </c>
      <c r="B211" s="168" t="s">
        <v>21</v>
      </c>
      <c r="C211" s="58"/>
      <c r="I211" s="58"/>
    </row>
    <row r="212" spans="1:14" x14ac:dyDescent="0.2">
      <c r="A212" s="77"/>
      <c r="C212" s="58"/>
      <c r="D212" s="39"/>
      <c r="E212" s="39"/>
      <c r="F212" s="39"/>
      <c r="G212" s="39"/>
      <c r="H212" s="65"/>
      <c r="I212" s="58"/>
      <c r="N212" s="154"/>
    </row>
    <row r="213" spans="1:14" x14ac:dyDescent="0.2">
      <c r="A213" s="77">
        <f>A211+1</f>
        <v>17</v>
      </c>
      <c r="B213" s="167" t="s">
        <v>285</v>
      </c>
      <c r="C213" s="200">
        <f>288+12</f>
        <v>300</v>
      </c>
      <c r="D213" s="35">
        <f>'Sch4'!E64</f>
        <v>0</v>
      </c>
      <c r="E213" s="35">
        <v>0</v>
      </c>
      <c r="F213" s="35">
        <v>0</v>
      </c>
      <c r="G213" s="35">
        <v>0</v>
      </c>
      <c r="H213" s="209">
        <v>1</v>
      </c>
      <c r="I213" s="36">
        <f>SUM(C213:H213)</f>
        <v>301</v>
      </c>
      <c r="K213" s="153" t="s">
        <v>477</v>
      </c>
      <c r="L213" s="154">
        <f>C201+C213</f>
        <v>528</v>
      </c>
      <c r="N213" s="154"/>
    </row>
    <row r="214" spans="1:14" x14ac:dyDescent="0.2">
      <c r="A214" s="77">
        <f>A213+1</f>
        <v>18</v>
      </c>
      <c r="B214" s="167" t="s">
        <v>282</v>
      </c>
      <c r="C214" s="200">
        <f>228+12</f>
        <v>240</v>
      </c>
      <c r="D214" s="36">
        <f>'Sch4'!E65</f>
        <v>0</v>
      </c>
      <c r="E214" s="35">
        <v>0</v>
      </c>
      <c r="F214" s="35">
        <v>0</v>
      </c>
      <c r="G214" s="35">
        <v>0</v>
      </c>
      <c r="H214" s="209">
        <v>0</v>
      </c>
      <c r="I214" s="36">
        <f>SUM(C214:H214)</f>
        <v>240</v>
      </c>
      <c r="K214" s="153" t="s">
        <v>478</v>
      </c>
      <c r="L214" s="154">
        <f t="shared" ref="L214:L216" si="41">C202+C214</f>
        <v>312</v>
      </c>
      <c r="N214" s="154"/>
    </row>
    <row r="215" spans="1:14" x14ac:dyDescent="0.2">
      <c r="A215" s="77">
        <f>A214+1</f>
        <v>19</v>
      </c>
      <c r="B215" s="167" t="s">
        <v>283</v>
      </c>
      <c r="C215" s="200">
        <f>36+24</f>
        <v>60</v>
      </c>
      <c r="D215" s="35">
        <v>0</v>
      </c>
      <c r="E215" s="35">
        <v>0</v>
      </c>
      <c r="F215" s="35">
        <v>0</v>
      </c>
      <c r="G215" s="35">
        <v>0</v>
      </c>
      <c r="H215" s="209">
        <v>0</v>
      </c>
      <c r="I215" s="36">
        <f>SUM(C215:H215)</f>
        <v>60</v>
      </c>
      <c r="K215" s="153" t="s">
        <v>628</v>
      </c>
      <c r="L215" s="154">
        <f t="shared" si="41"/>
        <v>60</v>
      </c>
      <c r="N215" s="154"/>
    </row>
    <row r="216" spans="1:14" x14ac:dyDescent="0.2">
      <c r="A216" s="77">
        <f t="shared" ref="A216:A217" si="42">A215+1</f>
        <v>20</v>
      </c>
      <c r="B216" s="167" t="s">
        <v>286</v>
      </c>
      <c r="C216" s="200">
        <v>12</v>
      </c>
      <c r="D216" s="35">
        <v>0</v>
      </c>
      <c r="E216" s="35">
        <v>0</v>
      </c>
      <c r="F216" s="35">
        <v>0</v>
      </c>
      <c r="G216" s="35">
        <v>0</v>
      </c>
      <c r="H216" s="209">
        <v>0</v>
      </c>
      <c r="I216" s="36">
        <f>SUM(C216:H216)</f>
        <v>12</v>
      </c>
      <c r="K216" s="153" t="s">
        <v>579</v>
      </c>
      <c r="L216" s="154">
        <f t="shared" si="41"/>
        <v>12</v>
      </c>
      <c r="N216" s="154"/>
    </row>
    <row r="217" spans="1:14" x14ac:dyDescent="0.2">
      <c r="A217" s="77">
        <f t="shared" si="42"/>
        <v>21</v>
      </c>
      <c r="B217" s="167" t="str">
        <f>$B$138</f>
        <v>Flex</v>
      </c>
      <c r="C217" s="201">
        <v>156</v>
      </c>
      <c r="D217" s="87">
        <v>0</v>
      </c>
      <c r="E217" s="87">
        <v>0</v>
      </c>
      <c r="F217" s="87">
        <v>0</v>
      </c>
      <c r="G217" s="87">
        <v>0</v>
      </c>
      <c r="H217" s="314">
        <v>0</v>
      </c>
      <c r="I217" s="39">
        <f>SUM(C217:H217)</f>
        <v>156</v>
      </c>
    </row>
    <row r="218" spans="1:14" x14ac:dyDescent="0.2">
      <c r="A218" s="77"/>
      <c r="C218" s="36"/>
      <c r="D218" s="39"/>
      <c r="E218" s="39"/>
      <c r="F218" s="39"/>
      <c r="G218" s="39"/>
      <c r="H218" s="65"/>
      <c r="I218" s="36"/>
    </row>
    <row r="219" spans="1:14" x14ac:dyDescent="0.2">
      <c r="A219" s="77">
        <f>A217+1</f>
        <v>22</v>
      </c>
      <c r="B219" s="14" t="s">
        <v>218</v>
      </c>
      <c r="C219" s="36">
        <f>SUM(C213:C217)</f>
        <v>768</v>
      </c>
      <c r="D219" s="36">
        <f t="shared" ref="D219:I219" si="43">SUM(D213:D217)</f>
        <v>0</v>
      </c>
      <c r="E219" s="36">
        <f t="shared" si="43"/>
        <v>0</v>
      </c>
      <c r="F219" s="36">
        <f t="shared" si="43"/>
        <v>0</v>
      </c>
      <c r="G219" s="36">
        <f t="shared" ref="G219" si="44">SUM(G213:G217)</f>
        <v>0</v>
      </c>
      <c r="H219" s="36">
        <f t="shared" si="43"/>
        <v>1</v>
      </c>
      <c r="I219" s="36">
        <f t="shared" si="43"/>
        <v>769</v>
      </c>
    </row>
    <row r="220" spans="1:14" x14ac:dyDescent="0.2">
      <c r="A220" s="77"/>
      <c r="C220" s="36"/>
      <c r="D220" s="36"/>
      <c r="E220" s="36"/>
      <c r="F220" s="36"/>
      <c r="G220" s="36"/>
      <c r="H220" s="36"/>
      <c r="I220" s="36"/>
    </row>
    <row r="221" spans="1:14" x14ac:dyDescent="0.2">
      <c r="A221" s="77">
        <f>A219+1</f>
        <v>23</v>
      </c>
      <c r="B221" s="14" t="s">
        <v>118</v>
      </c>
      <c r="C221" s="36">
        <f>C207+C219</f>
        <v>1080</v>
      </c>
      <c r="D221" s="36">
        <f t="shared" ref="D221:I221" si="45">D207+D219</f>
        <v>0</v>
      </c>
      <c r="E221" s="36">
        <f t="shared" si="45"/>
        <v>0</v>
      </c>
      <c r="F221" s="36">
        <f t="shared" si="45"/>
        <v>0</v>
      </c>
      <c r="G221" s="36">
        <f t="shared" si="45"/>
        <v>0</v>
      </c>
      <c r="H221" s="36">
        <f t="shared" si="45"/>
        <v>2</v>
      </c>
      <c r="I221" s="36">
        <f t="shared" si="45"/>
        <v>1082</v>
      </c>
    </row>
    <row r="223" spans="1:14" x14ac:dyDescent="0.2">
      <c r="A223" s="77">
        <f>A221+1</f>
        <v>24</v>
      </c>
      <c r="B223" s="34" t="s">
        <v>143</v>
      </c>
      <c r="C223" s="12"/>
      <c r="D223" s="12"/>
      <c r="E223" s="12"/>
      <c r="F223" s="12"/>
      <c r="G223" s="12"/>
      <c r="H223" s="12"/>
      <c r="I223" s="12"/>
    </row>
    <row r="224" spans="1:14" x14ac:dyDescent="0.2">
      <c r="A224" s="77"/>
      <c r="C224" s="12"/>
      <c r="D224" s="12"/>
      <c r="E224" s="12"/>
      <c r="F224" s="12"/>
      <c r="G224" s="12"/>
      <c r="H224" s="12"/>
      <c r="I224" s="12"/>
    </row>
    <row r="225" spans="1:14" x14ac:dyDescent="0.2">
      <c r="A225" s="77">
        <f>A223+1</f>
        <v>25</v>
      </c>
      <c r="B225" s="168" t="s">
        <v>19</v>
      </c>
      <c r="C225" s="12"/>
      <c r="D225" s="12"/>
      <c r="E225" s="12"/>
      <c r="F225" s="12"/>
      <c r="G225" s="12"/>
      <c r="H225" s="12"/>
      <c r="I225" s="12"/>
    </row>
    <row r="226" spans="1:14" x14ac:dyDescent="0.2">
      <c r="A226" s="77"/>
      <c r="C226" s="12"/>
      <c r="D226" s="12"/>
      <c r="E226" s="12"/>
      <c r="F226" s="12"/>
      <c r="G226" s="12"/>
      <c r="H226" s="12"/>
      <c r="I226" s="12"/>
    </row>
    <row r="227" spans="1:14" x14ac:dyDescent="0.2">
      <c r="A227" s="134">
        <f>A225+1</f>
        <v>26</v>
      </c>
      <c r="B227" s="167" t="s">
        <v>359</v>
      </c>
      <c r="C227" s="200">
        <v>0</v>
      </c>
      <c r="D227" s="35">
        <v>0</v>
      </c>
      <c r="E227" s="35">
        <v>0</v>
      </c>
      <c r="F227" s="35">
        <v>0</v>
      </c>
      <c r="G227" s="35">
        <v>0</v>
      </c>
      <c r="H227" s="209">
        <v>0</v>
      </c>
      <c r="I227" s="36">
        <f>SUM(C227:H227)</f>
        <v>0</v>
      </c>
    </row>
    <row r="228" spans="1:14" x14ac:dyDescent="0.2">
      <c r="A228" s="134">
        <f t="shared" ref="A228:A233" si="46">A227+1</f>
        <v>27</v>
      </c>
      <c r="B228" s="167" t="s">
        <v>281</v>
      </c>
      <c r="C228" s="200">
        <v>0</v>
      </c>
      <c r="D228" s="35">
        <v>0</v>
      </c>
      <c r="E228" s="35">
        <v>0</v>
      </c>
      <c r="F228" s="35">
        <v>0</v>
      </c>
      <c r="G228" s="35">
        <v>0</v>
      </c>
      <c r="H228" s="209">
        <v>2</v>
      </c>
      <c r="I228" s="36">
        <f>SUM(C228:H228)</f>
        <v>2</v>
      </c>
      <c r="K228" s="153" t="s">
        <v>479</v>
      </c>
    </row>
    <row r="229" spans="1:14" x14ac:dyDescent="0.2">
      <c r="A229" s="134">
        <f t="shared" si="46"/>
        <v>28</v>
      </c>
      <c r="B229" s="167" t="s">
        <v>282</v>
      </c>
      <c r="C229" s="200">
        <v>12</v>
      </c>
      <c r="D229" s="35">
        <v>0</v>
      </c>
      <c r="E229" s="35">
        <v>0</v>
      </c>
      <c r="F229" s="35">
        <v>0</v>
      </c>
      <c r="G229" s="35">
        <v>0</v>
      </c>
      <c r="H229" s="209">
        <v>0</v>
      </c>
      <c r="I229" s="36">
        <f>SUM(C229:H229)</f>
        <v>12</v>
      </c>
      <c r="K229" s="153" t="s">
        <v>583</v>
      </c>
      <c r="N229" s="154"/>
    </row>
    <row r="230" spans="1:14" x14ac:dyDescent="0.2">
      <c r="A230" s="134">
        <f t="shared" si="46"/>
        <v>29</v>
      </c>
      <c r="B230" s="167" t="s">
        <v>283</v>
      </c>
      <c r="C230" s="200">
        <v>0</v>
      </c>
      <c r="D230" s="35">
        <v>0</v>
      </c>
      <c r="E230" s="35">
        <v>0</v>
      </c>
      <c r="F230" s="35">
        <v>0</v>
      </c>
      <c r="G230" s="35">
        <v>0</v>
      </c>
      <c r="H230" s="209">
        <v>0</v>
      </c>
      <c r="I230" s="36">
        <f>SUM(C230:H230)</f>
        <v>0</v>
      </c>
    </row>
    <row r="231" spans="1:14" x14ac:dyDescent="0.2">
      <c r="A231" s="134">
        <f t="shared" si="46"/>
        <v>30</v>
      </c>
      <c r="B231" s="167" t="s">
        <v>286</v>
      </c>
      <c r="C231" s="201">
        <v>0</v>
      </c>
      <c r="D231" s="87">
        <v>0</v>
      </c>
      <c r="E231" s="87">
        <v>0</v>
      </c>
      <c r="F231" s="87">
        <v>0</v>
      </c>
      <c r="G231" s="87">
        <v>0</v>
      </c>
      <c r="H231" s="314">
        <v>0</v>
      </c>
      <c r="I231" s="39">
        <f>SUM(C231:H231)</f>
        <v>0</v>
      </c>
    </row>
    <row r="232" spans="1:14" x14ac:dyDescent="0.2">
      <c r="A232" s="134">
        <f t="shared" si="46"/>
        <v>31</v>
      </c>
      <c r="B232" s="14" t="s">
        <v>173</v>
      </c>
      <c r="C232" s="36">
        <f>SUM(C227:C231)</f>
        <v>12</v>
      </c>
      <c r="D232" s="36">
        <f t="shared" ref="D232:I232" si="47">SUM(D227:D231)</f>
        <v>0</v>
      </c>
      <c r="E232" s="36">
        <f t="shared" si="47"/>
        <v>0</v>
      </c>
      <c r="F232" s="36">
        <f t="shared" si="47"/>
        <v>0</v>
      </c>
      <c r="G232" s="36">
        <f t="shared" ref="G232" si="48">SUM(G227:G231)</f>
        <v>0</v>
      </c>
      <c r="H232" s="36">
        <f t="shared" si="47"/>
        <v>2</v>
      </c>
      <c r="I232" s="36">
        <f t="shared" si="47"/>
        <v>14</v>
      </c>
    </row>
    <row r="233" spans="1:14" x14ac:dyDescent="0.2">
      <c r="A233" s="77">
        <f t="shared" si="46"/>
        <v>32</v>
      </c>
      <c r="B233" s="167" t="str">
        <f>$B$138</f>
        <v>Flex</v>
      </c>
      <c r="C233" s="201">
        <v>0</v>
      </c>
      <c r="D233" s="87">
        <v>0</v>
      </c>
      <c r="E233" s="87">
        <v>0</v>
      </c>
      <c r="F233" s="87">
        <v>0</v>
      </c>
      <c r="G233" s="87">
        <v>0</v>
      </c>
      <c r="H233" s="314">
        <v>0</v>
      </c>
      <c r="I233" s="39">
        <f>SUM(C233:H233)</f>
        <v>0</v>
      </c>
    </row>
    <row r="234" spans="1:14" x14ac:dyDescent="0.2">
      <c r="A234" s="77"/>
      <c r="C234" s="35"/>
      <c r="D234" s="35"/>
      <c r="E234" s="35"/>
      <c r="F234" s="35"/>
      <c r="G234" s="35"/>
      <c r="H234" s="35"/>
      <c r="I234" s="36"/>
    </row>
    <row r="235" spans="1:14" x14ac:dyDescent="0.2">
      <c r="A235" s="77">
        <f>A233+1</f>
        <v>33</v>
      </c>
      <c r="B235" s="14" t="s">
        <v>369</v>
      </c>
      <c r="C235" s="36">
        <f>SUM(C232:C233)</f>
        <v>12</v>
      </c>
      <c r="D235" s="36">
        <f t="shared" ref="D235:I235" si="49">SUM(D232:D233)</f>
        <v>0</v>
      </c>
      <c r="E235" s="36">
        <f t="shared" si="49"/>
        <v>0</v>
      </c>
      <c r="F235" s="36">
        <f t="shared" si="49"/>
        <v>0</v>
      </c>
      <c r="G235" s="36">
        <f t="shared" ref="G235" si="50">SUM(G232:G233)</f>
        <v>0</v>
      </c>
      <c r="H235" s="36">
        <f t="shared" si="49"/>
        <v>2</v>
      </c>
      <c r="I235" s="36">
        <f t="shared" si="49"/>
        <v>14</v>
      </c>
    </row>
    <row r="236" spans="1:14" x14ac:dyDescent="0.2">
      <c r="A236" s="77"/>
      <c r="C236" s="12"/>
      <c r="D236" s="39"/>
      <c r="E236" s="39"/>
      <c r="F236" s="39"/>
      <c r="G236" s="39"/>
      <c r="H236" s="65"/>
      <c r="I236" s="12"/>
    </row>
    <row r="237" spans="1:14" x14ac:dyDescent="0.2">
      <c r="A237" s="77">
        <f>A235+1</f>
        <v>34</v>
      </c>
      <c r="B237" s="168" t="s">
        <v>21</v>
      </c>
      <c r="C237" s="12"/>
      <c r="D237" s="35"/>
      <c r="E237" s="35"/>
      <c r="F237" s="35"/>
      <c r="G237" s="35"/>
      <c r="H237" s="35"/>
      <c r="I237" s="12"/>
    </row>
    <row r="238" spans="1:14" x14ac:dyDescent="0.2">
      <c r="A238" s="77"/>
      <c r="C238" s="12"/>
      <c r="D238" s="35"/>
      <c r="E238" s="35"/>
      <c r="F238" s="35"/>
      <c r="G238" s="35"/>
      <c r="H238" s="35"/>
      <c r="I238" s="12"/>
    </row>
    <row r="239" spans="1:14" x14ac:dyDescent="0.2">
      <c r="A239" s="134">
        <f>A237+1</f>
        <v>35</v>
      </c>
      <c r="B239" s="167" t="s">
        <v>359</v>
      </c>
      <c r="C239" s="200">
        <v>12</v>
      </c>
      <c r="D239" s="35">
        <v>0</v>
      </c>
      <c r="E239" s="35">
        <v>0</v>
      </c>
      <c r="F239" s="35">
        <v>0</v>
      </c>
      <c r="G239" s="35">
        <v>0</v>
      </c>
      <c r="H239" s="209">
        <v>0</v>
      </c>
      <c r="I239" s="36">
        <f>SUM(C239:H239)</f>
        <v>12</v>
      </c>
      <c r="K239" s="153" t="s">
        <v>480</v>
      </c>
      <c r="L239" s="154">
        <f>C227+C239</f>
        <v>12</v>
      </c>
    </row>
    <row r="240" spans="1:14" x14ac:dyDescent="0.2">
      <c r="A240" s="134">
        <f t="shared" ref="A240:A245" si="51">A239+1</f>
        <v>36</v>
      </c>
      <c r="B240" s="167" t="s">
        <v>281</v>
      </c>
      <c r="C240" s="200">
        <v>24</v>
      </c>
      <c r="D240" s="35">
        <v>0</v>
      </c>
      <c r="E240" s="35">
        <v>0</v>
      </c>
      <c r="F240" s="35">
        <v>0</v>
      </c>
      <c r="G240" s="35">
        <v>0</v>
      </c>
      <c r="H240" s="209">
        <v>0</v>
      </c>
      <c r="I240" s="36">
        <f>SUM(C240:H240)</f>
        <v>24</v>
      </c>
      <c r="K240" s="153" t="s">
        <v>481</v>
      </c>
      <c r="L240" s="154">
        <f t="shared" ref="L240:L242" si="52">C228+C240</f>
        <v>24</v>
      </c>
      <c r="N240" s="154"/>
    </row>
    <row r="241" spans="1:12" x14ac:dyDescent="0.2">
      <c r="A241" s="134">
        <f t="shared" si="51"/>
        <v>37</v>
      </c>
      <c r="B241" s="167" t="s">
        <v>282</v>
      </c>
      <c r="C241" s="200">
        <v>12</v>
      </c>
      <c r="D241" s="35">
        <v>0</v>
      </c>
      <c r="E241" s="35">
        <v>0</v>
      </c>
      <c r="F241" s="35">
        <v>0</v>
      </c>
      <c r="G241" s="35">
        <v>0</v>
      </c>
      <c r="H241" s="209">
        <v>0</v>
      </c>
      <c r="I241" s="36">
        <f>SUM(C241:H241)</f>
        <v>12</v>
      </c>
      <c r="K241" s="153" t="s">
        <v>583</v>
      </c>
      <c r="L241" s="154">
        <f t="shared" si="52"/>
        <v>24</v>
      </c>
    </row>
    <row r="242" spans="1:12" x14ac:dyDescent="0.2">
      <c r="A242" s="134">
        <f t="shared" si="51"/>
        <v>38</v>
      </c>
      <c r="B242" s="167" t="s">
        <v>283</v>
      </c>
      <c r="C242" s="200">
        <v>0</v>
      </c>
      <c r="D242" s="35">
        <v>0</v>
      </c>
      <c r="E242" s="35">
        <v>0</v>
      </c>
      <c r="F242" s="35">
        <v>0</v>
      </c>
      <c r="G242" s="35">
        <v>0</v>
      </c>
      <c r="H242" s="209">
        <v>0</v>
      </c>
      <c r="I242" s="36">
        <f>SUM(C242:H242)</f>
        <v>0</v>
      </c>
      <c r="L242" s="154">
        <f t="shared" si="52"/>
        <v>0</v>
      </c>
    </row>
    <row r="243" spans="1:12" x14ac:dyDescent="0.2">
      <c r="A243" s="134">
        <f t="shared" si="51"/>
        <v>39</v>
      </c>
      <c r="B243" s="167" t="s">
        <v>286</v>
      </c>
      <c r="C243" s="201">
        <v>12</v>
      </c>
      <c r="D243" s="87">
        <v>0</v>
      </c>
      <c r="E243" s="87">
        <v>0</v>
      </c>
      <c r="F243" s="87">
        <v>0</v>
      </c>
      <c r="G243" s="87">
        <v>0</v>
      </c>
      <c r="H243" s="314">
        <v>0</v>
      </c>
      <c r="I243" s="39">
        <f>SUM(C243:H243)</f>
        <v>12</v>
      </c>
      <c r="L243" s="154">
        <f>C231+C243</f>
        <v>12</v>
      </c>
    </row>
    <row r="244" spans="1:12" x14ac:dyDescent="0.2">
      <c r="A244" s="134">
        <f t="shared" si="51"/>
        <v>40</v>
      </c>
      <c r="B244" s="14" t="s">
        <v>174</v>
      </c>
      <c r="C244" s="36">
        <f>SUM(C239:C243)</f>
        <v>60</v>
      </c>
      <c r="D244" s="36">
        <f t="shared" ref="D244:I244" si="53">SUM(D239:D243)</f>
        <v>0</v>
      </c>
      <c r="E244" s="36">
        <f t="shared" si="53"/>
        <v>0</v>
      </c>
      <c r="F244" s="36">
        <f t="shared" si="53"/>
        <v>0</v>
      </c>
      <c r="G244" s="36">
        <f t="shared" ref="G244" si="54">SUM(G239:G243)</f>
        <v>0</v>
      </c>
      <c r="H244" s="36">
        <f t="shared" si="53"/>
        <v>0</v>
      </c>
      <c r="I244" s="36">
        <f t="shared" si="53"/>
        <v>60</v>
      </c>
    </row>
    <row r="245" spans="1:12" x14ac:dyDescent="0.2">
      <c r="A245" s="77">
        <f t="shared" si="51"/>
        <v>41</v>
      </c>
      <c r="B245" s="167" t="s">
        <v>149</v>
      </c>
      <c r="C245" s="201">
        <v>0</v>
      </c>
      <c r="D245" s="87">
        <v>0</v>
      </c>
      <c r="E245" s="87">
        <v>0</v>
      </c>
      <c r="F245" s="87">
        <v>0</v>
      </c>
      <c r="G245" s="87">
        <v>0</v>
      </c>
      <c r="H245" s="314">
        <v>0</v>
      </c>
      <c r="I245" s="39">
        <f>SUM(C245:H245)</f>
        <v>0</v>
      </c>
    </row>
    <row r="246" spans="1:12" x14ac:dyDescent="0.2">
      <c r="A246" s="77"/>
      <c r="C246" s="35"/>
      <c r="D246" s="35"/>
      <c r="E246" s="35"/>
      <c r="F246" s="35"/>
      <c r="G246" s="35"/>
      <c r="H246" s="35"/>
      <c r="I246" s="36"/>
    </row>
    <row r="247" spans="1:12" x14ac:dyDescent="0.2">
      <c r="A247" s="77">
        <f>A245+1</f>
        <v>42</v>
      </c>
      <c r="B247" s="14" t="s">
        <v>368</v>
      </c>
      <c r="C247" s="36">
        <f>SUM(C244:C245)</f>
        <v>60</v>
      </c>
      <c r="D247" s="36">
        <f t="shared" ref="D247:I247" si="55">SUM(D244:D245)</f>
        <v>0</v>
      </c>
      <c r="E247" s="36">
        <f t="shared" si="55"/>
        <v>0</v>
      </c>
      <c r="F247" s="36">
        <f t="shared" si="55"/>
        <v>0</v>
      </c>
      <c r="G247" s="36">
        <f t="shared" ref="G247" si="56">SUM(G244:G245)</f>
        <v>0</v>
      </c>
      <c r="H247" s="36">
        <f t="shared" si="55"/>
        <v>0</v>
      </c>
      <c r="I247" s="36">
        <f t="shared" si="55"/>
        <v>60</v>
      </c>
    </row>
    <row r="248" spans="1:12" x14ac:dyDescent="0.2">
      <c r="A248" s="77"/>
      <c r="C248" s="36"/>
      <c r="D248" s="36"/>
      <c r="E248" s="36"/>
      <c r="F248" s="36"/>
      <c r="G248" s="36"/>
      <c r="H248" s="36"/>
      <c r="I248" s="36"/>
    </row>
    <row r="249" spans="1:12" x14ac:dyDescent="0.2">
      <c r="A249" s="77">
        <f>A247+1</f>
        <v>43</v>
      </c>
      <c r="B249" s="14" t="s">
        <v>144</v>
      </c>
      <c r="C249" s="36">
        <f t="shared" ref="C249:I249" si="57">C247+C235</f>
        <v>72</v>
      </c>
      <c r="D249" s="36">
        <f t="shared" si="57"/>
        <v>0</v>
      </c>
      <c r="E249" s="36">
        <f t="shared" si="57"/>
        <v>0</v>
      </c>
      <c r="F249" s="36">
        <f t="shared" si="57"/>
        <v>0</v>
      </c>
      <c r="G249" s="36">
        <f t="shared" ref="G249" si="58">G247+G235</f>
        <v>0</v>
      </c>
      <c r="H249" s="36">
        <f t="shared" si="57"/>
        <v>2</v>
      </c>
      <c r="I249" s="36">
        <f t="shared" si="57"/>
        <v>74</v>
      </c>
    </row>
    <row r="250" spans="1:12" x14ac:dyDescent="0.2">
      <c r="A250" s="77"/>
      <c r="C250" s="58"/>
      <c r="D250" s="58"/>
      <c r="E250" s="58"/>
      <c r="F250" s="58"/>
      <c r="G250" s="58"/>
      <c r="H250" s="58"/>
      <c r="I250" s="58"/>
    </row>
    <row r="251" spans="1:12" x14ac:dyDescent="0.2">
      <c r="A251" s="77">
        <f>A249+1</f>
        <v>44</v>
      </c>
      <c r="B251" s="34" t="s">
        <v>147</v>
      </c>
      <c r="C251" s="58"/>
      <c r="D251" s="58"/>
      <c r="E251" s="58"/>
      <c r="F251" s="58"/>
      <c r="G251" s="58"/>
      <c r="H251" s="58"/>
      <c r="I251" s="58"/>
    </row>
    <row r="252" spans="1:12" x14ac:dyDescent="0.2">
      <c r="A252" s="77"/>
      <c r="C252" s="58"/>
      <c r="D252" s="58"/>
      <c r="E252" s="58"/>
      <c r="F252" s="58"/>
      <c r="G252" s="58"/>
      <c r="H252" s="58"/>
      <c r="I252" s="58"/>
    </row>
    <row r="253" spans="1:12" s="153" customFormat="1" x14ac:dyDescent="0.2">
      <c r="A253" s="77">
        <f>A251+1</f>
        <v>45</v>
      </c>
      <c r="B253" s="168" t="s">
        <v>19</v>
      </c>
      <c r="C253" s="58"/>
      <c r="D253" s="58"/>
      <c r="E253" s="58"/>
      <c r="F253" s="58"/>
      <c r="G253" s="58"/>
      <c r="H253" s="58"/>
      <c r="I253" s="58"/>
    </row>
    <row r="254" spans="1:12" s="153" customFormat="1" x14ac:dyDescent="0.2">
      <c r="A254" s="77"/>
      <c r="C254" s="58"/>
      <c r="D254" s="58"/>
      <c r="E254" s="58"/>
      <c r="F254" s="58"/>
      <c r="G254" s="58"/>
      <c r="H254" s="58"/>
      <c r="I254" s="58"/>
    </row>
    <row r="255" spans="1:12" s="153" customFormat="1" x14ac:dyDescent="0.2">
      <c r="A255" s="134">
        <f>A253+1</f>
        <v>46</v>
      </c>
      <c r="B255" s="208" t="s">
        <v>452</v>
      </c>
      <c r="C255" s="200">
        <v>0</v>
      </c>
      <c r="D255" s="36">
        <f>'Sch4'!E59</f>
        <v>0</v>
      </c>
      <c r="E255" s="35">
        <v>0</v>
      </c>
      <c r="F255" s="35">
        <v>0</v>
      </c>
      <c r="G255" s="35">
        <v>0</v>
      </c>
      <c r="H255" s="209">
        <v>0</v>
      </c>
      <c r="I255" s="36">
        <f>SUM(C255:H255)</f>
        <v>0</v>
      </c>
    </row>
    <row r="256" spans="1:12" s="153" customFormat="1" x14ac:dyDescent="0.2">
      <c r="A256" s="134">
        <f t="shared" ref="A256:A259" si="59">A255+1</f>
        <v>47</v>
      </c>
      <c r="B256" s="167" t="s">
        <v>283</v>
      </c>
      <c r="C256" s="200">
        <v>0</v>
      </c>
      <c r="D256" s="35">
        <v>0</v>
      </c>
      <c r="E256" s="35">
        <v>0</v>
      </c>
      <c r="F256" s="35">
        <v>0</v>
      </c>
      <c r="G256" s="35">
        <v>0</v>
      </c>
      <c r="H256" s="209">
        <v>0</v>
      </c>
      <c r="I256" s="36">
        <f>SUM(C256:H256)</f>
        <v>0</v>
      </c>
    </row>
    <row r="257" spans="1:9" s="153" customFormat="1" x14ac:dyDescent="0.2">
      <c r="A257" s="134">
        <f t="shared" si="59"/>
        <v>48</v>
      </c>
      <c r="B257" s="167" t="s">
        <v>286</v>
      </c>
      <c r="C257" s="201">
        <v>0</v>
      </c>
      <c r="D257" s="87">
        <v>0</v>
      </c>
      <c r="E257" s="87">
        <v>0</v>
      </c>
      <c r="F257" s="87">
        <v>0</v>
      </c>
      <c r="G257" s="87">
        <v>0</v>
      </c>
      <c r="H257" s="314">
        <v>0</v>
      </c>
      <c r="I257" s="39">
        <f>SUM(C257:H257)</f>
        <v>0</v>
      </c>
    </row>
    <row r="258" spans="1:9" s="153" customFormat="1" x14ac:dyDescent="0.2">
      <c r="A258" s="77">
        <f t="shared" si="59"/>
        <v>49</v>
      </c>
      <c r="B258" s="14" t="s">
        <v>428</v>
      </c>
      <c r="C258" s="68">
        <f t="shared" ref="C258:I258" si="60">SUM(C255:C257)</f>
        <v>0</v>
      </c>
      <c r="D258" s="68">
        <f t="shared" si="60"/>
        <v>0</v>
      </c>
      <c r="E258" s="68">
        <f t="shared" si="60"/>
        <v>0</v>
      </c>
      <c r="F258" s="68">
        <f t="shared" si="60"/>
        <v>0</v>
      </c>
      <c r="G258" s="68">
        <f t="shared" si="60"/>
        <v>0</v>
      </c>
      <c r="H258" s="68">
        <f t="shared" si="60"/>
        <v>0</v>
      </c>
      <c r="I258" s="68">
        <f t="shared" si="60"/>
        <v>0</v>
      </c>
    </row>
    <row r="259" spans="1:9" s="153" customFormat="1" x14ac:dyDescent="0.2">
      <c r="A259" s="77">
        <f t="shared" si="59"/>
        <v>50</v>
      </c>
      <c r="B259" s="166" t="s">
        <v>149</v>
      </c>
      <c r="C259" s="201">
        <v>0</v>
      </c>
      <c r="D259" s="87">
        <v>0</v>
      </c>
      <c r="E259" s="87">
        <v>0</v>
      </c>
      <c r="F259" s="87">
        <v>0</v>
      </c>
      <c r="G259" s="87">
        <v>0</v>
      </c>
      <c r="H259" s="314">
        <v>0</v>
      </c>
      <c r="I259" s="39">
        <f>SUM(C259:H259)</f>
        <v>0</v>
      </c>
    </row>
    <row r="260" spans="1:9" s="153" customFormat="1" x14ac:dyDescent="0.2">
      <c r="A260" s="77"/>
      <c r="C260" s="35"/>
      <c r="D260" s="35"/>
      <c r="E260" s="35"/>
      <c r="F260" s="35"/>
      <c r="G260" s="35"/>
      <c r="H260" s="35"/>
      <c r="I260" s="36"/>
    </row>
    <row r="261" spans="1:9" s="153" customFormat="1" x14ac:dyDescent="0.2">
      <c r="A261" s="77">
        <f>A259+1</f>
        <v>51</v>
      </c>
      <c r="B261" s="14" t="s">
        <v>429</v>
      </c>
      <c r="C261" s="36">
        <f t="shared" ref="C261:I261" si="61">SUM(C258:C259)</f>
        <v>0</v>
      </c>
      <c r="D261" s="36">
        <f t="shared" si="61"/>
        <v>0</v>
      </c>
      <c r="E261" s="36">
        <f t="shared" si="61"/>
        <v>0</v>
      </c>
      <c r="F261" s="36">
        <f t="shared" si="61"/>
        <v>0</v>
      </c>
      <c r="G261" s="36">
        <f t="shared" si="61"/>
        <v>0</v>
      </c>
      <c r="H261" s="36">
        <f t="shared" si="61"/>
        <v>0</v>
      </c>
      <c r="I261" s="36">
        <f t="shared" si="61"/>
        <v>0</v>
      </c>
    </row>
    <row r="262" spans="1:9" s="153" customFormat="1" x14ac:dyDescent="0.2">
      <c r="A262" s="77"/>
      <c r="C262" s="58"/>
      <c r="D262" s="58"/>
      <c r="E262" s="58"/>
      <c r="F262" s="58"/>
      <c r="G262" s="58"/>
      <c r="H262" s="58"/>
      <c r="I262" s="58"/>
    </row>
    <row r="263" spans="1:9" s="153" customFormat="1" x14ac:dyDescent="0.2">
      <c r="A263" s="77"/>
      <c r="C263" s="36"/>
      <c r="D263" s="36"/>
      <c r="E263" s="36"/>
      <c r="F263" s="36"/>
      <c r="G263" s="36"/>
      <c r="H263" s="36"/>
      <c r="I263" s="2" t="str">
        <f>adjno</f>
        <v>Exhibit No. 103</v>
      </c>
    </row>
    <row r="264" spans="1:9" s="153" customFormat="1" x14ac:dyDescent="0.2">
      <c r="A264" s="356" t="str">
        <f>A2</f>
        <v>Columbia Gas of Pennsylvania, Inc.</v>
      </c>
      <c r="B264" s="356"/>
      <c r="C264" s="356"/>
      <c r="D264" s="356"/>
      <c r="E264" s="356"/>
      <c r="F264" s="356"/>
      <c r="G264" s="356"/>
      <c r="H264" s="356"/>
      <c r="I264" s="2" t="s">
        <v>193</v>
      </c>
    </row>
    <row r="265" spans="1:9" s="153" customFormat="1" x14ac:dyDescent="0.2">
      <c r="A265" s="356" t="str">
        <f>A3</f>
        <v>Number of Bills</v>
      </c>
      <c r="B265" s="356"/>
      <c r="C265" s="356"/>
      <c r="D265" s="356"/>
      <c r="E265" s="356"/>
      <c r="F265" s="356"/>
      <c r="G265" s="356"/>
      <c r="H265" s="356"/>
      <c r="I265" s="2" t="s">
        <v>497</v>
      </c>
    </row>
    <row r="266" spans="1:9" s="153" customFormat="1" x14ac:dyDescent="0.2">
      <c r="A266" s="356" t="str">
        <f>A4</f>
        <v>For the 12 Months Ended December 31, 2019</v>
      </c>
      <c r="B266" s="356"/>
      <c r="C266" s="356"/>
      <c r="D266" s="356"/>
      <c r="E266" s="356"/>
      <c r="F266" s="356"/>
      <c r="G266" s="356"/>
      <c r="H266" s="356"/>
      <c r="I266" s="4" t="str">
        <f>'Sch1'!$G$4</f>
        <v>Witness: D. Joe Mays</v>
      </c>
    </row>
    <row r="267" spans="1:9" s="153" customFormat="1" x14ac:dyDescent="0.2">
      <c r="A267" s="134"/>
      <c r="C267" s="6"/>
      <c r="I267" s="100"/>
    </row>
    <row r="268" spans="1:9" s="153" customFormat="1" x14ac:dyDescent="0.2">
      <c r="A268" s="134"/>
      <c r="D268" s="273" t="s">
        <v>0</v>
      </c>
      <c r="I268" s="6"/>
    </row>
    <row r="269" spans="1:9" s="153" customFormat="1" x14ac:dyDescent="0.2">
      <c r="A269" s="273"/>
      <c r="B269" s="6"/>
      <c r="C269" s="6"/>
      <c r="D269" s="273" t="s">
        <v>1</v>
      </c>
      <c r="G269" s="273" t="s">
        <v>2</v>
      </c>
      <c r="H269" s="273"/>
      <c r="I269" s="6"/>
    </row>
    <row r="270" spans="1:9" s="153" customFormat="1" x14ac:dyDescent="0.2">
      <c r="A270" s="273" t="s">
        <v>3</v>
      </c>
      <c r="B270" s="273"/>
      <c r="C270" s="273"/>
      <c r="D270" s="273" t="s">
        <v>4</v>
      </c>
      <c r="E270" s="357" t="s">
        <v>169</v>
      </c>
      <c r="F270" s="357"/>
      <c r="G270" s="273" t="s">
        <v>5</v>
      </c>
      <c r="H270" s="273" t="s">
        <v>168</v>
      </c>
      <c r="I270" s="273" t="s">
        <v>268</v>
      </c>
    </row>
    <row r="271" spans="1:9" s="153" customFormat="1" x14ac:dyDescent="0.2">
      <c r="A271" s="172" t="s">
        <v>6</v>
      </c>
      <c r="B271" s="172" t="s">
        <v>7</v>
      </c>
      <c r="C271" s="172" t="s">
        <v>425</v>
      </c>
      <c r="D271" s="172" t="s">
        <v>8</v>
      </c>
      <c r="E271" s="129" t="s">
        <v>150</v>
      </c>
      <c r="F271" s="129" t="s">
        <v>10</v>
      </c>
      <c r="G271" s="172" t="s">
        <v>111</v>
      </c>
      <c r="H271" s="172" t="s">
        <v>35</v>
      </c>
      <c r="I271" s="172" t="s">
        <v>11</v>
      </c>
    </row>
    <row r="272" spans="1:9" s="153" customFormat="1" x14ac:dyDescent="0.2">
      <c r="A272" s="134"/>
      <c r="C272" s="273" t="s">
        <v>12</v>
      </c>
      <c r="D272" s="273" t="s">
        <v>13</v>
      </c>
      <c r="E272" s="274" t="s">
        <v>32</v>
      </c>
      <c r="F272" s="274" t="s">
        <v>14</v>
      </c>
      <c r="G272" s="274" t="s">
        <v>15</v>
      </c>
      <c r="H272" s="274" t="s">
        <v>16</v>
      </c>
      <c r="I272" s="274" t="s">
        <v>421</v>
      </c>
    </row>
    <row r="273" spans="1:13" s="153" customFormat="1" x14ac:dyDescent="0.2">
      <c r="A273" s="134"/>
      <c r="D273" s="9" t="s">
        <v>276</v>
      </c>
      <c r="E273" s="9" t="s">
        <v>276</v>
      </c>
      <c r="F273" s="9" t="s">
        <v>276</v>
      </c>
      <c r="G273" s="9"/>
    </row>
    <row r="274" spans="1:13" s="153" customFormat="1" x14ac:dyDescent="0.2">
      <c r="A274" s="134"/>
      <c r="D274" s="9"/>
      <c r="E274" s="9"/>
      <c r="F274" s="9"/>
      <c r="G274" s="9"/>
    </row>
    <row r="275" spans="1:13" s="153" customFormat="1" x14ac:dyDescent="0.2">
      <c r="A275" s="77">
        <v>1</v>
      </c>
      <c r="B275" s="168" t="s">
        <v>21</v>
      </c>
      <c r="C275" s="58"/>
      <c r="D275" s="58"/>
      <c r="E275" s="58"/>
      <c r="F275" s="58"/>
      <c r="G275" s="58"/>
      <c r="H275" s="58"/>
      <c r="I275" s="58"/>
    </row>
    <row r="276" spans="1:13" s="153" customFormat="1" x14ac:dyDescent="0.2">
      <c r="A276" s="77"/>
      <c r="B276" s="3"/>
      <c r="C276" s="58"/>
      <c r="D276" s="58"/>
      <c r="E276" s="58"/>
      <c r="F276" s="58"/>
      <c r="G276" s="58"/>
      <c r="H276" s="58"/>
      <c r="I276" s="58"/>
    </row>
    <row r="277" spans="1:13" s="153" customFormat="1" x14ac:dyDescent="0.2">
      <c r="A277" s="134">
        <f>A275+1</f>
        <v>2</v>
      </c>
      <c r="B277" s="208" t="s">
        <v>452</v>
      </c>
      <c r="C277" s="200">
        <v>0</v>
      </c>
      <c r="D277" s="35">
        <v>0</v>
      </c>
      <c r="E277" s="35">
        <v>0</v>
      </c>
      <c r="F277" s="35">
        <v>0</v>
      </c>
      <c r="G277" s="35">
        <v>0</v>
      </c>
      <c r="H277" s="209">
        <v>0</v>
      </c>
      <c r="I277" s="36">
        <f>SUM(C277:H277)</f>
        <v>0</v>
      </c>
      <c r="K277" s="153" t="s">
        <v>582</v>
      </c>
      <c r="L277" s="154">
        <f>C255+C277</f>
        <v>0</v>
      </c>
      <c r="M277" s="154"/>
    </row>
    <row r="278" spans="1:13" s="153" customFormat="1" x14ac:dyDescent="0.2">
      <c r="A278" s="134">
        <f t="shared" ref="A278:A281" si="62">A277+1</f>
        <v>3</v>
      </c>
      <c r="B278" s="167" t="s">
        <v>283</v>
      </c>
      <c r="C278" s="200">
        <v>36</v>
      </c>
      <c r="D278" s="35">
        <v>0</v>
      </c>
      <c r="E278" s="35">
        <v>0</v>
      </c>
      <c r="F278" s="35">
        <v>0</v>
      </c>
      <c r="G278" s="35">
        <v>0</v>
      </c>
      <c r="H278" s="209">
        <v>0</v>
      </c>
      <c r="I278" s="36">
        <f>SUM(C278:H278)</f>
        <v>36</v>
      </c>
      <c r="L278" s="154">
        <f t="shared" ref="L278:L279" si="63">C256+C278</f>
        <v>36</v>
      </c>
    </row>
    <row r="279" spans="1:13" s="153" customFormat="1" x14ac:dyDescent="0.2">
      <c r="A279" s="134">
        <f t="shared" si="62"/>
        <v>4</v>
      </c>
      <c r="B279" s="167" t="s">
        <v>286</v>
      </c>
      <c r="C279" s="201">
        <v>0</v>
      </c>
      <c r="D279" s="87">
        <v>0</v>
      </c>
      <c r="E279" s="87">
        <v>0</v>
      </c>
      <c r="F279" s="87">
        <v>0</v>
      </c>
      <c r="G279" s="87">
        <v>0</v>
      </c>
      <c r="H279" s="314">
        <v>0</v>
      </c>
      <c r="I279" s="39">
        <f>SUM(C279:H279)</f>
        <v>0</v>
      </c>
      <c r="L279" s="154">
        <f t="shared" si="63"/>
        <v>0</v>
      </c>
    </row>
    <row r="280" spans="1:13" s="153" customFormat="1" x14ac:dyDescent="0.2">
      <c r="A280" s="77">
        <f t="shared" si="62"/>
        <v>5</v>
      </c>
      <c r="B280" s="14" t="s">
        <v>214</v>
      </c>
      <c r="C280" s="68">
        <f>SUM(C277:C279)</f>
        <v>36</v>
      </c>
      <c r="D280" s="68">
        <f t="shared" ref="D280:I280" si="64">SUM(D277:D279)</f>
        <v>0</v>
      </c>
      <c r="E280" s="68">
        <f t="shared" si="64"/>
        <v>0</v>
      </c>
      <c r="F280" s="68">
        <f t="shared" si="64"/>
        <v>0</v>
      </c>
      <c r="G280" s="68">
        <f t="shared" si="64"/>
        <v>0</v>
      </c>
      <c r="H280" s="68">
        <f t="shared" si="64"/>
        <v>0</v>
      </c>
      <c r="I280" s="68">
        <f t="shared" si="64"/>
        <v>36</v>
      </c>
    </row>
    <row r="281" spans="1:13" s="153" customFormat="1" x14ac:dyDescent="0.2">
      <c r="A281" s="77">
        <f t="shared" si="62"/>
        <v>6</v>
      </c>
      <c r="B281" s="166" t="s">
        <v>149</v>
      </c>
      <c r="C281" s="201">
        <v>24</v>
      </c>
      <c r="D281" s="39">
        <f>'Sch4'!E71</f>
        <v>-12</v>
      </c>
      <c r="E281" s="87">
        <v>0</v>
      </c>
      <c r="F281" s="87">
        <v>0</v>
      </c>
      <c r="G281" s="87">
        <v>0</v>
      </c>
      <c r="H281" s="314">
        <v>0</v>
      </c>
      <c r="I281" s="39">
        <f>SUM(C281:H281)</f>
        <v>12</v>
      </c>
    </row>
    <row r="282" spans="1:13" s="153" customFormat="1" x14ac:dyDescent="0.2">
      <c r="A282" s="77"/>
      <c r="B282" s="3"/>
      <c r="C282" s="35"/>
      <c r="D282" s="35"/>
      <c r="E282" s="35"/>
      <c r="F282" s="35"/>
      <c r="G282" s="35"/>
      <c r="H282" s="35"/>
      <c r="I282" s="36"/>
    </row>
    <row r="283" spans="1:13" s="153" customFormat="1" x14ac:dyDescent="0.2">
      <c r="A283" s="77">
        <f>A281+1</f>
        <v>7</v>
      </c>
      <c r="B283" s="14" t="s">
        <v>367</v>
      </c>
      <c r="C283" s="36">
        <f>SUM(C280:C281)</f>
        <v>60</v>
      </c>
      <c r="D283" s="36">
        <f t="shared" ref="D283:I283" si="65">SUM(D280:D281)</f>
        <v>-12</v>
      </c>
      <c r="E283" s="36">
        <f t="shared" si="65"/>
        <v>0</v>
      </c>
      <c r="F283" s="36">
        <f t="shared" si="65"/>
        <v>0</v>
      </c>
      <c r="G283" s="36">
        <f t="shared" ref="G283" si="66">SUM(G280:G281)</f>
        <v>0</v>
      </c>
      <c r="H283" s="36">
        <f t="shared" si="65"/>
        <v>0</v>
      </c>
      <c r="I283" s="36">
        <f t="shared" si="65"/>
        <v>48</v>
      </c>
    </row>
    <row r="284" spans="1:13" s="153" customFormat="1" x14ac:dyDescent="0.2">
      <c r="A284" s="77"/>
      <c r="B284" s="3"/>
      <c r="C284" s="36"/>
      <c r="D284" s="36"/>
      <c r="E284" s="36"/>
      <c r="F284" s="36"/>
      <c r="G284" s="36"/>
      <c r="H284" s="36"/>
      <c r="I284" s="36"/>
    </row>
    <row r="285" spans="1:13" s="153" customFormat="1" x14ac:dyDescent="0.2">
      <c r="A285" s="77">
        <f>A283+1</f>
        <v>8</v>
      </c>
      <c r="B285" s="14" t="s">
        <v>148</v>
      </c>
      <c r="C285" s="36">
        <f>C283+C261</f>
        <v>60</v>
      </c>
      <c r="D285" s="36">
        <f t="shared" ref="D285:H285" si="67">D283</f>
        <v>-12</v>
      </c>
      <c r="E285" s="36">
        <f t="shared" si="67"/>
        <v>0</v>
      </c>
      <c r="F285" s="36">
        <f t="shared" si="67"/>
        <v>0</v>
      </c>
      <c r="G285" s="36">
        <f t="shared" ref="G285" si="68">G283</f>
        <v>0</v>
      </c>
      <c r="H285" s="36">
        <f t="shared" si="67"/>
        <v>0</v>
      </c>
      <c r="I285" s="36">
        <f>I283+I261</f>
        <v>48</v>
      </c>
    </row>
    <row r="286" spans="1:13" ht="12" thickBot="1" x14ac:dyDescent="0.25">
      <c r="A286" s="77"/>
      <c r="C286" s="36"/>
      <c r="D286" s="36"/>
      <c r="E286" s="36"/>
      <c r="F286" s="36"/>
      <c r="G286" s="36"/>
      <c r="H286" s="36"/>
      <c r="I286" s="36"/>
    </row>
    <row r="287" spans="1:13" x14ac:dyDescent="0.2">
      <c r="A287" s="221"/>
      <c r="B287" s="15"/>
      <c r="C287" s="16"/>
      <c r="D287" s="16"/>
      <c r="E287" s="16"/>
      <c r="F287" s="16"/>
      <c r="G287" s="16"/>
      <c r="H287" s="16"/>
      <c r="I287" s="101"/>
    </row>
    <row r="288" spans="1:13" x14ac:dyDescent="0.2">
      <c r="A288" s="222">
        <f>A285+1</f>
        <v>9</v>
      </c>
      <c r="B288" s="19" t="s">
        <v>361</v>
      </c>
      <c r="C288" s="20"/>
      <c r="D288" s="20"/>
      <c r="E288" s="20"/>
      <c r="F288" s="20"/>
      <c r="G288" s="20"/>
      <c r="H288" s="20"/>
      <c r="I288" s="102"/>
    </row>
    <row r="289" spans="1:12" x14ac:dyDescent="0.2">
      <c r="A289" s="222"/>
      <c r="B289" s="155"/>
      <c r="C289" s="20"/>
      <c r="D289" s="20"/>
      <c r="E289" s="20"/>
      <c r="F289" s="20"/>
      <c r="G289" s="20"/>
      <c r="H289" s="20"/>
      <c r="I289" s="102"/>
    </row>
    <row r="290" spans="1:12" x14ac:dyDescent="0.2">
      <c r="A290" s="222">
        <f>A288+1</f>
        <v>10</v>
      </c>
      <c r="B290" s="162" t="s">
        <v>181</v>
      </c>
      <c r="C290" s="81">
        <f t="shared" ref="C290:I290" si="69">C117</f>
        <v>916467</v>
      </c>
      <c r="D290" s="81">
        <f t="shared" si="69"/>
        <v>0</v>
      </c>
      <c r="E290" s="81">
        <f t="shared" si="69"/>
        <v>0</v>
      </c>
      <c r="F290" s="81">
        <f t="shared" si="69"/>
        <v>0</v>
      </c>
      <c r="G290" s="81">
        <f t="shared" si="69"/>
        <v>0</v>
      </c>
      <c r="H290" s="81">
        <f t="shared" si="69"/>
        <v>5983</v>
      </c>
      <c r="I290" s="103">
        <f t="shared" si="69"/>
        <v>922450</v>
      </c>
      <c r="L290" s="12"/>
    </row>
    <row r="291" spans="1:12" x14ac:dyDescent="0.2">
      <c r="A291" s="222"/>
      <c r="B291" s="162"/>
      <c r="C291" s="20"/>
      <c r="D291" s="20"/>
      <c r="E291" s="20"/>
      <c r="F291" s="20"/>
      <c r="G291" s="20"/>
      <c r="H291" s="20"/>
      <c r="I291" s="102"/>
    </row>
    <row r="292" spans="1:12" x14ac:dyDescent="0.2">
      <c r="A292" s="222">
        <f>A290+1</f>
        <v>11</v>
      </c>
      <c r="B292" s="162" t="s">
        <v>182</v>
      </c>
      <c r="C292" s="81">
        <f>C139+C173+C207+C235+C261+C155+C131</f>
        <v>133554</v>
      </c>
      <c r="D292" s="81">
        <f t="shared" ref="D292:I292" si="70">D139+D173+D207+D235+D261+D155+D131</f>
        <v>0</v>
      </c>
      <c r="E292" s="81">
        <f t="shared" si="70"/>
        <v>0</v>
      </c>
      <c r="F292" s="81">
        <f t="shared" si="70"/>
        <v>0</v>
      </c>
      <c r="G292" s="81">
        <f t="shared" si="70"/>
        <v>0</v>
      </c>
      <c r="H292" s="81">
        <f t="shared" si="70"/>
        <v>439</v>
      </c>
      <c r="I292" s="103">
        <f t="shared" si="70"/>
        <v>133993</v>
      </c>
      <c r="K292" s="154"/>
      <c r="L292" s="154"/>
    </row>
    <row r="293" spans="1:12" x14ac:dyDescent="0.2">
      <c r="A293" s="222"/>
      <c r="B293" s="162"/>
      <c r="C293" s="81"/>
      <c r="D293" s="81"/>
      <c r="E293" s="81"/>
      <c r="F293" s="81"/>
      <c r="G293" s="81"/>
      <c r="H293" s="81"/>
      <c r="I293" s="103"/>
      <c r="L293" s="154"/>
    </row>
    <row r="294" spans="1:12" x14ac:dyDescent="0.2">
      <c r="A294" s="222">
        <f>A292+1</f>
        <v>12</v>
      </c>
      <c r="B294" s="162" t="s">
        <v>183</v>
      </c>
      <c r="C294" s="80">
        <f>C145+C193+C219+C247+C283+C161</f>
        <v>2518</v>
      </c>
      <c r="D294" s="80">
        <f t="shared" ref="D294:I294" si="71">D145+D193+D219+D247+D283+D161</f>
        <v>-12</v>
      </c>
      <c r="E294" s="80">
        <f t="shared" si="71"/>
        <v>0</v>
      </c>
      <c r="F294" s="80">
        <f t="shared" si="71"/>
        <v>0</v>
      </c>
      <c r="G294" s="80">
        <f t="shared" si="71"/>
        <v>0</v>
      </c>
      <c r="H294" s="80">
        <f t="shared" si="71"/>
        <v>5</v>
      </c>
      <c r="I294" s="104">
        <f t="shared" si="71"/>
        <v>2511</v>
      </c>
      <c r="K294" s="154"/>
    </row>
    <row r="295" spans="1:12" x14ac:dyDescent="0.2">
      <c r="A295" s="222"/>
      <c r="B295" s="155"/>
      <c r="C295" s="20"/>
      <c r="D295" s="20"/>
      <c r="E295" s="20"/>
      <c r="F295" s="20"/>
      <c r="G295" s="20"/>
      <c r="H295" s="20"/>
      <c r="I295" s="102"/>
    </row>
    <row r="296" spans="1:12" x14ac:dyDescent="0.2">
      <c r="A296" s="222">
        <f>A294+1</f>
        <v>13</v>
      </c>
      <c r="B296" s="155" t="s">
        <v>363</v>
      </c>
      <c r="C296" s="81">
        <f t="shared" ref="C296:I296" si="72">SUM(C290:C294)</f>
        <v>1052539</v>
      </c>
      <c r="D296" s="81">
        <f t="shared" si="72"/>
        <v>-12</v>
      </c>
      <c r="E296" s="81">
        <f t="shared" si="72"/>
        <v>0</v>
      </c>
      <c r="F296" s="81">
        <f t="shared" si="72"/>
        <v>0</v>
      </c>
      <c r="G296" s="81">
        <f t="shared" ref="G296" si="73">SUM(G290:G294)</f>
        <v>0</v>
      </c>
      <c r="H296" s="81">
        <f t="shared" si="72"/>
        <v>6427</v>
      </c>
      <c r="I296" s="103">
        <f t="shared" si="72"/>
        <v>1058954</v>
      </c>
      <c r="K296" s="154"/>
    </row>
    <row r="297" spans="1:12" ht="12" thickBot="1" x14ac:dyDescent="0.25">
      <c r="A297" s="223"/>
      <c r="B297" s="24"/>
      <c r="C297" s="25"/>
      <c r="D297" s="25"/>
      <c r="E297" s="25"/>
      <c r="F297" s="25"/>
      <c r="G297" s="25"/>
      <c r="H297" s="25"/>
      <c r="I297" s="105"/>
    </row>
    <row r="298" spans="1:12" ht="12" thickBot="1" x14ac:dyDescent="0.25">
      <c r="C298" s="12"/>
      <c r="D298" s="12"/>
      <c r="E298" s="12"/>
      <c r="F298" s="12"/>
      <c r="G298" s="12"/>
      <c r="H298" s="12"/>
      <c r="I298" s="12"/>
    </row>
    <row r="299" spans="1:12" x14ac:dyDescent="0.2">
      <c r="A299" s="221"/>
      <c r="B299" s="15"/>
      <c r="C299" s="16"/>
      <c r="D299" s="111"/>
      <c r="E299" s="111"/>
      <c r="F299" s="111"/>
      <c r="G299" s="111"/>
      <c r="H299" s="16"/>
      <c r="I299" s="106"/>
    </row>
    <row r="300" spans="1:12" x14ac:dyDescent="0.2">
      <c r="A300" s="222">
        <f>A296+1</f>
        <v>14</v>
      </c>
      <c r="B300" s="18" t="s">
        <v>28</v>
      </c>
      <c r="C300" s="81">
        <f t="shared" ref="C300:I300" si="74">C110+C296</f>
        <v>5189591</v>
      </c>
      <c r="D300" s="81">
        <f t="shared" si="74"/>
        <v>-12</v>
      </c>
      <c r="E300" s="81">
        <f t="shared" si="74"/>
        <v>30096</v>
      </c>
      <c r="F300" s="81">
        <f t="shared" si="74"/>
        <v>-8310</v>
      </c>
      <c r="G300" s="81">
        <f t="shared" si="74"/>
        <v>0</v>
      </c>
      <c r="H300" s="81">
        <f t="shared" si="74"/>
        <v>72430</v>
      </c>
      <c r="I300" s="103">
        <f t="shared" si="74"/>
        <v>5283795</v>
      </c>
    </row>
    <row r="301" spans="1:12" ht="12" thickBot="1" x14ac:dyDescent="0.25">
      <c r="A301" s="223"/>
      <c r="B301" s="24"/>
      <c r="C301" s="25"/>
      <c r="D301" s="25"/>
      <c r="E301" s="25"/>
      <c r="F301" s="25"/>
      <c r="G301" s="25"/>
      <c r="H301" s="25"/>
      <c r="I301" s="105"/>
    </row>
    <row r="303" spans="1:12" ht="12" thickBot="1" x14ac:dyDescent="0.25"/>
    <row r="304" spans="1:12" x14ac:dyDescent="0.2">
      <c r="A304" s="283" t="s">
        <v>279</v>
      </c>
      <c r="B304" s="284"/>
      <c r="C304" s="285" t="s">
        <v>35</v>
      </c>
      <c r="D304" s="285" t="s">
        <v>436</v>
      </c>
      <c r="E304" s="285" t="s">
        <v>437</v>
      </c>
      <c r="F304" s="286"/>
    </row>
    <row r="305" spans="1:8" x14ac:dyDescent="0.2">
      <c r="A305" s="287" t="s">
        <v>430</v>
      </c>
      <c r="B305" s="288"/>
      <c r="C305" s="339">
        <v>3820964</v>
      </c>
      <c r="D305" s="289">
        <f>C104</f>
        <v>3820964</v>
      </c>
      <c r="E305" s="289">
        <f>C305-D305</f>
        <v>0</v>
      </c>
      <c r="F305" s="290"/>
    </row>
    <row r="306" spans="1:8" x14ac:dyDescent="0.2">
      <c r="A306" s="287" t="s">
        <v>431</v>
      </c>
      <c r="B306" s="288"/>
      <c r="C306" s="339">
        <v>916467</v>
      </c>
      <c r="D306" s="289">
        <f>C290</f>
        <v>916467</v>
      </c>
      <c r="E306" s="289">
        <f t="shared" ref="E306:E308" si="75">C306-D306</f>
        <v>0</v>
      </c>
      <c r="F306" s="290"/>
    </row>
    <row r="307" spans="1:8" x14ac:dyDescent="0.2">
      <c r="A307" s="287" t="s">
        <v>432</v>
      </c>
      <c r="B307" s="288"/>
      <c r="C307" s="339">
        <f>313367+2721</f>
        <v>316088</v>
      </c>
      <c r="D307" s="289">
        <f>C106+C108</f>
        <v>316088</v>
      </c>
      <c r="E307" s="289">
        <f t="shared" si="75"/>
        <v>0</v>
      </c>
      <c r="F307" s="315"/>
    </row>
    <row r="308" spans="1:8" x14ac:dyDescent="0.2">
      <c r="A308" s="287" t="s">
        <v>433</v>
      </c>
      <c r="B308" s="288"/>
      <c r="C308" s="339">
        <f>99402+1051</f>
        <v>100453</v>
      </c>
      <c r="D308" s="289">
        <f>C131</f>
        <v>100453</v>
      </c>
      <c r="E308" s="289">
        <f t="shared" si="75"/>
        <v>0</v>
      </c>
      <c r="F308" s="290"/>
      <c r="H308" s="154">
        <f>I300/12</f>
        <v>440316.25</v>
      </c>
    </row>
    <row r="309" spans="1:8" x14ac:dyDescent="0.2">
      <c r="A309" s="287" t="s">
        <v>434</v>
      </c>
      <c r="B309" s="288"/>
      <c r="C309" s="338">
        <v>35619</v>
      </c>
      <c r="D309" s="291">
        <f>C285+C249+C221+C195+C163+C147</f>
        <v>35619</v>
      </c>
      <c r="E309" s="289">
        <f>C309-D309</f>
        <v>0</v>
      </c>
      <c r="F309" s="290"/>
      <c r="H309" s="154">
        <f>I290+I104</f>
        <v>4828182</v>
      </c>
    </row>
    <row r="310" spans="1:8" ht="12" thickBot="1" x14ac:dyDescent="0.25">
      <c r="A310" s="292" t="s">
        <v>435</v>
      </c>
      <c r="B310" s="293"/>
      <c r="C310" s="294">
        <f>SUM(C306:C309)</f>
        <v>1368627</v>
      </c>
      <c r="D310" s="294">
        <f>SUM(D306:D309)</f>
        <v>1368627</v>
      </c>
      <c r="E310" s="294">
        <f>C310-D310</f>
        <v>0</v>
      </c>
      <c r="F310" s="295"/>
    </row>
    <row r="312" spans="1:8" x14ac:dyDescent="0.2">
      <c r="C312" s="12"/>
    </row>
    <row r="313" spans="1:8" x14ac:dyDescent="0.2">
      <c r="C313" s="12"/>
    </row>
  </sheetData>
  <customSheetViews>
    <customSheetView guid="{818D6814-8976-4390-B9DF-A301351E9DE9}" showPageBreaks="1" printArea="1" showRuler="0" topLeftCell="A82">
      <selection activeCell="A295" sqref="A295"/>
      <rowBreaks count="4" manualBreakCount="4">
        <brk id="49" max="16383" man="1"/>
        <brk id="110" max="16383" man="1"/>
        <brk id="175" max="16383" man="1"/>
        <brk id="242" max="16383" man="1"/>
      </rowBreaks>
      <pageMargins left="0.5" right="0.5" top="0.5" bottom="0.25" header="0" footer="0"/>
      <printOptions horizontalCentered="1"/>
      <pageSetup scale="98" fitToHeight="17" orientation="portrait" r:id="rId1"/>
      <headerFooter alignWithMargins="0"/>
    </customSheetView>
  </customSheetViews>
  <mergeCells count="16">
    <mergeCell ref="A264:H264"/>
    <mergeCell ref="A265:H265"/>
    <mergeCell ref="A266:H266"/>
    <mergeCell ref="E270:F270"/>
    <mergeCell ref="A2:H2"/>
    <mergeCell ref="A3:H3"/>
    <mergeCell ref="A4:H4"/>
    <mergeCell ref="A89:H89"/>
    <mergeCell ref="E182:F182"/>
    <mergeCell ref="E95:F95"/>
    <mergeCell ref="A90:H90"/>
    <mergeCell ref="A91:H91"/>
    <mergeCell ref="A176:H176"/>
    <mergeCell ref="A177:H177"/>
    <mergeCell ref="A178:H178"/>
    <mergeCell ref="E8:F8"/>
  </mergeCells>
  <phoneticPr fontId="0" type="noConversion"/>
  <printOptions horizontalCentered="1"/>
  <pageMargins left="0.5" right="0.5" top="0.5" bottom="0.25" header="0" footer="0"/>
  <pageSetup scale="66" fitToHeight="17" orientation="portrait" r:id="rId2"/>
  <headerFooter alignWithMargins="0"/>
  <rowBreaks count="3" manualBreakCount="3">
    <brk id="87" max="9" man="1"/>
    <brk id="174" max="8" man="1"/>
    <brk id="262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">
    <tabColor rgb="FF92D050"/>
  </sheetPr>
  <dimension ref="A1:L291"/>
  <sheetViews>
    <sheetView view="pageBreakPreview" zoomScaleNormal="100" zoomScaleSheetLayoutView="100" workbookViewId="0">
      <selection activeCell="A26" sqref="A26"/>
    </sheetView>
  </sheetViews>
  <sheetFormatPr defaultColWidth="7" defaultRowHeight="11.25" x14ac:dyDescent="0.2"/>
  <cols>
    <col min="1" max="1" width="5" style="134" customWidth="1"/>
    <col min="2" max="2" width="50.796875" style="3" customWidth="1"/>
    <col min="3" max="3" width="15" style="3" bestFit="1" customWidth="1"/>
    <col min="4" max="6" width="17.59765625" style="3" bestFit="1" customWidth="1"/>
    <col min="7" max="7" width="11.59765625" style="3" bestFit="1" customWidth="1"/>
    <col min="8" max="8" width="20" style="3" bestFit="1" customWidth="1"/>
    <col min="9" max="10" width="7" style="3"/>
    <col min="11" max="11" width="15" style="3" bestFit="1" customWidth="1"/>
    <col min="12" max="12" width="14.3984375" style="3" bestFit="1" customWidth="1"/>
    <col min="13" max="16384" width="7" style="3"/>
  </cols>
  <sheetData>
    <row r="1" spans="1:8" x14ac:dyDescent="0.2">
      <c r="C1" s="6"/>
      <c r="H1" s="2" t="str">
        <f>adjno</f>
        <v>Exhibit No. 103</v>
      </c>
    </row>
    <row r="2" spans="1:8" x14ac:dyDescent="0.2">
      <c r="A2" s="356" t="str">
        <f>coname</f>
        <v>Columbia Gas of Pennsylvania, Inc.</v>
      </c>
      <c r="B2" s="356"/>
      <c r="C2" s="356"/>
      <c r="D2" s="356"/>
      <c r="E2" s="356"/>
      <c r="F2" s="356"/>
      <c r="G2" s="356"/>
      <c r="H2" s="2" t="s">
        <v>194</v>
      </c>
    </row>
    <row r="3" spans="1:8" x14ac:dyDescent="0.2">
      <c r="A3" s="356" t="s">
        <v>253</v>
      </c>
      <c r="B3" s="356"/>
      <c r="C3" s="356"/>
      <c r="D3" s="356"/>
      <c r="E3" s="356"/>
      <c r="F3" s="356"/>
      <c r="G3" s="356"/>
      <c r="H3" s="2" t="s">
        <v>494</v>
      </c>
    </row>
    <row r="4" spans="1:8" x14ac:dyDescent="0.2">
      <c r="A4" s="353" t="str">
        <f>TYDESC</f>
        <v>For the 12 Months Ended December 31, 2019</v>
      </c>
      <c r="B4" s="353"/>
      <c r="C4" s="353"/>
      <c r="D4" s="353"/>
      <c r="E4" s="353"/>
      <c r="F4" s="353"/>
      <c r="G4" s="353"/>
      <c r="H4" s="4" t="str">
        <f>'Sch1'!G4</f>
        <v>Witness: D. Joe Mays</v>
      </c>
    </row>
    <row r="5" spans="1:8" x14ac:dyDescent="0.2">
      <c r="G5" s="6"/>
    </row>
    <row r="6" spans="1:8" x14ac:dyDescent="0.2">
      <c r="A6" s="215"/>
      <c r="B6" s="145"/>
      <c r="C6" s="145"/>
      <c r="D6" s="145" t="s">
        <v>1</v>
      </c>
      <c r="E6" s="134"/>
      <c r="F6" s="134"/>
      <c r="G6" s="145" t="s">
        <v>2</v>
      </c>
      <c r="H6" s="145"/>
    </row>
    <row r="7" spans="1:8" x14ac:dyDescent="0.2">
      <c r="A7" s="215" t="s">
        <v>3</v>
      </c>
      <c r="B7" s="145"/>
      <c r="C7" s="145"/>
      <c r="D7" s="145" t="s">
        <v>4</v>
      </c>
      <c r="E7" s="357" t="s">
        <v>186</v>
      </c>
      <c r="F7" s="357"/>
      <c r="G7" s="145" t="s">
        <v>5</v>
      </c>
      <c r="H7" s="145" t="s">
        <v>268</v>
      </c>
    </row>
    <row r="8" spans="1:8" x14ac:dyDescent="0.2">
      <c r="A8" s="172" t="s">
        <v>6</v>
      </c>
      <c r="B8" s="160" t="s">
        <v>7</v>
      </c>
      <c r="C8" s="146" t="s">
        <v>268</v>
      </c>
      <c r="D8" s="146" t="s">
        <v>29</v>
      </c>
      <c r="E8" s="129" t="s">
        <v>9</v>
      </c>
      <c r="F8" s="129" t="s">
        <v>10</v>
      </c>
      <c r="G8" s="146" t="s">
        <v>111</v>
      </c>
      <c r="H8" s="146" t="s">
        <v>11</v>
      </c>
    </row>
    <row r="9" spans="1:8" x14ac:dyDescent="0.2">
      <c r="B9" s="134"/>
      <c r="C9" s="194" t="s">
        <v>12</v>
      </c>
      <c r="D9" s="194" t="s">
        <v>13</v>
      </c>
      <c r="E9" s="195" t="s">
        <v>32</v>
      </c>
      <c r="F9" s="195" t="s">
        <v>14</v>
      </c>
      <c r="G9" s="195" t="s">
        <v>15</v>
      </c>
      <c r="H9" s="195" t="s">
        <v>200</v>
      </c>
    </row>
    <row r="10" spans="1:8" x14ac:dyDescent="0.2">
      <c r="B10" s="134"/>
      <c r="C10" s="134"/>
      <c r="D10" s="9" t="s">
        <v>276</v>
      </c>
      <c r="E10" s="9" t="s">
        <v>276</v>
      </c>
      <c r="F10" s="9" t="s">
        <v>276</v>
      </c>
      <c r="G10" s="134"/>
      <c r="H10" s="134"/>
    </row>
    <row r="12" spans="1:8" x14ac:dyDescent="0.2">
      <c r="A12" s="134">
        <v>1</v>
      </c>
      <c r="B12" s="42" t="s">
        <v>120</v>
      </c>
    </row>
    <row r="13" spans="1:8" x14ac:dyDescent="0.2">
      <c r="B13" s="14"/>
      <c r="F13" s="11"/>
    </row>
    <row r="14" spans="1:8" x14ac:dyDescent="0.2">
      <c r="A14" s="134">
        <f>A12+1</f>
        <v>2</v>
      </c>
      <c r="B14" s="166" t="s">
        <v>41</v>
      </c>
      <c r="C14" s="202">
        <v>24789516.399999999</v>
      </c>
      <c r="D14" s="71">
        <v>0</v>
      </c>
      <c r="E14" s="29">
        <f>'Sch4'!C90</f>
        <v>241158</v>
      </c>
      <c r="F14" s="29">
        <f>'Sch4'!D90</f>
        <v>-42557</v>
      </c>
      <c r="G14" s="71">
        <v>0</v>
      </c>
      <c r="H14" s="29">
        <f>SUM(C14:G14)</f>
        <v>24988117.399999999</v>
      </c>
    </row>
    <row r="15" spans="1:8" x14ac:dyDescent="0.2">
      <c r="A15" s="134">
        <f>A14+1</f>
        <v>3</v>
      </c>
      <c r="B15" s="14" t="s">
        <v>129</v>
      </c>
      <c r="C15" s="11">
        <f>C14</f>
        <v>24789516.399999999</v>
      </c>
      <c r="D15" s="11">
        <f t="shared" ref="D15:H15" si="0">D14</f>
        <v>0</v>
      </c>
      <c r="E15" s="11">
        <f t="shared" si="0"/>
        <v>241158</v>
      </c>
      <c r="F15" s="11">
        <f t="shared" si="0"/>
        <v>-42557</v>
      </c>
      <c r="G15" s="11">
        <f t="shared" si="0"/>
        <v>0</v>
      </c>
      <c r="H15" s="11">
        <f t="shared" si="0"/>
        <v>24988117.399999999</v>
      </c>
    </row>
    <row r="16" spans="1:8" x14ac:dyDescent="0.2">
      <c r="C16" s="11"/>
      <c r="D16" s="11"/>
      <c r="E16" s="11"/>
      <c r="F16" s="11"/>
      <c r="G16" s="11"/>
      <c r="H16" s="11"/>
    </row>
    <row r="17" spans="1:8" x14ac:dyDescent="0.2">
      <c r="A17" s="134">
        <f>A15+1</f>
        <v>4</v>
      </c>
      <c r="B17" s="42" t="s">
        <v>618</v>
      </c>
      <c r="C17" s="11"/>
      <c r="D17" s="11"/>
      <c r="E17" s="11"/>
      <c r="F17" s="11"/>
      <c r="G17" s="11"/>
      <c r="H17" s="11"/>
    </row>
    <row r="18" spans="1:8" x14ac:dyDescent="0.2">
      <c r="B18" s="13"/>
      <c r="C18" s="11"/>
      <c r="D18" s="11"/>
      <c r="E18" s="11"/>
      <c r="F18" s="11"/>
      <c r="G18" s="11"/>
      <c r="H18" s="11"/>
    </row>
    <row r="19" spans="1:8" x14ac:dyDescent="0.2">
      <c r="A19" s="134">
        <f>A17+1</f>
        <v>5</v>
      </c>
      <c r="B19" s="164" t="str">
        <f>B14</f>
        <v>All Gas Consumed</v>
      </c>
      <c r="C19" s="202">
        <v>2524483.6</v>
      </c>
      <c r="D19" s="71">
        <v>0</v>
      </c>
      <c r="E19" s="29">
        <v>0</v>
      </c>
      <c r="F19" s="29">
        <v>0</v>
      </c>
      <c r="G19" s="71">
        <v>0</v>
      </c>
      <c r="H19" s="29">
        <f>SUM(C19:G19)</f>
        <v>2524483.6</v>
      </c>
    </row>
    <row r="20" spans="1:8" x14ac:dyDescent="0.2">
      <c r="A20" s="134">
        <f>A19+1</f>
        <v>6</v>
      </c>
      <c r="B20" s="14" t="s">
        <v>619</v>
      </c>
      <c r="C20" s="11">
        <f>C19</f>
        <v>2524483.6</v>
      </c>
      <c r="D20" s="11">
        <f t="shared" ref="D20:H20" si="1">D19</f>
        <v>0</v>
      </c>
      <c r="E20" s="11">
        <f t="shared" si="1"/>
        <v>0</v>
      </c>
      <c r="F20" s="11">
        <f t="shared" si="1"/>
        <v>0</v>
      </c>
      <c r="G20" s="11">
        <f t="shared" si="1"/>
        <v>0</v>
      </c>
      <c r="H20" s="11">
        <f t="shared" si="1"/>
        <v>2524483.6</v>
      </c>
    </row>
    <row r="21" spans="1:8" x14ac:dyDescent="0.2">
      <c r="B21" s="14"/>
      <c r="C21" s="11"/>
      <c r="D21" s="11"/>
      <c r="E21" s="11"/>
      <c r="F21" s="11"/>
      <c r="G21" s="11"/>
      <c r="H21" s="11"/>
    </row>
    <row r="22" spans="1:8" x14ac:dyDescent="0.2">
      <c r="A22" s="134">
        <f>A20+1</f>
        <v>7</v>
      </c>
      <c r="B22" s="42" t="s">
        <v>548</v>
      </c>
      <c r="C22" s="11"/>
      <c r="D22" s="11"/>
      <c r="E22" s="11"/>
      <c r="F22" s="11"/>
      <c r="G22" s="11"/>
      <c r="H22" s="11"/>
    </row>
    <row r="23" spans="1:8" x14ac:dyDescent="0.2">
      <c r="B23" s="13"/>
      <c r="C23" s="11"/>
      <c r="D23" s="11"/>
      <c r="E23" s="11"/>
      <c r="F23" s="11"/>
      <c r="G23" s="11"/>
      <c r="H23" s="11"/>
    </row>
    <row r="24" spans="1:8" x14ac:dyDescent="0.2">
      <c r="A24" s="134">
        <f>A22+1</f>
        <v>8</v>
      </c>
      <c r="B24" s="168" t="s">
        <v>19</v>
      </c>
      <c r="C24" s="11"/>
      <c r="D24" s="11"/>
      <c r="E24" s="11"/>
      <c r="F24" s="11"/>
      <c r="G24" s="11"/>
      <c r="H24" s="11"/>
    </row>
    <row r="25" spans="1:8" x14ac:dyDescent="0.2">
      <c r="C25" s="11"/>
      <c r="D25" s="11"/>
      <c r="E25" s="11"/>
      <c r="F25" s="11"/>
      <c r="G25" s="11"/>
      <c r="H25" s="11"/>
    </row>
    <row r="26" spans="1:8" s="153" customFormat="1" x14ac:dyDescent="0.2">
      <c r="A26" s="134">
        <f>A24+1</f>
        <v>9</v>
      </c>
      <c r="B26" s="166" t="s">
        <v>348</v>
      </c>
      <c r="C26" s="203">
        <v>4690331.4000000004</v>
      </c>
      <c r="D26" s="55">
        <v>0</v>
      </c>
      <c r="E26" s="11">
        <f>'Sch4'!C96</f>
        <v>219011</v>
      </c>
      <c r="F26" s="11">
        <f>'Sch4'!D96</f>
        <v>-119386</v>
      </c>
      <c r="G26" s="55">
        <v>0</v>
      </c>
      <c r="H26" s="11">
        <f>SUM(C26:G26)</f>
        <v>4789956.4000000004</v>
      </c>
    </row>
    <row r="27" spans="1:8" s="153" customFormat="1" x14ac:dyDescent="0.2">
      <c r="A27" s="134"/>
      <c r="B27" s="166"/>
      <c r="C27" s="203"/>
      <c r="D27" s="55"/>
      <c r="E27" s="11"/>
      <c r="F27" s="11"/>
      <c r="G27" s="55"/>
      <c r="H27" s="11"/>
    </row>
    <row r="28" spans="1:8" s="153" customFormat="1" x14ac:dyDescent="0.2">
      <c r="A28" s="134">
        <f>A26+1</f>
        <v>10</v>
      </c>
      <c r="B28" s="168" t="s">
        <v>21</v>
      </c>
      <c r="C28" s="11"/>
      <c r="D28" s="11"/>
      <c r="E28" s="11"/>
      <c r="F28" s="11"/>
      <c r="G28" s="11"/>
      <c r="H28" s="11"/>
    </row>
    <row r="29" spans="1:8" s="153" customFormat="1" x14ac:dyDescent="0.2">
      <c r="A29" s="134"/>
      <c r="B29" s="3"/>
      <c r="C29" s="11"/>
      <c r="D29" s="11"/>
      <c r="E29" s="11"/>
      <c r="F29" s="11"/>
      <c r="G29" s="11"/>
      <c r="H29" s="11"/>
    </row>
    <row r="30" spans="1:8" s="153" customFormat="1" x14ac:dyDescent="0.2">
      <c r="A30" s="134">
        <f>A28+1</f>
        <v>11</v>
      </c>
      <c r="B30" s="166" t="s">
        <v>348</v>
      </c>
      <c r="C30" s="202">
        <v>23022.7</v>
      </c>
      <c r="D30" s="71">
        <v>0</v>
      </c>
      <c r="E30" s="204">
        <v>0</v>
      </c>
      <c r="F30" s="204">
        <v>0</v>
      </c>
      <c r="G30" s="71">
        <v>0</v>
      </c>
      <c r="H30" s="29">
        <f>SUM(C30:G30)</f>
        <v>23022.7</v>
      </c>
    </row>
    <row r="31" spans="1:8" s="153" customFormat="1" x14ac:dyDescent="0.2">
      <c r="A31" s="134"/>
      <c r="B31" s="166"/>
      <c r="C31" s="203"/>
      <c r="D31" s="55"/>
      <c r="E31" s="11"/>
      <c r="F31" s="11"/>
      <c r="G31" s="55"/>
      <c r="H31" s="11"/>
    </row>
    <row r="32" spans="1:8" s="153" customFormat="1" x14ac:dyDescent="0.2">
      <c r="A32" s="134">
        <f>A30+1</f>
        <v>12</v>
      </c>
      <c r="B32" s="14" t="s">
        <v>122</v>
      </c>
      <c r="C32" s="11">
        <f>SUM(C26:C30)</f>
        <v>4713354.1000000006</v>
      </c>
      <c r="D32" s="11">
        <f t="shared" ref="D32:H32" si="2">SUM(D26:D30)</f>
        <v>0</v>
      </c>
      <c r="E32" s="11">
        <f t="shared" si="2"/>
        <v>219011</v>
      </c>
      <c r="F32" s="11">
        <f t="shared" si="2"/>
        <v>-119386</v>
      </c>
      <c r="G32" s="11">
        <f t="shared" si="2"/>
        <v>0</v>
      </c>
      <c r="H32" s="11">
        <f t="shared" si="2"/>
        <v>4812979.1000000006</v>
      </c>
    </row>
    <row r="33" spans="1:8" s="153" customFormat="1" x14ac:dyDescent="0.2">
      <c r="A33" s="134"/>
      <c r="B33" s="166"/>
      <c r="C33" s="203"/>
      <c r="D33" s="55"/>
      <c r="E33" s="11"/>
      <c r="F33" s="11"/>
      <c r="G33" s="55"/>
      <c r="H33" s="11"/>
    </row>
    <row r="34" spans="1:8" s="153" customFormat="1" x14ac:dyDescent="0.2">
      <c r="A34" s="134">
        <f>A32+1</f>
        <v>13</v>
      </c>
      <c r="B34" s="42" t="s">
        <v>546</v>
      </c>
      <c r="C34" s="11"/>
      <c r="D34" s="11"/>
      <c r="E34" s="11"/>
      <c r="F34" s="11"/>
      <c r="G34" s="55"/>
      <c r="H34" s="11"/>
    </row>
    <row r="35" spans="1:8" s="153" customFormat="1" x14ac:dyDescent="0.2">
      <c r="A35" s="134"/>
      <c r="B35" s="13"/>
      <c r="C35" s="11"/>
      <c r="D35" s="11"/>
      <c r="E35" s="11"/>
      <c r="F35" s="11"/>
      <c r="G35" s="55"/>
      <c r="H35" s="11"/>
    </row>
    <row r="36" spans="1:8" s="153" customFormat="1" x14ac:dyDescent="0.2">
      <c r="A36" s="134">
        <f>A34+1</f>
        <v>14</v>
      </c>
      <c r="B36" s="168" t="s">
        <v>19</v>
      </c>
      <c r="C36" s="11"/>
      <c r="D36" s="11"/>
      <c r="E36" s="11"/>
      <c r="F36" s="11"/>
      <c r="G36" s="55"/>
      <c r="H36" s="11"/>
    </row>
    <row r="37" spans="1:8" s="153" customFormat="1" x14ac:dyDescent="0.2">
      <c r="A37" s="134"/>
      <c r="B37" s="166"/>
      <c r="C37" s="203"/>
      <c r="D37" s="55"/>
      <c r="E37" s="11"/>
      <c r="F37" s="11"/>
      <c r="G37" s="55"/>
      <c r="H37" s="11"/>
    </row>
    <row r="38" spans="1:8" x14ac:dyDescent="0.2">
      <c r="A38" s="134">
        <f>A36+1</f>
        <v>15</v>
      </c>
      <c r="B38" s="167" t="s">
        <v>482</v>
      </c>
      <c r="C38" s="203">
        <v>3956452.1</v>
      </c>
      <c r="D38" s="55">
        <v>0</v>
      </c>
      <c r="E38" s="55">
        <v>0</v>
      </c>
      <c r="F38" s="55">
        <v>0</v>
      </c>
      <c r="G38" s="55">
        <v>0</v>
      </c>
      <c r="H38" s="11">
        <f>SUM(C38:G38)</f>
        <v>3956452.1</v>
      </c>
    </row>
    <row r="39" spans="1:8" x14ac:dyDescent="0.2">
      <c r="A39" s="3"/>
    </row>
    <row r="40" spans="1:8" x14ac:dyDescent="0.2">
      <c r="A40" s="134">
        <f>A38+1</f>
        <v>16</v>
      </c>
      <c r="B40" s="168" t="s">
        <v>21</v>
      </c>
    </row>
    <row r="41" spans="1:8" s="153" customFormat="1" x14ac:dyDescent="0.2"/>
    <row r="42" spans="1:8" x14ac:dyDescent="0.2">
      <c r="A42" s="134">
        <f>A40+1</f>
        <v>17</v>
      </c>
      <c r="B42" s="167" t="s">
        <v>482</v>
      </c>
      <c r="C42" s="202">
        <v>98561.7</v>
      </c>
      <c r="D42" s="71">
        <f>'Sch4'!E130</f>
        <v>0</v>
      </c>
      <c r="E42" s="71">
        <v>0</v>
      </c>
      <c r="F42" s="71">
        <v>0</v>
      </c>
      <c r="G42" s="71">
        <v>0</v>
      </c>
      <c r="H42" s="29">
        <f>SUM(C42:G42)</f>
        <v>98561.7</v>
      </c>
    </row>
    <row r="43" spans="1:8" x14ac:dyDescent="0.2">
      <c r="A43" s="3"/>
    </row>
    <row r="44" spans="1:8" x14ac:dyDescent="0.2">
      <c r="A44" s="134">
        <f>A42+1</f>
        <v>18</v>
      </c>
      <c r="B44" s="14" t="s">
        <v>122</v>
      </c>
      <c r="C44" s="11">
        <f>SUM(C38:C42)</f>
        <v>4055013.8000000003</v>
      </c>
      <c r="D44" s="11">
        <f t="shared" ref="D44:H44" si="3">SUM(D38:D42)</f>
        <v>0</v>
      </c>
      <c r="E44" s="11">
        <f t="shared" si="3"/>
        <v>0</v>
      </c>
      <c r="F44" s="11">
        <f t="shared" si="3"/>
        <v>0</v>
      </c>
      <c r="G44" s="11">
        <f t="shared" si="3"/>
        <v>0</v>
      </c>
      <c r="H44" s="11">
        <f t="shared" si="3"/>
        <v>4055013.8000000003</v>
      </c>
    </row>
    <row r="45" spans="1:8" s="153" customFormat="1" x14ac:dyDescent="0.2">
      <c r="A45" s="134"/>
      <c r="B45" s="14"/>
      <c r="C45" s="11"/>
      <c r="D45" s="11"/>
      <c r="E45" s="11"/>
      <c r="F45" s="11"/>
      <c r="G45" s="11"/>
      <c r="H45" s="11"/>
    </row>
    <row r="46" spans="1:8" x14ac:dyDescent="0.2">
      <c r="A46" s="134">
        <f>A44+1</f>
        <v>19</v>
      </c>
      <c r="B46" s="34" t="s">
        <v>219</v>
      </c>
    </row>
    <row r="47" spans="1:8" x14ac:dyDescent="0.2">
      <c r="B47" s="14"/>
    </row>
    <row r="48" spans="1:8" x14ac:dyDescent="0.2">
      <c r="A48" s="134">
        <f>A46+1</f>
        <v>20</v>
      </c>
      <c r="B48" s="168" t="s">
        <v>19</v>
      </c>
      <c r="C48" s="11"/>
      <c r="D48" s="11"/>
      <c r="E48" s="11"/>
      <c r="F48" s="11"/>
      <c r="G48" s="11"/>
      <c r="H48" s="11"/>
    </row>
    <row r="49" spans="1:11" x14ac:dyDescent="0.2">
      <c r="C49" s="11"/>
      <c r="D49" s="11"/>
      <c r="E49" s="11"/>
      <c r="F49" s="11"/>
      <c r="G49" s="11"/>
      <c r="H49" s="11"/>
    </row>
    <row r="50" spans="1:11" x14ac:dyDescent="0.2">
      <c r="A50" s="134">
        <f>A48+1</f>
        <v>21</v>
      </c>
      <c r="B50" s="167" t="s">
        <v>350</v>
      </c>
      <c r="C50" s="202">
        <v>72700</v>
      </c>
      <c r="D50" s="71">
        <v>0</v>
      </c>
      <c r="E50" s="71">
        <v>0</v>
      </c>
      <c r="F50" s="71">
        <v>0</v>
      </c>
      <c r="G50" s="71">
        <v>0</v>
      </c>
      <c r="H50" s="29">
        <f>SUM(C50:G50)</f>
        <v>72700</v>
      </c>
      <c r="J50" s="73"/>
    </row>
    <row r="51" spans="1:11" x14ac:dyDescent="0.2">
      <c r="A51" s="134">
        <f>A50+1</f>
        <v>22</v>
      </c>
      <c r="B51" s="14" t="s">
        <v>220</v>
      </c>
      <c r="C51" s="11">
        <f t="shared" ref="C51:H51" si="4">SUM(C50:C50)</f>
        <v>72700</v>
      </c>
      <c r="D51" s="11">
        <f t="shared" si="4"/>
        <v>0</v>
      </c>
      <c r="E51" s="11">
        <f t="shared" si="4"/>
        <v>0</v>
      </c>
      <c r="F51" s="11">
        <f t="shared" si="4"/>
        <v>0</v>
      </c>
      <c r="G51" s="11">
        <f t="shared" si="4"/>
        <v>0</v>
      </c>
      <c r="H51" s="11">
        <f t="shared" si="4"/>
        <v>72700</v>
      </c>
      <c r="K51" s="31"/>
    </row>
    <row r="52" spans="1:11" x14ac:dyDescent="0.2">
      <c r="B52" s="14"/>
      <c r="C52" s="11"/>
      <c r="D52" s="11"/>
      <c r="E52" s="11"/>
      <c r="F52" s="11"/>
      <c r="G52" s="11"/>
      <c r="H52" s="11"/>
    </row>
    <row r="53" spans="1:11" x14ac:dyDescent="0.2">
      <c r="A53" s="134">
        <f>A51+1</f>
        <v>23</v>
      </c>
      <c r="B53" s="168" t="s">
        <v>21</v>
      </c>
      <c r="C53" s="11"/>
      <c r="D53" s="83"/>
      <c r="E53" s="11"/>
      <c r="F53" s="11"/>
      <c r="G53" s="11"/>
      <c r="H53" s="11"/>
    </row>
    <row r="54" spans="1:11" x14ac:dyDescent="0.2">
      <c r="C54" s="11"/>
      <c r="D54" s="11"/>
      <c r="E54" s="11"/>
      <c r="F54" s="11"/>
      <c r="G54" s="11"/>
      <c r="H54" s="11"/>
    </row>
    <row r="55" spans="1:11" x14ac:dyDescent="0.2">
      <c r="A55" s="134">
        <f>A53+1</f>
        <v>24</v>
      </c>
      <c r="B55" s="167" t="s">
        <v>350</v>
      </c>
      <c r="C55" s="202">
        <v>0</v>
      </c>
      <c r="D55" s="38">
        <v>0</v>
      </c>
      <c r="E55" s="38">
        <v>0</v>
      </c>
      <c r="F55" s="38">
        <v>0</v>
      </c>
      <c r="G55" s="38">
        <v>0</v>
      </c>
      <c r="H55" s="29">
        <f>SUM(C55:G55)</f>
        <v>0</v>
      </c>
    </row>
    <row r="56" spans="1:11" x14ac:dyDescent="0.2">
      <c r="A56" s="134">
        <f>A55+1</f>
        <v>25</v>
      </c>
      <c r="B56" s="14" t="s">
        <v>220</v>
      </c>
      <c r="C56" s="11">
        <f t="shared" ref="C56:H56" si="5">SUM(C55:C55)</f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  <c r="H56" s="11">
        <f t="shared" si="5"/>
        <v>0</v>
      </c>
    </row>
    <row r="57" spans="1:11" x14ac:dyDescent="0.2">
      <c r="B57" s="14"/>
      <c r="C57" s="11"/>
      <c r="D57" s="11"/>
      <c r="E57" s="11"/>
      <c r="F57" s="11"/>
      <c r="G57" s="11"/>
      <c r="H57" s="11"/>
    </row>
    <row r="58" spans="1:11" x14ac:dyDescent="0.2">
      <c r="A58" s="134">
        <f>A56+1</f>
        <v>26</v>
      </c>
      <c r="B58" s="42" t="s">
        <v>121</v>
      </c>
      <c r="C58" s="11"/>
      <c r="D58" s="11"/>
      <c r="E58" s="11"/>
      <c r="F58" s="11"/>
      <c r="G58" s="11"/>
      <c r="H58" s="11"/>
    </row>
    <row r="59" spans="1:11" x14ac:dyDescent="0.2">
      <c r="B59" s="13"/>
      <c r="C59" s="11"/>
      <c r="D59" s="11"/>
      <c r="E59" s="11"/>
      <c r="F59" s="11"/>
      <c r="G59" s="11"/>
      <c r="H59" s="11"/>
    </row>
    <row r="60" spans="1:11" x14ac:dyDescent="0.2">
      <c r="A60" s="134">
        <f>A58+1</f>
        <v>27</v>
      </c>
      <c r="B60" s="168" t="s">
        <v>19</v>
      </c>
      <c r="C60" s="11"/>
      <c r="D60" s="11"/>
      <c r="E60" s="11"/>
      <c r="F60" s="11"/>
      <c r="G60" s="11"/>
      <c r="H60" s="11"/>
    </row>
    <row r="61" spans="1:11" x14ac:dyDescent="0.2">
      <c r="C61" s="11"/>
      <c r="D61" s="11"/>
      <c r="E61" s="11"/>
      <c r="F61" s="11"/>
      <c r="G61" s="11"/>
      <c r="H61" s="11"/>
    </row>
    <row r="62" spans="1:11" x14ac:dyDescent="0.2">
      <c r="A62" s="134">
        <f>A60+1</f>
        <v>28</v>
      </c>
      <c r="B62" s="167" t="s">
        <v>483</v>
      </c>
      <c r="C62" s="214">
        <v>408198.6</v>
      </c>
      <c r="D62" s="55">
        <v>0</v>
      </c>
      <c r="E62" s="55">
        <v>0</v>
      </c>
      <c r="F62" s="55">
        <v>0</v>
      </c>
      <c r="G62" s="55">
        <v>0</v>
      </c>
      <c r="H62" s="11">
        <f t="shared" ref="H62:H67" si="6">SUM(C62:G62)</f>
        <v>408198.6</v>
      </c>
    </row>
    <row r="63" spans="1:11" x14ac:dyDescent="0.2">
      <c r="A63" s="134">
        <f>A62+1</f>
        <v>29</v>
      </c>
      <c r="B63" s="167" t="s">
        <v>484</v>
      </c>
      <c r="C63" s="214">
        <v>310438.2</v>
      </c>
      <c r="D63" s="55">
        <v>0</v>
      </c>
      <c r="E63" s="55">
        <v>0</v>
      </c>
      <c r="F63" s="55">
        <v>0</v>
      </c>
      <c r="G63" s="55">
        <v>0</v>
      </c>
      <c r="H63" s="11">
        <f t="shared" si="6"/>
        <v>310438.2</v>
      </c>
    </row>
    <row r="64" spans="1:11" s="153" customFormat="1" x14ac:dyDescent="0.2">
      <c r="A64" s="134">
        <f>A63+1</f>
        <v>30</v>
      </c>
      <c r="B64" s="167" t="s">
        <v>353</v>
      </c>
      <c r="C64" s="214">
        <v>0</v>
      </c>
      <c r="D64" s="11">
        <f>'Sch4'!F120</f>
        <v>0</v>
      </c>
      <c r="E64" s="214">
        <v>0</v>
      </c>
      <c r="F64" s="214">
        <v>0</v>
      </c>
      <c r="G64" s="214">
        <v>0</v>
      </c>
      <c r="H64" s="11">
        <f t="shared" si="6"/>
        <v>0</v>
      </c>
    </row>
    <row r="65" spans="1:8" s="153" customFormat="1" x14ac:dyDescent="0.2">
      <c r="A65" s="134">
        <f>A64+1</f>
        <v>31</v>
      </c>
      <c r="B65" s="167" t="s">
        <v>339</v>
      </c>
      <c r="C65" s="214">
        <v>0</v>
      </c>
      <c r="D65" s="11">
        <f>'Sch4'!F121</f>
        <v>0</v>
      </c>
      <c r="E65" s="214">
        <v>0</v>
      </c>
      <c r="F65" s="214">
        <v>0</v>
      </c>
      <c r="G65" s="214">
        <v>0</v>
      </c>
      <c r="H65" s="11">
        <f t="shared" si="6"/>
        <v>0</v>
      </c>
    </row>
    <row r="66" spans="1:8" s="153" customFormat="1" x14ac:dyDescent="0.2">
      <c r="A66" s="134">
        <f>A65+1</f>
        <v>32</v>
      </c>
      <c r="B66" s="167" t="s">
        <v>340</v>
      </c>
      <c r="C66" s="214">
        <v>0</v>
      </c>
      <c r="D66" s="11">
        <f>'Sch4'!F122</f>
        <v>0</v>
      </c>
      <c r="E66" s="214">
        <v>0</v>
      </c>
      <c r="F66" s="214">
        <v>0</v>
      </c>
      <c r="G66" s="214">
        <v>0</v>
      </c>
      <c r="H66" s="11">
        <f t="shared" si="6"/>
        <v>0</v>
      </c>
    </row>
    <row r="67" spans="1:8" s="153" customFormat="1" x14ac:dyDescent="0.2">
      <c r="A67" s="134">
        <f>A66+1</f>
        <v>33</v>
      </c>
      <c r="B67" s="167" t="s">
        <v>286</v>
      </c>
      <c r="C67" s="214">
        <v>0</v>
      </c>
      <c r="D67" s="11">
        <f>'Sch4'!F124</f>
        <v>0</v>
      </c>
      <c r="E67" s="214">
        <v>0</v>
      </c>
      <c r="F67" s="214">
        <v>0</v>
      </c>
      <c r="G67" s="214">
        <v>0</v>
      </c>
      <c r="H67" s="11">
        <f t="shared" si="6"/>
        <v>0</v>
      </c>
    </row>
    <row r="68" spans="1:8" s="153" customFormat="1" x14ac:dyDescent="0.2">
      <c r="A68" s="134"/>
      <c r="B68" s="14"/>
      <c r="C68" s="11"/>
      <c r="D68" s="11"/>
      <c r="E68" s="11"/>
      <c r="F68" s="11"/>
      <c r="G68" s="11"/>
      <c r="H68" s="11"/>
    </row>
    <row r="69" spans="1:8" s="153" customFormat="1" x14ac:dyDescent="0.2">
      <c r="A69" s="134">
        <f>A67+1</f>
        <v>34</v>
      </c>
      <c r="B69" s="168" t="s">
        <v>21</v>
      </c>
      <c r="C69" s="11"/>
      <c r="D69" s="11"/>
      <c r="E69" s="11"/>
      <c r="F69" s="11"/>
      <c r="G69" s="11"/>
      <c r="H69" s="11"/>
    </row>
    <row r="70" spans="1:8" s="153" customFormat="1" x14ac:dyDescent="0.2">
      <c r="A70" s="134"/>
      <c r="B70" s="168"/>
      <c r="C70" s="11"/>
      <c r="D70" s="11"/>
      <c r="E70" s="11"/>
      <c r="F70" s="11"/>
      <c r="G70" s="11"/>
      <c r="H70" s="11"/>
    </row>
    <row r="71" spans="1:8" s="153" customFormat="1" x14ac:dyDescent="0.2">
      <c r="A71" s="134">
        <f>A69+1</f>
        <v>35</v>
      </c>
      <c r="B71" s="167" t="s">
        <v>483</v>
      </c>
      <c r="C71" s="203">
        <v>21211.5</v>
      </c>
      <c r="D71" s="203">
        <v>0</v>
      </c>
      <c r="E71" s="203">
        <v>0</v>
      </c>
      <c r="F71" s="203">
        <v>0</v>
      </c>
      <c r="G71" s="203">
        <v>0</v>
      </c>
      <c r="H71" s="11">
        <f t="shared" ref="H71:H76" si="7">SUM(C71:G71)</f>
        <v>21211.5</v>
      </c>
    </row>
    <row r="72" spans="1:8" s="153" customFormat="1" x14ac:dyDescent="0.2">
      <c r="A72" s="134">
        <f>A71+1</f>
        <v>36</v>
      </c>
      <c r="B72" s="167" t="s">
        <v>484</v>
      </c>
      <c r="C72" s="214">
        <v>26204.9</v>
      </c>
      <c r="D72" s="203">
        <v>0</v>
      </c>
      <c r="E72" s="203">
        <v>0</v>
      </c>
      <c r="F72" s="203">
        <v>0</v>
      </c>
      <c r="G72" s="203">
        <v>0</v>
      </c>
      <c r="H72" s="11">
        <f t="shared" si="7"/>
        <v>26204.9</v>
      </c>
    </row>
    <row r="73" spans="1:8" s="153" customFormat="1" x14ac:dyDescent="0.2">
      <c r="A73" s="134">
        <f>A72+1</f>
        <v>37</v>
      </c>
      <c r="B73" s="167" t="s">
        <v>353</v>
      </c>
      <c r="C73" s="214">
        <v>0</v>
      </c>
      <c r="D73" s="11">
        <f>'Sch4'!F120</f>
        <v>0</v>
      </c>
      <c r="E73" s="203">
        <v>0</v>
      </c>
      <c r="F73" s="203">
        <v>0</v>
      </c>
      <c r="G73" s="203">
        <v>0</v>
      </c>
      <c r="H73" s="11">
        <f t="shared" si="7"/>
        <v>0</v>
      </c>
    </row>
    <row r="74" spans="1:8" s="153" customFormat="1" x14ac:dyDescent="0.2">
      <c r="A74" s="134">
        <f>A73+1</f>
        <v>38</v>
      </c>
      <c r="B74" s="167" t="s">
        <v>339</v>
      </c>
      <c r="C74" s="214">
        <v>0</v>
      </c>
      <c r="D74" s="11">
        <f>'Sch4'!F121</f>
        <v>0</v>
      </c>
      <c r="E74" s="203">
        <v>0</v>
      </c>
      <c r="F74" s="203">
        <v>0</v>
      </c>
      <c r="G74" s="203">
        <v>0</v>
      </c>
      <c r="H74" s="11">
        <f t="shared" si="7"/>
        <v>0</v>
      </c>
    </row>
    <row r="75" spans="1:8" s="153" customFormat="1" x14ac:dyDescent="0.2">
      <c r="A75" s="134">
        <f>A74+1</f>
        <v>39</v>
      </c>
      <c r="B75" s="167" t="s">
        <v>340</v>
      </c>
      <c r="C75" s="214">
        <v>0</v>
      </c>
      <c r="D75" s="11">
        <f>'Sch4'!F122</f>
        <v>0</v>
      </c>
      <c r="E75" s="214">
        <v>0</v>
      </c>
      <c r="F75" s="214">
        <v>0</v>
      </c>
      <c r="G75" s="214">
        <v>0</v>
      </c>
      <c r="H75" s="11">
        <f t="shared" si="7"/>
        <v>0</v>
      </c>
    </row>
    <row r="76" spans="1:8" s="153" customFormat="1" x14ac:dyDescent="0.2">
      <c r="A76" s="134">
        <f>A75+1</f>
        <v>40</v>
      </c>
      <c r="B76" s="167" t="s">
        <v>286</v>
      </c>
      <c r="C76" s="214">
        <v>0</v>
      </c>
      <c r="D76" s="11">
        <f>'Sch4'!F123</f>
        <v>0</v>
      </c>
      <c r="E76" s="214">
        <v>0</v>
      </c>
      <c r="F76" s="214">
        <v>0</v>
      </c>
      <c r="G76" s="214">
        <v>0</v>
      </c>
      <c r="H76" s="11">
        <f t="shared" si="7"/>
        <v>0</v>
      </c>
    </row>
    <row r="77" spans="1:8" s="153" customFormat="1" x14ac:dyDescent="0.2">
      <c r="A77" s="134"/>
      <c r="B77" s="164"/>
      <c r="C77" s="202"/>
      <c r="D77" s="71"/>
      <c r="E77" s="71"/>
      <c r="F77" s="71"/>
      <c r="G77" s="71"/>
      <c r="H77" s="71"/>
    </row>
    <row r="78" spans="1:8" s="153" customFormat="1" x14ac:dyDescent="0.2">
      <c r="A78" s="134">
        <f>A76+1</f>
        <v>41</v>
      </c>
      <c r="B78" s="14" t="s">
        <v>131</v>
      </c>
      <c r="C78" s="11">
        <f t="shared" ref="C78:H78" si="8">C62+C63+C64+C65+C66+C67</f>
        <v>718636.8</v>
      </c>
      <c r="D78" s="11">
        <f t="shared" si="8"/>
        <v>0</v>
      </c>
      <c r="E78" s="11">
        <f t="shared" si="8"/>
        <v>0</v>
      </c>
      <c r="F78" s="11">
        <f t="shared" si="8"/>
        <v>0</v>
      </c>
      <c r="G78" s="11">
        <f t="shared" si="8"/>
        <v>0</v>
      </c>
      <c r="H78" s="11">
        <f t="shared" si="8"/>
        <v>718636.8</v>
      </c>
    </row>
    <row r="79" spans="1:8" s="153" customFormat="1" x14ac:dyDescent="0.2">
      <c r="A79" s="134"/>
      <c r="B79" s="164"/>
      <c r="C79" s="202"/>
      <c r="D79" s="71"/>
      <c r="E79" s="71"/>
      <c r="F79" s="71"/>
      <c r="G79" s="71"/>
      <c r="H79" s="71"/>
    </row>
    <row r="80" spans="1:8" s="153" customFormat="1" x14ac:dyDescent="0.2">
      <c r="A80" s="134">
        <f>A78+1</f>
        <v>42</v>
      </c>
      <c r="B80" s="14" t="s">
        <v>130</v>
      </c>
      <c r="C80" s="11">
        <f t="shared" ref="C80:H80" si="9">C71+C72+C73+C74+C75+C76</f>
        <v>47416.4</v>
      </c>
      <c r="D80" s="11">
        <f t="shared" si="9"/>
        <v>0</v>
      </c>
      <c r="E80" s="11">
        <f t="shared" si="9"/>
        <v>0</v>
      </c>
      <c r="F80" s="11">
        <f t="shared" si="9"/>
        <v>0</v>
      </c>
      <c r="G80" s="11">
        <f t="shared" si="9"/>
        <v>0</v>
      </c>
      <c r="H80" s="11">
        <f t="shared" si="9"/>
        <v>47416.4</v>
      </c>
    </row>
    <row r="81" spans="1:8" s="153" customFormat="1" x14ac:dyDescent="0.2">
      <c r="A81" s="134"/>
      <c r="C81" s="40"/>
      <c r="D81" s="40"/>
      <c r="E81" s="31"/>
      <c r="F81" s="31"/>
      <c r="G81" s="31"/>
      <c r="H81" s="31"/>
    </row>
    <row r="82" spans="1:8" s="153" customFormat="1" x14ac:dyDescent="0.2">
      <c r="A82" s="134">
        <f>A80+1</f>
        <v>43</v>
      </c>
      <c r="B82" s="14" t="s">
        <v>124</v>
      </c>
      <c r="C82" s="11">
        <f>C78+C80</f>
        <v>766053.20000000007</v>
      </c>
      <c r="D82" s="11">
        <f t="shared" ref="D82:H82" si="10">D78+D80</f>
        <v>0</v>
      </c>
      <c r="E82" s="11">
        <f t="shared" si="10"/>
        <v>0</v>
      </c>
      <c r="F82" s="11">
        <f t="shared" si="10"/>
        <v>0</v>
      </c>
      <c r="G82" s="11">
        <f t="shared" si="10"/>
        <v>0</v>
      </c>
      <c r="H82" s="11">
        <f t="shared" si="10"/>
        <v>766053.20000000007</v>
      </c>
    </row>
    <row r="83" spans="1:8" s="153" customFormat="1" x14ac:dyDescent="0.2">
      <c r="A83" s="134"/>
      <c r="B83" s="167"/>
      <c r="C83" s="214"/>
      <c r="D83" s="55"/>
      <c r="E83" s="55"/>
      <c r="F83" s="55"/>
      <c r="G83" s="55"/>
      <c r="H83" s="11"/>
    </row>
    <row r="84" spans="1:8" x14ac:dyDescent="0.2">
      <c r="C84" s="11"/>
      <c r="D84" s="11"/>
      <c r="E84" s="11"/>
      <c r="F84" s="11"/>
      <c r="G84" s="11"/>
      <c r="H84" s="2" t="str">
        <f>adjno</f>
        <v>Exhibit No. 103</v>
      </c>
    </row>
    <row r="85" spans="1:8" x14ac:dyDescent="0.2">
      <c r="A85" s="356" t="str">
        <f>coname</f>
        <v>Columbia Gas of Pennsylvania, Inc.</v>
      </c>
      <c r="B85" s="356"/>
      <c r="C85" s="356"/>
      <c r="D85" s="356"/>
      <c r="E85" s="356"/>
      <c r="F85" s="356"/>
      <c r="G85" s="356"/>
      <c r="H85" s="2" t="s">
        <v>194</v>
      </c>
    </row>
    <row r="86" spans="1:8" x14ac:dyDescent="0.2">
      <c r="A86" s="356" t="s">
        <v>253</v>
      </c>
      <c r="B86" s="356"/>
      <c r="C86" s="356"/>
      <c r="D86" s="356"/>
      <c r="E86" s="356"/>
      <c r="F86" s="356"/>
      <c r="G86" s="356"/>
      <c r="H86" s="2" t="s">
        <v>495</v>
      </c>
    </row>
    <row r="87" spans="1:8" x14ac:dyDescent="0.2">
      <c r="A87" s="353" t="str">
        <f>TYDESC</f>
        <v>For the 12 Months Ended December 31, 2019</v>
      </c>
      <c r="B87" s="353"/>
      <c r="C87" s="353"/>
      <c r="D87" s="353"/>
      <c r="E87" s="353"/>
      <c r="F87" s="353"/>
      <c r="G87" s="353"/>
      <c r="H87" s="4" t="str">
        <f>'Sch1'!G4</f>
        <v>Witness: D. Joe Mays</v>
      </c>
    </row>
    <row r="88" spans="1:8" x14ac:dyDescent="0.2">
      <c r="G88" s="6"/>
    </row>
    <row r="89" spans="1:8" x14ac:dyDescent="0.2">
      <c r="A89" s="215"/>
      <c r="B89" s="145"/>
      <c r="C89" s="145"/>
      <c r="D89" s="145" t="s">
        <v>1</v>
      </c>
      <c r="E89" s="134"/>
      <c r="F89" s="134"/>
      <c r="G89" s="145" t="s">
        <v>2</v>
      </c>
      <c r="H89" s="145"/>
    </row>
    <row r="90" spans="1:8" x14ac:dyDescent="0.2">
      <c r="A90" s="215" t="s">
        <v>3</v>
      </c>
      <c r="B90" s="145"/>
      <c r="C90" s="145"/>
      <c r="D90" s="145" t="s">
        <v>4</v>
      </c>
      <c r="E90" s="357" t="s">
        <v>186</v>
      </c>
      <c r="F90" s="357"/>
      <c r="G90" s="145" t="s">
        <v>5</v>
      </c>
      <c r="H90" s="145" t="s">
        <v>268</v>
      </c>
    </row>
    <row r="91" spans="1:8" x14ac:dyDescent="0.2">
      <c r="A91" s="172" t="s">
        <v>6</v>
      </c>
      <c r="B91" s="160" t="s">
        <v>7</v>
      </c>
      <c r="C91" s="146" t="s">
        <v>268</v>
      </c>
      <c r="D91" s="146" t="s">
        <v>29</v>
      </c>
      <c r="E91" s="129" t="s">
        <v>9</v>
      </c>
      <c r="F91" s="129" t="s">
        <v>10</v>
      </c>
      <c r="G91" s="146" t="s">
        <v>111</v>
      </c>
      <c r="H91" s="146" t="s">
        <v>11</v>
      </c>
    </row>
    <row r="92" spans="1:8" x14ac:dyDescent="0.2">
      <c r="B92" s="134"/>
      <c r="C92" s="194" t="s">
        <v>12</v>
      </c>
      <c r="D92" s="194" t="s">
        <v>13</v>
      </c>
      <c r="E92" s="195" t="s">
        <v>32</v>
      </c>
      <c r="F92" s="195" t="s">
        <v>14</v>
      </c>
      <c r="G92" s="195" t="s">
        <v>15</v>
      </c>
      <c r="H92" s="195" t="s">
        <v>200</v>
      </c>
    </row>
    <row r="93" spans="1:8" x14ac:dyDescent="0.2">
      <c r="B93" s="134"/>
      <c r="C93" s="134"/>
      <c r="D93" s="9" t="s">
        <v>276</v>
      </c>
      <c r="E93" s="9" t="s">
        <v>276</v>
      </c>
      <c r="F93" s="9" t="s">
        <v>276</v>
      </c>
      <c r="G93" s="134"/>
      <c r="H93" s="134"/>
    </row>
    <row r="94" spans="1:8" ht="12" thickBot="1" x14ac:dyDescent="0.25"/>
    <row r="95" spans="1:8" x14ac:dyDescent="0.2">
      <c r="A95" s="221">
        <v>1</v>
      </c>
      <c r="B95" s="88" t="s">
        <v>23</v>
      </c>
      <c r="C95" s="17"/>
      <c r="D95" s="17"/>
      <c r="E95" s="17"/>
      <c r="F95" s="17"/>
      <c r="G95" s="17"/>
      <c r="H95" s="84"/>
    </row>
    <row r="96" spans="1:8" x14ac:dyDescent="0.2">
      <c r="A96" s="222"/>
      <c r="B96" s="155"/>
      <c r="C96" s="21"/>
      <c r="D96" s="21"/>
      <c r="E96" s="21"/>
      <c r="F96" s="21"/>
      <c r="G96" s="21"/>
      <c r="H96" s="47"/>
    </row>
    <row r="97" spans="1:12" x14ac:dyDescent="0.2">
      <c r="A97" s="222">
        <f>A95+1</f>
        <v>2</v>
      </c>
      <c r="B97" s="162" t="s">
        <v>24</v>
      </c>
      <c r="C97" s="21">
        <f t="shared" ref="C97:H97" si="11">C15+C20</f>
        <v>27314000</v>
      </c>
      <c r="D97" s="21">
        <f t="shared" si="11"/>
        <v>0</v>
      </c>
      <c r="E97" s="21">
        <f t="shared" si="11"/>
        <v>241158</v>
      </c>
      <c r="F97" s="21">
        <f t="shared" si="11"/>
        <v>-42557</v>
      </c>
      <c r="G97" s="21">
        <f t="shared" si="11"/>
        <v>0</v>
      </c>
      <c r="H97" s="47">
        <f t="shared" si="11"/>
        <v>27512601</v>
      </c>
    </row>
    <row r="98" spans="1:12" x14ac:dyDescent="0.2">
      <c r="A98" s="222"/>
      <c r="B98" s="162"/>
      <c r="C98" s="21"/>
      <c r="D98" s="21"/>
      <c r="E98" s="21"/>
      <c r="F98" s="21"/>
      <c r="G98" s="21"/>
      <c r="H98" s="47"/>
    </row>
    <row r="99" spans="1:12" x14ac:dyDescent="0.2">
      <c r="A99" s="222">
        <f>A97+1</f>
        <v>3</v>
      </c>
      <c r="B99" s="162" t="s">
        <v>25</v>
      </c>
      <c r="C99" s="21">
        <f t="shared" ref="C99:H99" si="12">C51+C78+C38+C26</f>
        <v>9438120.3000000007</v>
      </c>
      <c r="D99" s="21">
        <f t="shared" si="12"/>
        <v>0</v>
      </c>
      <c r="E99" s="21">
        <f t="shared" si="12"/>
        <v>219011</v>
      </c>
      <c r="F99" s="21">
        <f t="shared" si="12"/>
        <v>-119386</v>
      </c>
      <c r="G99" s="21">
        <f t="shared" si="12"/>
        <v>0</v>
      </c>
      <c r="H99" s="47">
        <f t="shared" si="12"/>
        <v>9537745.3000000007</v>
      </c>
      <c r="K99" s="31"/>
      <c r="L99" s="31"/>
    </row>
    <row r="100" spans="1:12" x14ac:dyDescent="0.2">
      <c r="A100" s="222"/>
      <c r="B100" s="162"/>
      <c r="C100" s="21"/>
      <c r="D100" s="21"/>
      <c r="E100" s="21"/>
      <c r="F100" s="21"/>
      <c r="G100" s="21"/>
      <c r="H100" s="47"/>
    </row>
    <row r="101" spans="1:12" x14ac:dyDescent="0.2">
      <c r="A101" s="222">
        <f>A99+1</f>
        <v>4</v>
      </c>
      <c r="B101" s="162" t="s">
        <v>26</v>
      </c>
      <c r="C101" s="23">
        <f t="shared" ref="C101:H101" si="13">C56+C80+C42+C30</f>
        <v>169000.80000000002</v>
      </c>
      <c r="D101" s="23">
        <f t="shared" si="13"/>
        <v>0</v>
      </c>
      <c r="E101" s="23">
        <f t="shared" si="13"/>
        <v>0</v>
      </c>
      <c r="F101" s="23">
        <f t="shared" si="13"/>
        <v>0</v>
      </c>
      <c r="G101" s="23">
        <f t="shared" si="13"/>
        <v>0</v>
      </c>
      <c r="H101" s="85">
        <f t="shared" si="13"/>
        <v>169000.80000000002</v>
      </c>
      <c r="L101" s="31"/>
    </row>
    <row r="102" spans="1:12" x14ac:dyDescent="0.2">
      <c r="A102" s="222"/>
      <c r="B102" s="155"/>
      <c r="C102" s="21"/>
      <c r="D102" s="21"/>
      <c r="E102" s="21"/>
      <c r="F102" s="21"/>
      <c r="G102" s="21"/>
      <c r="H102" s="47"/>
    </row>
    <row r="103" spans="1:12" ht="12" thickBot="1" x14ac:dyDescent="0.25">
      <c r="A103" s="223">
        <f>A101+1</f>
        <v>5</v>
      </c>
      <c r="B103" s="24" t="s">
        <v>27</v>
      </c>
      <c r="C103" s="26">
        <f>SUM(C97:C101)</f>
        <v>36921121.099999994</v>
      </c>
      <c r="D103" s="26">
        <f t="shared" ref="D103:H103" si="14">SUM(D97:D101)</f>
        <v>0</v>
      </c>
      <c r="E103" s="26">
        <f t="shared" si="14"/>
        <v>460169</v>
      </c>
      <c r="F103" s="26">
        <f t="shared" si="14"/>
        <v>-161943</v>
      </c>
      <c r="G103" s="26">
        <f t="shared" si="14"/>
        <v>0</v>
      </c>
      <c r="H103" s="50">
        <f t="shared" si="14"/>
        <v>37219347.099999994</v>
      </c>
    </row>
    <row r="105" spans="1:12" s="153" customFormat="1" x14ac:dyDescent="0.2">
      <c r="A105" s="134"/>
      <c r="C105" s="11"/>
      <c r="D105" s="11"/>
      <c r="E105" s="11"/>
      <c r="F105" s="11"/>
      <c r="G105" s="11"/>
      <c r="H105" s="2" t="str">
        <f>adjno</f>
        <v>Exhibit No. 103</v>
      </c>
    </row>
    <row r="106" spans="1:12" x14ac:dyDescent="0.2">
      <c r="A106" s="134">
        <f>A103+1</f>
        <v>6</v>
      </c>
      <c r="B106" s="42" t="s">
        <v>113</v>
      </c>
      <c r="C106" s="36"/>
      <c r="D106" s="54"/>
      <c r="E106" s="54"/>
      <c r="F106" s="54"/>
      <c r="G106" s="58"/>
      <c r="H106" s="36"/>
    </row>
    <row r="107" spans="1:12" x14ac:dyDescent="0.2">
      <c r="B107" s="13"/>
      <c r="C107" s="36"/>
      <c r="D107" s="54"/>
      <c r="E107" s="54"/>
      <c r="F107" s="54"/>
      <c r="G107" s="58"/>
      <c r="H107" s="36"/>
    </row>
    <row r="108" spans="1:12" x14ac:dyDescent="0.2">
      <c r="A108" s="134">
        <f>A106+1</f>
        <v>7</v>
      </c>
      <c r="B108" s="166" t="s">
        <v>41</v>
      </c>
      <c r="C108" s="202">
        <v>6925000</v>
      </c>
      <c r="D108" s="71">
        <v>0</v>
      </c>
      <c r="E108" s="71">
        <v>0</v>
      </c>
      <c r="F108" s="71">
        <v>0</v>
      </c>
      <c r="G108" s="71">
        <v>0</v>
      </c>
      <c r="H108" s="29">
        <f>SUM(C108:G108)</f>
        <v>6925000</v>
      </c>
    </row>
    <row r="109" spans="1:12" x14ac:dyDescent="0.2">
      <c r="A109" s="134">
        <f>A108+1</f>
        <v>8</v>
      </c>
      <c r="B109" s="14" t="s">
        <v>132</v>
      </c>
      <c r="C109" s="11">
        <f>C108</f>
        <v>6925000</v>
      </c>
      <c r="D109" s="11">
        <f t="shared" ref="D109:H109" si="15">D108</f>
        <v>0</v>
      </c>
      <c r="E109" s="11">
        <f t="shared" si="15"/>
        <v>0</v>
      </c>
      <c r="F109" s="11">
        <f t="shared" si="15"/>
        <v>0</v>
      </c>
      <c r="G109" s="11">
        <f t="shared" si="15"/>
        <v>0</v>
      </c>
      <c r="H109" s="11">
        <f t="shared" si="15"/>
        <v>6925000</v>
      </c>
    </row>
    <row r="110" spans="1:12" x14ac:dyDescent="0.2">
      <c r="B110" s="134"/>
      <c r="C110" s="134"/>
      <c r="D110" s="9"/>
      <c r="E110" s="9"/>
      <c r="F110" s="134"/>
      <c r="G110" s="134"/>
      <c r="H110" s="134"/>
    </row>
    <row r="111" spans="1:12" x14ac:dyDescent="0.2">
      <c r="A111" s="134">
        <f>A109+1</f>
        <v>9</v>
      </c>
      <c r="B111" s="34" t="s">
        <v>551</v>
      </c>
      <c r="C111" s="36"/>
      <c r="D111" s="54"/>
      <c r="E111" s="54"/>
      <c r="F111" s="54"/>
      <c r="G111" s="58"/>
      <c r="H111" s="36"/>
    </row>
    <row r="112" spans="1:12" x14ac:dyDescent="0.2">
      <c r="B112" s="13"/>
      <c r="C112" s="36"/>
      <c r="D112" s="54"/>
      <c r="E112" s="54"/>
      <c r="F112" s="54"/>
      <c r="G112" s="58"/>
      <c r="H112" s="36"/>
    </row>
    <row r="113" spans="1:11" s="153" customFormat="1" x14ac:dyDescent="0.2">
      <c r="A113" s="134">
        <f>A111+1</f>
        <v>10</v>
      </c>
      <c r="B113" s="166" t="s">
        <v>348</v>
      </c>
      <c r="C113" s="203">
        <v>1392058.1</v>
      </c>
      <c r="D113" s="55">
        <v>0</v>
      </c>
      <c r="E113" s="55">
        <v>0</v>
      </c>
      <c r="F113" s="55">
        <v>0</v>
      </c>
      <c r="G113" s="41">
        <v>0</v>
      </c>
      <c r="H113" s="11">
        <f>SUM(C113:G113)</f>
        <v>1392058.1</v>
      </c>
    </row>
    <row r="114" spans="1:11" s="153" customFormat="1" x14ac:dyDescent="0.2">
      <c r="A114" s="134"/>
      <c r="B114" s="166"/>
      <c r="C114" s="203"/>
      <c r="D114" s="55"/>
      <c r="E114" s="55"/>
      <c r="F114" s="55"/>
      <c r="G114" s="41"/>
      <c r="H114" s="11"/>
    </row>
    <row r="115" spans="1:11" s="153" customFormat="1" x14ac:dyDescent="0.2">
      <c r="A115" s="134">
        <f>A113+1</f>
        <v>11</v>
      </c>
      <c r="B115" s="34" t="s">
        <v>552</v>
      </c>
      <c r="C115" s="203"/>
      <c r="D115" s="55"/>
      <c r="E115" s="55"/>
      <c r="F115" s="55"/>
      <c r="G115" s="41"/>
      <c r="H115" s="11"/>
    </row>
    <row r="116" spans="1:11" s="153" customFormat="1" x14ac:dyDescent="0.2">
      <c r="A116" s="134"/>
      <c r="B116" s="34"/>
      <c r="C116" s="203"/>
      <c r="D116" s="55"/>
      <c r="E116" s="55"/>
      <c r="F116" s="55"/>
      <c r="G116" s="41"/>
      <c r="H116" s="11"/>
    </row>
    <row r="117" spans="1:11" x14ac:dyDescent="0.2">
      <c r="A117" s="134">
        <f>A115+1</f>
        <v>12</v>
      </c>
      <c r="B117" s="167" t="s">
        <v>482</v>
      </c>
      <c r="C117" s="202">
        <v>973921.5</v>
      </c>
      <c r="D117" s="71">
        <v>0</v>
      </c>
      <c r="E117" s="71">
        <v>0</v>
      </c>
      <c r="F117" s="71">
        <v>0</v>
      </c>
      <c r="G117" s="38">
        <v>0</v>
      </c>
      <c r="H117" s="29">
        <f>SUM(C117:G117)</f>
        <v>973921.5</v>
      </c>
    </row>
    <row r="118" spans="1:11" s="153" customFormat="1" x14ac:dyDescent="0.2">
      <c r="A118" s="134"/>
      <c r="B118" s="167"/>
      <c r="C118" s="202"/>
      <c r="D118" s="71"/>
      <c r="E118" s="71"/>
      <c r="F118" s="71"/>
      <c r="G118" s="38"/>
      <c r="H118" s="29"/>
    </row>
    <row r="119" spans="1:11" x14ac:dyDescent="0.2">
      <c r="A119" s="134">
        <f>A117+1</f>
        <v>13</v>
      </c>
      <c r="B119" s="14" t="s">
        <v>133</v>
      </c>
      <c r="C119" s="11">
        <f t="shared" ref="C119:H119" si="16">C113+C117</f>
        <v>2365979.6</v>
      </c>
      <c r="D119" s="11">
        <f t="shared" si="16"/>
        <v>0</v>
      </c>
      <c r="E119" s="11">
        <f t="shared" si="16"/>
        <v>0</v>
      </c>
      <c r="F119" s="11">
        <f t="shared" si="16"/>
        <v>0</v>
      </c>
      <c r="G119" s="11">
        <f t="shared" si="16"/>
        <v>0</v>
      </c>
      <c r="H119" s="11">
        <f t="shared" si="16"/>
        <v>2365979.6</v>
      </c>
    </row>
    <row r="120" spans="1:11" x14ac:dyDescent="0.2">
      <c r="B120" s="14"/>
      <c r="C120" s="11"/>
      <c r="D120" s="11"/>
      <c r="E120" s="11"/>
      <c r="F120" s="11"/>
      <c r="G120" s="11"/>
      <c r="H120" s="11"/>
    </row>
    <row r="121" spans="1:11" x14ac:dyDescent="0.2">
      <c r="A121" s="134">
        <f>A119+1</f>
        <v>14</v>
      </c>
      <c r="B121" s="34" t="s">
        <v>553</v>
      </c>
      <c r="C121" s="11"/>
      <c r="D121" s="11"/>
      <c r="E121" s="11"/>
      <c r="F121" s="11"/>
      <c r="G121" s="11"/>
      <c r="H121" s="11"/>
    </row>
    <row r="122" spans="1:11" x14ac:dyDescent="0.2">
      <c r="B122" s="13"/>
      <c r="C122" s="11"/>
      <c r="D122" s="11"/>
      <c r="E122" s="11"/>
      <c r="F122" s="11"/>
      <c r="G122" s="11"/>
      <c r="H122" s="11"/>
    </row>
    <row r="123" spans="1:11" x14ac:dyDescent="0.2">
      <c r="A123" s="134">
        <f>A121+1</f>
        <v>15</v>
      </c>
      <c r="B123" s="168" t="s">
        <v>19</v>
      </c>
      <c r="C123" s="11"/>
      <c r="D123" s="11"/>
      <c r="E123" s="11"/>
      <c r="F123" s="11"/>
      <c r="G123" s="11"/>
      <c r="H123" s="11"/>
    </row>
    <row r="124" spans="1:11" x14ac:dyDescent="0.2">
      <c r="C124" s="11"/>
      <c r="D124" s="11"/>
      <c r="E124" s="11"/>
      <c r="F124" s="11"/>
      <c r="G124" s="11"/>
      <c r="H124" s="11"/>
    </row>
    <row r="125" spans="1:11" x14ac:dyDescent="0.2">
      <c r="A125" s="134">
        <f>A123+1</f>
        <v>16</v>
      </c>
      <c r="B125" s="164" t="s">
        <v>134</v>
      </c>
    </row>
    <row r="126" spans="1:11" s="153" customFormat="1" x14ac:dyDescent="0.2">
      <c r="A126" s="134">
        <f>A125+1</f>
        <v>17</v>
      </c>
      <c r="B126" s="166" t="s">
        <v>348</v>
      </c>
      <c r="C126" s="203">
        <v>39105.1</v>
      </c>
      <c r="D126" s="55">
        <v>0</v>
      </c>
      <c r="E126" s="55">
        <v>0</v>
      </c>
      <c r="F126" s="55">
        <v>0</v>
      </c>
      <c r="G126" s="41">
        <v>0</v>
      </c>
      <c r="H126" s="11">
        <f>SUM(C126:G126)</f>
        <v>39105.1</v>
      </c>
      <c r="K126" s="153" t="s">
        <v>629</v>
      </c>
    </row>
    <row r="127" spans="1:11" s="153" customFormat="1" x14ac:dyDescent="0.2">
      <c r="A127" s="134"/>
      <c r="B127" s="166"/>
      <c r="C127" s="203"/>
      <c r="D127" s="55"/>
      <c r="E127" s="55"/>
      <c r="F127" s="55"/>
      <c r="G127" s="41"/>
      <c r="H127" s="11"/>
    </row>
    <row r="128" spans="1:11" s="153" customFormat="1" x14ac:dyDescent="0.2">
      <c r="A128" s="134">
        <f>A126+1</f>
        <v>18</v>
      </c>
      <c r="B128" s="164" t="s">
        <v>135</v>
      </c>
      <c r="D128" s="3"/>
      <c r="E128" s="3"/>
      <c r="F128" s="3"/>
      <c r="G128" s="3"/>
      <c r="H128" s="3"/>
    </row>
    <row r="129" spans="1:11" s="153" customFormat="1" x14ac:dyDescent="0.2">
      <c r="A129" s="134">
        <f>A128+1</f>
        <v>19</v>
      </c>
      <c r="B129" s="166" t="s">
        <v>348</v>
      </c>
      <c r="C129" s="203">
        <v>209017</v>
      </c>
      <c r="D129" s="55">
        <v>0</v>
      </c>
      <c r="E129" s="55">
        <v>0</v>
      </c>
      <c r="F129" s="55">
        <v>0</v>
      </c>
      <c r="G129" s="41">
        <v>0</v>
      </c>
      <c r="H129" s="11">
        <f>SUM(C129:G129)</f>
        <v>209017</v>
      </c>
    </row>
    <row r="130" spans="1:11" s="153" customFormat="1" x14ac:dyDescent="0.2">
      <c r="A130" s="134"/>
      <c r="B130" s="166"/>
      <c r="C130" s="203"/>
      <c r="D130" s="55"/>
      <c r="E130" s="55"/>
      <c r="F130" s="55"/>
      <c r="G130" s="41"/>
      <c r="H130" s="11"/>
      <c r="K130" s="153" t="s">
        <v>473</v>
      </c>
    </row>
    <row r="131" spans="1:11" s="153" customFormat="1" x14ac:dyDescent="0.2">
      <c r="A131" s="134">
        <f>A129+1</f>
        <v>20</v>
      </c>
      <c r="B131" s="164" t="s">
        <v>149</v>
      </c>
      <c r="C131" s="204">
        <v>930</v>
      </c>
      <c r="D131" s="38">
        <v>0</v>
      </c>
      <c r="E131" s="71">
        <v>0</v>
      </c>
      <c r="F131" s="71">
        <v>0</v>
      </c>
      <c r="G131" s="71">
        <v>0</v>
      </c>
      <c r="H131" s="29">
        <f>SUM(C131:G131)</f>
        <v>930</v>
      </c>
    </row>
    <row r="132" spans="1:11" s="153" customFormat="1" x14ac:dyDescent="0.2">
      <c r="A132" s="134">
        <f>A131+1</f>
        <v>21</v>
      </c>
      <c r="B132" s="14" t="s">
        <v>136</v>
      </c>
      <c r="C132" s="11">
        <f>SUM(C126:C131)</f>
        <v>249052.1</v>
      </c>
      <c r="D132" s="11">
        <f t="shared" ref="D132:H132" si="17">SUM(D126:D131)</f>
        <v>0</v>
      </c>
      <c r="E132" s="11">
        <f t="shared" si="17"/>
        <v>0</v>
      </c>
      <c r="F132" s="11">
        <f t="shared" si="17"/>
        <v>0</v>
      </c>
      <c r="G132" s="11">
        <f t="shared" si="17"/>
        <v>0</v>
      </c>
      <c r="H132" s="11">
        <f t="shared" si="17"/>
        <v>249052.1</v>
      </c>
    </row>
    <row r="133" spans="1:11" s="153" customFormat="1" x14ac:dyDescent="0.2">
      <c r="A133" s="134"/>
      <c r="B133" s="14"/>
      <c r="C133" s="11"/>
      <c r="D133" s="11"/>
      <c r="E133" s="11"/>
      <c r="F133" s="11"/>
      <c r="G133" s="11"/>
      <c r="H133" s="11"/>
    </row>
    <row r="134" spans="1:11" s="153" customFormat="1" x14ac:dyDescent="0.2">
      <c r="A134" s="134">
        <f>A132+1</f>
        <v>22</v>
      </c>
      <c r="B134" s="168" t="s">
        <v>21</v>
      </c>
      <c r="C134" s="11"/>
      <c r="D134" s="11"/>
      <c r="E134" s="11"/>
      <c r="F134" s="11"/>
      <c r="G134" s="11"/>
      <c r="H134" s="11"/>
    </row>
    <row r="135" spans="1:11" s="153" customFormat="1" x14ac:dyDescent="0.2">
      <c r="A135" s="134"/>
      <c r="B135" s="3"/>
      <c r="C135" s="11"/>
      <c r="D135" s="11"/>
      <c r="E135" s="11"/>
      <c r="F135" s="11"/>
      <c r="G135" s="11"/>
      <c r="H135" s="11"/>
    </row>
    <row r="136" spans="1:11" s="153" customFormat="1" x14ac:dyDescent="0.2">
      <c r="A136" s="134">
        <f>A134+1</f>
        <v>23</v>
      </c>
      <c r="B136" s="166" t="str">
        <f>B125</f>
        <v>Priority 1 - Aggregation</v>
      </c>
      <c r="C136" s="3"/>
      <c r="D136" s="3"/>
      <c r="E136" s="3"/>
      <c r="F136" s="3"/>
      <c r="G136" s="3"/>
      <c r="H136" s="3"/>
    </row>
    <row r="137" spans="1:11" s="153" customFormat="1" x14ac:dyDescent="0.2">
      <c r="A137" s="134">
        <f>A136+1</f>
        <v>24</v>
      </c>
      <c r="B137" s="166" t="s">
        <v>348</v>
      </c>
      <c r="C137" s="203">
        <v>0</v>
      </c>
      <c r="D137" s="55">
        <v>0</v>
      </c>
      <c r="E137" s="55">
        <v>0</v>
      </c>
      <c r="F137" s="55">
        <v>0</v>
      </c>
      <c r="G137" s="55">
        <v>0</v>
      </c>
      <c r="H137" s="11">
        <f>SUM(C137:G137)</f>
        <v>0</v>
      </c>
      <c r="K137" s="153" t="s">
        <v>629</v>
      </c>
    </row>
    <row r="138" spans="1:11" s="153" customFormat="1" x14ac:dyDescent="0.2">
      <c r="A138" s="134"/>
      <c r="B138" s="14"/>
      <c r="C138" s="11"/>
      <c r="D138" s="11"/>
      <c r="E138" s="11"/>
      <c r="F138" s="11"/>
      <c r="G138" s="11"/>
      <c r="H138" s="11"/>
    </row>
    <row r="139" spans="1:11" s="153" customFormat="1" x14ac:dyDescent="0.2">
      <c r="A139" s="134">
        <f>A137+1</f>
        <v>25</v>
      </c>
      <c r="B139" s="166" t="str">
        <f>B128</f>
        <v>All Other - Aggregation</v>
      </c>
      <c r="C139" s="3"/>
      <c r="D139" s="3"/>
      <c r="E139" s="3"/>
      <c r="F139" s="3"/>
      <c r="G139" s="3"/>
      <c r="H139" s="3"/>
    </row>
    <row r="140" spans="1:11" s="153" customFormat="1" x14ac:dyDescent="0.2">
      <c r="A140" s="134">
        <f>A139+1</f>
        <v>26</v>
      </c>
      <c r="B140" s="166" t="s">
        <v>348</v>
      </c>
      <c r="C140" s="203">
        <v>2831.4</v>
      </c>
      <c r="D140" s="55">
        <v>0</v>
      </c>
      <c r="E140" s="55">
        <v>0</v>
      </c>
      <c r="F140" s="55">
        <v>0</v>
      </c>
      <c r="G140" s="55">
        <v>0</v>
      </c>
      <c r="H140" s="11">
        <f>SUM(C140:G140)</f>
        <v>2831.4</v>
      </c>
    </row>
    <row r="141" spans="1:11" s="153" customFormat="1" x14ac:dyDescent="0.2">
      <c r="A141" s="134"/>
      <c r="B141" s="14"/>
      <c r="C141" s="11"/>
      <c r="D141" s="11"/>
      <c r="E141" s="11"/>
      <c r="F141" s="11"/>
      <c r="G141" s="11"/>
      <c r="H141" s="11"/>
      <c r="K141" s="153" t="s">
        <v>473</v>
      </c>
    </row>
    <row r="142" spans="1:11" s="153" customFormat="1" x14ac:dyDescent="0.2">
      <c r="A142" s="134">
        <f>A140+1</f>
        <v>27</v>
      </c>
      <c r="B142" s="164" t="s">
        <v>149</v>
      </c>
      <c r="C142" s="204">
        <v>0</v>
      </c>
      <c r="D142" s="38">
        <v>0</v>
      </c>
      <c r="E142" s="71">
        <v>0</v>
      </c>
      <c r="F142" s="71">
        <v>0</v>
      </c>
      <c r="G142" s="71">
        <v>0</v>
      </c>
      <c r="H142" s="29">
        <f>SUM(C142:G142)</f>
        <v>0</v>
      </c>
    </row>
    <row r="143" spans="1:11" s="153" customFormat="1" x14ac:dyDescent="0.2">
      <c r="A143" s="134">
        <f>A142+1</f>
        <v>28</v>
      </c>
      <c r="B143" s="14" t="s">
        <v>137</v>
      </c>
      <c r="C143" s="11">
        <f>SUM(C137:C142)</f>
        <v>2831.4</v>
      </c>
      <c r="D143" s="11">
        <f t="shared" ref="D143:H143" si="18">SUM(D137:D142)</f>
        <v>0</v>
      </c>
      <c r="E143" s="11">
        <f t="shared" si="18"/>
        <v>0</v>
      </c>
      <c r="F143" s="11">
        <f t="shared" si="18"/>
        <v>0</v>
      </c>
      <c r="G143" s="11">
        <f t="shared" si="18"/>
        <v>0</v>
      </c>
      <c r="H143" s="11">
        <f t="shared" si="18"/>
        <v>2831.4</v>
      </c>
    </row>
    <row r="144" spans="1:11" s="153" customFormat="1" x14ac:dyDescent="0.2">
      <c r="A144" s="134"/>
      <c r="B144" s="14"/>
      <c r="C144" s="11"/>
      <c r="D144" s="11"/>
      <c r="E144" s="11"/>
      <c r="F144" s="11"/>
      <c r="G144" s="11"/>
      <c r="H144" s="11"/>
    </row>
    <row r="145" spans="1:11" s="153" customFormat="1" x14ac:dyDescent="0.2">
      <c r="A145" s="134">
        <f>A143+1</f>
        <v>29</v>
      </c>
      <c r="B145" s="34" t="s">
        <v>555</v>
      </c>
      <c r="C145" s="203"/>
      <c r="D145" s="55"/>
      <c r="E145" s="55"/>
      <c r="F145" s="55"/>
      <c r="G145" s="41"/>
      <c r="H145" s="11"/>
    </row>
    <row r="146" spans="1:11" s="153" customFormat="1" x14ac:dyDescent="0.2">
      <c r="A146" s="134"/>
      <c r="B146" s="34"/>
      <c r="C146" s="203"/>
      <c r="D146" s="55"/>
      <c r="E146" s="55"/>
      <c r="F146" s="55"/>
      <c r="G146" s="41"/>
      <c r="H146" s="11"/>
    </row>
    <row r="147" spans="1:11" s="153" customFormat="1" x14ac:dyDescent="0.2">
      <c r="A147" s="134">
        <f>A145+1</f>
        <v>30</v>
      </c>
      <c r="B147" s="168" t="s">
        <v>19</v>
      </c>
      <c r="C147" s="203"/>
      <c r="D147" s="55"/>
      <c r="E147" s="55"/>
      <c r="F147" s="55"/>
      <c r="G147" s="41"/>
      <c r="H147" s="11"/>
    </row>
    <row r="148" spans="1:11" s="153" customFormat="1" x14ac:dyDescent="0.2">
      <c r="A148" s="134"/>
      <c r="B148" s="166"/>
      <c r="C148" s="203"/>
      <c r="D148" s="55"/>
      <c r="E148" s="55"/>
      <c r="F148" s="55"/>
      <c r="G148" s="41"/>
      <c r="H148" s="11"/>
    </row>
    <row r="149" spans="1:11" s="153" customFormat="1" x14ac:dyDescent="0.2">
      <c r="A149" s="134">
        <f>A147+1</f>
        <v>31</v>
      </c>
      <c r="B149" s="164" t="s">
        <v>134</v>
      </c>
      <c r="C149" s="203"/>
      <c r="D149" s="55"/>
      <c r="E149" s="55"/>
      <c r="F149" s="55"/>
      <c r="G149" s="41"/>
      <c r="H149" s="11"/>
    </row>
    <row r="150" spans="1:11" s="153" customFormat="1" x14ac:dyDescent="0.2">
      <c r="A150" s="134">
        <f>A149+1</f>
        <v>32</v>
      </c>
      <c r="B150" s="167" t="s">
        <v>482</v>
      </c>
      <c r="C150" s="203">
        <v>789146.4</v>
      </c>
      <c r="D150" s="55">
        <v>0</v>
      </c>
      <c r="E150" s="55">
        <f>'Sch4'!C101</f>
        <v>0</v>
      </c>
      <c r="F150" s="55">
        <f>'Sch4'!D101</f>
        <v>0</v>
      </c>
      <c r="G150" s="41">
        <v>0</v>
      </c>
      <c r="H150" s="11">
        <f>SUM(C150:G150)</f>
        <v>789146.4</v>
      </c>
      <c r="K150" s="153" t="s">
        <v>630</v>
      </c>
    </row>
    <row r="151" spans="1:11" s="153" customFormat="1" x14ac:dyDescent="0.2">
      <c r="A151" s="134"/>
      <c r="B151" s="165"/>
      <c r="C151" s="203"/>
      <c r="D151" s="55"/>
      <c r="E151" s="55"/>
      <c r="F151" s="55"/>
      <c r="G151" s="41"/>
      <c r="H151" s="11"/>
    </row>
    <row r="152" spans="1:11" x14ac:dyDescent="0.2">
      <c r="A152" s="134">
        <f>A150+1</f>
        <v>33</v>
      </c>
      <c r="B152" s="164" t="s">
        <v>135</v>
      </c>
      <c r="K152" s="153"/>
    </row>
    <row r="153" spans="1:11" s="153" customFormat="1" x14ac:dyDescent="0.2">
      <c r="A153" s="134">
        <f>A152+1</f>
        <v>34</v>
      </c>
      <c r="B153" s="167" t="s">
        <v>482</v>
      </c>
      <c r="C153" s="203">
        <v>2883512.3</v>
      </c>
      <c r="D153" s="55">
        <v>0</v>
      </c>
      <c r="E153" s="55">
        <f>'Sch4'!C106</f>
        <v>0</v>
      </c>
      <c r="F153" s="55">
        <f>'Sch4'!D106</f>
        <v>0</v>
      </c>
      <c r="G153" s="41">
        <v>0</v>
      </c>
      <c r="H153" s="11">
        <f>SUM(C153:G153)</f>
        <v>2883512.3</v>
      </c>
    </row>
    <row r="154" spans="1:11" s="153" customFormat="1" x14ac:dyDescent="0.2">
      <c r="A154" s="134"/>
      <c r="B154" s="165"/>
      <c r="C154" s="11"/>
      <c r="D154" s="71"/>
      <c r="E154" s="71"/>
      <c r="F154" s="71"/>
      <c r="G154" s="38"/>
      <c r="H154" s="29"/>
      <c r="K154" s="153" t="s">
        <v>474</v>
      </c>
    </row>
    <row r="155" spans="1:11" x14ac:dyDescent="0.2">
      <c r="A155" s="134">
        <f>A153+1</f>
        <v>35</v>
      </c>
      <c r="B155" s="164" t="s">
        <v>149</v>
      </c>
      <c r="C155" s="204">
        <v>27168.3</v>
      </c>
      <c r="D155" s="38">
        <v>0</v>
      </c>
      <c r="E155" s="71">
        <v>0</v>
      </c>
      <c r="F155" s="71">
        <v>0</v>
      </c>
      <c r="G155" s="71">
        <v>0</v>
      </c>
      <c r="H155" s="29">
        <f>SUM(C155:G155)</f>
        <v>27168.3</v>
      </c>
    </row>
    <row r="156" spans="1:11" x14ac:dyDescent="0.2">
      <c r="A156" s="134">
        <f>A155+1</f>
        <v>36</v>
      </c>
      <c r="B156" s="14" t="s">
        <v>136</v>
      </c>
      <c r="C156" s="11">
        <f>SUM(C150:C155)</f>
        <v>3699826.9999999995</v>
      </c>
      <c r="D156" s="11">
        <f t="shared" ref="D156:H156" si="19">SUM(D150:D155)</f>
        <v>0</v>
      </c>
      <c r="E156" s="11">
        <f t="shared" si="19"/>
        <v>0</v>
      </c>
      <c r="F156" s="11">
        <f t="shared" si="19"/>
        <v>0</v>
      </c>
      <c r="G156" s="11">
        <f t="shared" si="19"/>
        <v>0</v>
      </c>
      <c r="H156" s="11">
        <f t="shared" si="19"/>
        <v>3699826.9999999995</v>
      </c>
    </row>
    <row r="157" spans="1:11" s="153" customFormat="1" x14ac:dyDescent="0.2">
      <c r="A157" s="134"/>
      <c r="B157" s="14"/>
      <c r="C157" s="11"/>
      <c r="D157" s="11"/>
      <c r="E157" s="11"/>
      <c r="F157" s="11"/>
      <c r="G157" s="11"/>
      <c r="H157" s="11"/>
    </row>
    <row r="158" spans="1:11" s="153" customFormat="1" x14ac:dyDescent="0.2">
      <c r="A158" s="134">
        <f>A156+1</f>
        <v>37</v>
      </c>
      <c r="B158" s="168" t="s">
        <v>21</v>
      </c>
      <c r="C158" s="3"/>
      <c r="D158" s="3"/>
      <c r="E158" s="3"/>
      <c r="F158" s="3"/>
      <c r="G158" s="3"/>
      <c r="H158" s="3"/>
    </row>
    <row r="159" spans="1:11" s="153" customFormat="1" x14ac:dyDescent="0.2">
      <c r="A159" s="134">
        <f>A158+1</f>
        <v>38</v>
      </c>
      <c r="B159" s="166" t="str">
        <f>B149</f>
        <v>Priority 1 - Aggregation</v>
      </c>
      <c r="C159" s="3"/>
      <c r="D159" s="3"/>
      <c r="E159" s="3"/>
      <c r="F159" s="3"/>
      <c r="G159" s="3"/>
      <c r="H159" s="3"/>
    </row>
    <row r="160" spans="1:11" s="153" customFormat="1" x14ac:dyDescent="0.2">
      <c r="A160" s="134">
        <f>A159+1</f>
        <v>39</v>
      </c>
      <c r="B160" s="167" t="s">
        <v>482</v>
      </c>
      <c r="C160" s="203">
        <v>0</v>
      </c>
      <c r="D160" s="55">
        <v>0</v>
      </c>
      <c r="E160" s="55">
        <v>0</v>
      </c>
      <c r="F160" s="55">
        <v>0</v>
      </c>
      <c r="G160" s="55">
        <v>0</v>
      </c>
      <c r="H160" s="11">
        <f>SUM(C160:G160)</f>
        <v>0</v>
      </c>
      <c r="K160" s="153" t="s">
        <v>630</v>
      </c>
    </row>
    <row r="161" spans="1:11" s="153" customFormat="1" x14ac:dyDescent="0.2">
      <c r="A161" s="3"/>
      <c r="B161" s="3"/>
      <c r="C161" s="3"/>
      <c r="D161" s="3"/>
      <c r="E161" s="3"/>
      <c r="F161" s="3"/>
      <c r="G161" s="3"/>
      <c r="H161" s="3"/>
    </row>
    <row r="162" spans="1:11" s="153" customFormat="1" x14ac:dyDescent="0.2">
      <c r="A162" s="134">
        <f>A160+1</f>
        <v>40</v>
      </c>
      <c r="B162" s="166" t="str">
        <f>B152</f>
        <v>All Other - Aggregation</v>
      </c>
    </row>
    <row r="163" spans="1:11" s="153" customFormat="1" x14ac:dyDescent="0.2">
      <c r="A163" s="134">
        <f>A162+1</f>
        <v>41</v>
      </c>
      <c r="B163" s="167" t="s">
        <v>482</v>
      </c>
      <c r="C163" s="202">
        <v>106717.7</v>
      </c>
      <c r="D163" s="71">
        <v>0</v>
      </c>
      <c r="E163" s="71">
        <v>0</v>
      </c>
      <c r="F163" s="71">
        <v>0</v>
      </c>
      <c r="G163" s="38">
        <v>0</v>
      </c>
      <c r="H163" s="29">
        <f>SUM(C163:G163)</f>
        <v>106717.7</v>
      </c>
      <c r="K163" s="153" t="s">
        <v>474</v>
      </c>
    </row>
    <row r="164" spans="1:11" s="153" customFormat="1" x14ac:dyDescent="0.2">
      <c r="A164" s="134">
        <f>A163+1</f>
        <v>42</v>
      </c>
      <c r="B164" s="14" t="s">
        <v>137</v>
      </c>
      <c r="C164" s="59">
        <f>SUM(C160:C163)</f>
        <v>106717.7</v>
      </c>
      <c r="D164" s="59">
        <f t="shared" ref="D164:H164" si="20">SUM(D160:D163)</f>
        <v>0</v>
      </c>
      <c r="E164" s="59">
        <f t="shared" si="20"/>
        <v>0</v>
      </c>
      <c r="F164" s="59">
        <f t="shared" si="20"/>
        <v>0</v>
      </c>
      <c r="G164" s="59">
        <f t="shared" si="20"/>
        <v>0</v>
      </c>
      <c r="H164" s="59">
        <f t="shared" si="20"/>
        <v>106717.7</v>
      </c>
    </row>
    <row r="165" spans="1:11" s="153" customFormat="1" x14ac:dyDescent="0.2">
      <c r="A165" s="134"/>
      <c r="B165" s="14"/>
      <c r="C165" s="11"/>
      <c r="D165" s="11"/>
      <c r="E165" s="11"/>
      <c r="F165" s="11"/>
      <c r="G165" s="11"/>
      <c r="H165" s="11"/>
    </row>
    <row r="166" spans="1:11" s="153" customFormat="1" x14ac:dyDescent="0.2">
      <c r="A166" s="134"/>
      <c r="B166" s="14"/>
      <c r="C166" s="11"/>
      <c r="D166" s="11"/>
      <c r="E166" s="11"/>
      <c r="F166" s="11"/>
      <c r="G166" s="11"/>
      <c r="H166" s="11"/>
    </row>
    <row r="167" spans="1:11" x14ac:dyDescent="0.2">
      <c r="B167" s="14"/>
      <c r="H167" s="2" t="str">
        <f>adjno</f>
        <v>Exhibit No. 103</v>
      </c>
    </row>
    <row r="168" spans="1:11" x14ac:dyDescent="0.2">
      <c r="A168" s="356" t="str">
        <f>coname</f>
        <v>Columbia Gas of Pennsylvania, Inc.</v>
      </c>
      <c r="B168" s="356"/>
      <c r="C168" s="356"/>
      <c r="D168" s="356"/>
      <c r="E168" s="356"/>
      <c r="F168" s="356"/>
      <c r="G168" s="356"/>
      <c r="H168" s="2" t="s">
        <v>194</v>
      </c>
    </row>
    <row r="169" spans="1:11" x14ac:dyDescent="0.2">
      <c r="A169" s="356" t="s">
        <v>253</v>
      </c>
      <c r="B169" s="356"/>
      <c r="C169" s="356"/>
      <c r="D169" s="356"/>
      <c r="E169" s="356"/>
      <c r="F169" s="356"/>
      <c r="G169" s="356"/>
      <c r="H169" s="2" t="s">
        <v>496</v>
      </c>
    </row>
    <row r="170" spans="1:11" x14ac:dyDescent="0.2">
      <c r="A170" s="353" t="str">
        <f>TYDESC</f>
        <v>For the 12 Months Ended December 31, 2019</v>
      </c>
      <c r="B170" s="353"/>
      <c r="C170" s="353"/>
      <c r="D170" s="353"/>
      <c r="E170" s="353"/>
      <c r="F170" s="353"/>
      <c r="G170" s="353"/>
      <c r="H170" s="4" t="str">
        <f>'Sch1'!G4</f>
        <v>Witness: D. Joe Mays</v>
      </c>
    </row>
    <row r="171" spans="1:11" x14ac:dyDescent="0.2">
      <c r="G171" s="6"/>
    </row>
    <row r="172" spans="1:11" x14ac:dyDescent="0.2">
      <c r="A172" s="215"/>
      <c r="B172" s="145"/>
      <c r="C172" s="145"/>
      <c r="D172" s="145" t="s">
        <v>1</v>
      </c>
      <c r="E172" s="134"/>
      <c r="F172" s="134"/>
      <c r="G172" s="145" t="s">
        <v>2</v>
      </c>
      <c r="H172" s="145"/>
    </row>
    <row r="173" spans="1:11" x14ac:dyDescent="0.2">
      <c r="A173" s="215" t="s">
        <v>3</v>
      </c>
      <c r="B173" s="145"/>
      <c r="C173" s="145"/>
      <c r="D173" s="145" t="s">
        <v>4</v>
      </c>
      <c r="E173" s="357" t="s">
        <v>186</v>
      </c>
      <c r="F173" s="357"/>
      <c r="G173" s="145" t="s">
        <v>5</v>
      </c>
      <c r="H173" s="145" t="s">
        <v>268</v>
      </c>
    </row>
    <row r="174" spans="1:11" x14ac:dyDescent="0.2">
      <c r="A174" s="172" t="s">
        <v>6</v>
      </c>
      <c r="B174" s="160" t="s">
        <v>7</v>
      </c>
      <c r="C174" s="146" t="s">
        <v>268</v>
      </c>
      <c r="D174" s="146" t="s">
        <v>29</v>
      </c>
      <c r="E174" s="129" t="s">
        <v>9</v>
      </c>
      <c r="F174" s="129" t="s">
        <v>10</v>
      </c>
      <c r="G174" s="146" t="s">
        <v>111</v>
      </c>
      <c r="H174" s="146" t="s">
        <v>11</v>
      </c>
    </row>
    <row r="175" spans="1:11" x14ac:dyDescent="0.2">
      <c r="B175" s="134"/>
      <c r="C175" s="194" t="s">
        <v>12</v>
      </c>
      <c r="D175" s="194" t="s">
        <v>13</v>
      </c>
      <c r="E175" s="195" t="s">
        <v>32</v>
      </c>
      <c r="F175" s="195" t="s">
        <v>14</v>
      </c>
      <c r="G175" s="195" t="s">
        <v>15</v>
      </c>
      <c r="H175" s="195" t="s">
        <v>200</v>
      </c>
    </row>
    <row r="176" spans="1:11" x14ac:dyDescent="0.2">
      <c r="B176" s="134"/>
      <c r="C176" s="134"/>
      <c r="D176" s="9" t="s">
        <v>276</v>
      </c>
      <c r="E176" s="9" t="s">
        <v>276</v>
      </c>
      <c r="F176" s="9" t="s">
        <v>276</v>
      </c>
      <c r="G176" s="134"/>
      <c r="H176" s="134"/>
    </row>
    <row r="177" spans="1:12" x14ac:dyDescent="0.2">
      <c r="C177" s="11"/>
      <c r="D177" s="11"/>
      <c r="E177" s="11"/>
      <c r="F177" s="11"/>
      <c r="G177" s="11"/>
      <c r="H177" s="11"/>
    </row>
    <row r="178" spans="1:12" x14ac:dyDescent="0.2">
      <c r="A178" s="134">
        <v>1</v>
      </c>
      <c r="B178" s="42" t="s">
        <v>115</v>
      </c>
      <c r="C178" s="11"/>
      <c r="D178" s="11"/>
      <c r="E178" s="11"/>
      <c r="F178" s="11"/>
      <c r="G178" s="11"/>
      <c r="H178" s="11"/>
    </row>
    <row r="179" spans="1:12" x14ac:dyDescent="0.2">
      <c r="B179" s="13"/>
      <c r="C179" s="11"/>
      <c r="D179" s="11"/>
      <c r="E179" s="11"/>
      <c r="F179" s="11"/>
      <c r="G179" s="11"/>
      <c r="H179" s="11"/>
    </row>
    <row r="180" spans="1:12" x14ac:dyDescent="0.2">
      <c r="A180" s="134">
        <f>A178+1</f>
        <v>2</v>
      </c>
      <c r="B180" s="168" t="s">
        <v>19</v>
      </c>
      <c r="C180" s="11"/>
      <c r="D180" s="11"/>
      <c r="E180" s="11"/>
      <c r="F180" s="11"/>
      <c r="G180" s="11"/>
      <c r="H180" s="11"/>
    </row>
    <row r="181" spans="1:12" x14ac:dyDescent="0.2">
      <c r="C181" s="11"/>
      <c r="D181" s="11"/>
      <c r="E181" s="11"/>
      <c r="F181" s="11"/>
      <c r="G181" s="11"/>
      <c r="H181" s="11"/>
    </row>
    <row r="182" spans="1:12" s="153" customFormat="1" x14ac:dyDescent="0.2">
      <c r="A182" s="134">
        <f>A180+1</f>
        <v>3</v>
      </c>
      <c r="B182" s="167" t="s">
        <v>485</v>
      </c>
      <c r="C182" s="203">
        <v>1229058.3</v>
      </c>
      <c r="D182" s="214">
        <v>0</v>
      </c>
      <c r="E182" s="214">
        <v>0</v>
      </c>
      <c r="F182" s="214">
        <v>0</v>
      </c>
      <c r="G182" s="214">
        <v>0</v>
      </c>
      <c r="H182" s="11">
        <f>SUM(C182:G182)</f>
        <v>1229058.3</v>
      </c>
      <c r="K182" s="153" t="s">
        <v>475</v>
      </c>
    </row>
    <row r="183" spans="1:12" x14ac:dyDescent="0.2">
      <c r="A183" s="134">
        <f>A182+1</f>
        <v>4</v>
      </c>
      <c r="B183" s="167" t="s">
        <v>484</v>
      </c>
      <c r="C183" s="203">
        <v>2571729.2999999998</v>
      </c>
      <c r="D183" s="11">
        <f>'Sch4'!F115</f>
        <v>0</v>
      </c>
      <c r="E183" s="41">
        <v>0</v>
      </c>
      <c r="F183" s="41">
        <v>0</v>
      </c>
      <c r="G183" s="41">
        <v>0</v>
      </c>
      <c r="H183" s="11">
        <f>SUM(C183:G183)</f>
        <v>2571729.2999999998</v>
      </c>
      <c r="K183" s="153" t="s">
        <v>476</v>
      </c>
    </row>
    <row r="184" spans="1:12" x14ac:dyDescent="0.2">
      <c r="A184" s="134">
        <f>A183+1</f>
        <v>5</v>
      </c>
      <c r="B184" s="164" t="s">
        <v>227</v>
      </c>
      <c r="C184" s="202">
        <v>175600</v>
      </c>
      <c r="D184" s="72">
        <f>'Sch4'!F116</f>
        <v>0</v>
      </c>
      <c r="E184" s="71">
        <v>0</v>
      </c>
      <c r="F184" s="71">
        <v>0</v>
      </c>
      <c r="G184" s="38">
        <v>0</v>
      </c>
      <c r="H184" s="29">
        <f>SUM(C184:G184)</f>
        <v>175600</v>
      </c>
      <c r="K184" s="153"/>
    </row>
    <row r="185" spans="1:12" x14ac:dyDescent="0.2">
      <c r="A185" s="134">
        <f>A184+1</f>
        <v>6</v>
      </c>
      <c r="B185" s="14" t="s">
        <v>138</v>
      </c>
      <c r="C185" s="11">
        <f>SUM(C182:C184)</f>
        <v>3976387.5999999996</v>
      </c>
      <c r="D185" s="11">
        <f t="shared" ref="D185:H185" si="21">SUM(D182:D184)</f>
        <v>0</v>
      </c>
      <c r="E185" s="11">
        <f t="shared" si="21"/>
        <v>0</v>
      </c>
      <c r="F185" s="11">
        <f t="shared" si="21"/>
        <v>0</v>
      </c>
      <c r="G185" s="11">
        <f t="shared" si="21"/>
        <v>0</v>
      </c>
      <c r="H185" s="11">
        <f t="shared" si="21"/>
        <v>3976387.5999999996</v>
      </c>
      <c r="K185" s="153"/>
    </row>
    <row r="186" spans="1:12" x14ac:dyDescent="0.2">
      <c r="C186" s="11"/>
      <c r="D186" s="11"/>
      <c r="E186" s="11"/>
      <c r="F186" s="11"/>
      <c r="G186" s="11"/>
      <c r="H186" s="11"/>
      <c r="K186" s="153"/>
    </row>
    <row r="187" spans="1:12" x14ac:dyDescent="0.2">
      <c r="A187" s="134">
        <f>A185+1</f>
        <v>7</v>
      </c>
      <c r="B187" s="168" t="s">
        <v>21</v>
      </c>
      <c r="C187" s="11"/>
      <c r="D187" s="11"/>
      <c r="E187" s="11"/>
      <c r="F187" s="11"/>
      <c r="G187" s="11"/>
      <c r="H187" s="11"/>
      <c r="K187" s="153"/>
    </row>
    <row r="188" spans="1:12" x14ac:dyDescent="0.2">
      <c r="C188" s="11"/>
      <c r="D188" s="11"/>
      <c r="E188" s="11"/>
      <c r="F188" s="11"/>
      <c r="G188" s="11"/>
      <c r="H188" s="11"/>
      <c r="K188" s="153"/>
    </row>
    <row r="189" spans="1:12" s="153" customFormat="1" x14ac:dyDescent="0.2">
      <c r="A189" s="134">
        <f>A187+1</f>
        <v>8</v>
      </c>
      <c r="B189" s="167" t="s">
        <v>485</v>
      </c>
      <c r="C189" s="203">
        <v>166245.79999999999</v>
      </c>
      <c r="D189" s="214">
        <v>0</v>
      </c>
      <c r="E189" s="214">
        <v>0</v>
      </c>
      <c r="F189" s="214">
        <v>0</v>
      </c>
      <c r="G189" s="214">
        <v>0</v>
      </c>
      <c r="H189" s="11">
        <f>SUM(C189:G189)</f>
        <v>166245.79999999999</v>
      </c>
      <c r="K189" s="153" t="s">
        <v>475</v>
      </c>
      <c r="L189" s="31">
        <f>C189+C182</f>
        <v>1395304.1</v>
      </c>
    </row>
    <row r="190" spans="1:12" x14ac:dyDescent="0.2">
      <c r="A190" s="134">
        <f>A189+1</f>
        <v>9</v>
      </c>
      <c r="B190" s="167" t="s">
        <v>484</v>
      </c>
      <c r="C190" s="203">
        <v>2059998.1</v>
      </c>
      <c r="D190" s="41">
        <f>'Sch4'!E134</f>
        <v>0</v>
      </c>
      <c r="E190" s="41">
        <v>0</v>
      </c>
      <c r="F190" s="41">
        <v>0</v>
      </c>
      <c r="G190" s="55">
        <v>0</v>
      </c>
      <c r="H190" s="11">
        <f>SUM(C190:G190)</f>
        <v>2059998.1</v>
      </c>
      <c r="K190" s="153" t="s">
        <v>476</v>
      </c>
      <c r="L190" s="31">
        <f>C190+C183</f>
        <v>4631727.4000000004</v>
      </c>
    </row>
    <row r="191" spans="1:12" x14ac:dyDescent="0.2">
      <c r="A191" s="134">
        <f>A190+1</f>
        <v>10</v>
      </c>
      <c r="B191" s="166" t="str">
        <f>B184</f>
        <v>Flexed Deliveries</v>
      </c>
      <c r="C191" s="202">
        <v>33000</v>
      </c>
      <c r="D191" s="71">
        <v>0</v>
      </c>
      <c r="E191" s="71">
        <v>0</v>
      </c>
      <c r="F191" s="71">
        <v>0</v>
      </c>
      <c r="G191" s="71">
        <v>0</v>
      </c>
      <c r="H191" s="29">
        <f>SUM(C191:G191)</f>
        <v>33000</v>
      </c>
    </row>
    <row r="192" spans="1:12" x14ac:dyDescent="0.2">
      <c r="A192" s="134">
        <f>A191+1</f>
        <v>11</v>
      </c>
      <c r="B192" s="14" t="s">
        <v>139</v>
      </c>
      <c r="C192" s="11">
        <f>SUM(C189:C191)</f>
        <v>2259243.9</v>
      </c>
      <c r="D192" s="11">
        <f t="shared" ref="D192" si="22">SUM(D189:D191)</f>
        <v>0</v>
      </c>
      <c r="E192" s="11">
        <f t="shared" ref="E192" si="23">SUM(E189:E191)</f>
        <v>0</v>
      </c>
      <c r="F192" s="11">
        <f t="shared" ref="F192" si="24">SUM(F189:F191)</f>
        <v>0</v>
      </c>
      <c r="G192" s="11">
        <f t="shared" ref="G192" si="25">SUM(G189:G191)</f>
        <v>0</v>
      </c>
      <c r="H192" s="11">
        <f t="shared" ref="H192" si="26">SUM(H189:H191)</f>
        <v>2259243.9</v>
      </c>
    </row>
    <row r="193" spans="1:11" x14ac:dyDescent="0.2">
      <c r="C193" s="11"/>
      <c r="D193" s="11"/>
      <c r="E193" s="11"/>
      <c r="F193" s="11"/>
      <c r="G193" s="11"/>
      <c r="H193" s="11"/>
    </row>
    <row r="194" spans="1:11" x14ac:dyDescent="0.2">
      <c r="A194" s="134">
        <f>A192+1</f>
        <v>12</v>
      </c>
      <c r="B194" s="14" t="s">
        <v>117</v>
      </c>
      <c r="C194" s="11">
        <f t="shared" ref="C194" si="27">C185+C192</f>
        <v>6235631.5</v>
      </c>
      <c r="D194" s="11">
        <f>D185+D192</f>
        <v>0</v>
      </c>
      <c r="E194" s="11">
        <f t="shared" ref="E194:G194" si="28">E185+E192</f>
        <v>0</v>
      </c>
      <c r="F194" s="11">
        <f t="shared" si="28"/>
        <v>0</v>
      </c>
      <c r="G194" s="11">
        <f t="shared" si="28"/>
        <v>0</v>
      </c>
      <c r="H194" s="11">
        <f>H185+H192</f>
        <v>6235631.5</v>
      </c>
    </row>
    <row r="195" spans="1:11" x14ac:dyDescent="0.2">
      <c r="C195" s="11"/>
      <c r="D195" s="11"/>
      <c r="E195" s="11"/>
      <c r="F195" s="11"/>
      <c r="G195" s="11"/>
      <c r="H195" s="11"/>
    </row>
    <row r="196" spans="1:11" x14ac:dyDescent="0.2">
      <c r="A196" s="134">
        <f>A194+1</f>
        <v>13</v>
      </c>
      <c r="B196" s="42" t="s">
        <v>116</v>
      </c>
      <c r="C196" s="11"/>
      <c r="D196" s="11"/>
      <c r="E196" s="11"/>
      <c r="F196" s="11"/>
      <c r="G196" s="11"/>
      <c r="H196" s="11"/>
    </row>
    <row r="197" spans="1:11" x14ac:dyDescent="0.2">
      <c r="B197" s="13"/>
      <c r="C197" s="11"/>
      <c r="D197" s="11"/>
      <c r="E197" s="11"/>
      <c r="F197" s="11"/>
      <c r="G197" s="11"/>
      <c r="H197" s="11"/>
    </row>
    <row r="198" spans="1:11" x14ac:dyDescent="0.2">
      <c r="A198" s="134">
        <f>A196+1</f>
        <v>14</v>
      </c>
      <c r="B198" s="168" t="s">
        <v>19</v>
      </c>
      <c r="C198" s="11"/>
      <c r="D198" s="11"/>
      <c r="E198" s="11"/>
      <c r="F198" s="11"/>
      <c r="G198" s="11"/>
      <c r="H198" s="11"/>
    </row>
    <row r="199" spans="1:11" x14ac:dyDescent="0.2">
      <c r="C199" s="11"/>
      <c r="D199" s="11"/>
      <c r="E199" s="11"/>
      <c r="F199" s="11"/>
      <c r="G199" s="11"/>
      <c r="H199" s="11"/>
    </row>
    <row r="200" spans="1:11" x14ac:dyDescent="0.2">
      <c r="A200" s="134">
        <f>A198+1</f>
        <v>15</v>
      </c>
      <c r="B200" s="167" t="s">
        <v>285</v>
      </c>
      <c r="C200" s="203">
        <v>1583734.6</v>
      </c>
      <c r="D200" s="41">
        <v>0</v>
      </c>
      <c r="E200" s="41">
        <v>0</v>
      </c>
      <c r="F200" s="41">
        <v>0</v>
      </c>
      <c r="G200" s="41">
        <v>0</v>
      </c>
      <c r="H200" s="11">
        <f>SUM(C200:G200)</f>
        <v>1583734.6</v>
      </c>
      <c r="I200" s="73"/>
      <c r="K200" s="153" t="s">
        <v>477</v>
      </c>
    </row>
    <row r="201" spans="1:11" x14ac:dyDescent="0.2">
      <c r="A201" s="134">
        <f>A200+1</f>
        <v>16</v>
      </c>
      <c r="B201" s="167" t="s">
        <v>282</v>
      </c>
      <c r="C201" s="203">
        <v>1011000</v>
      </c>
      <c r="D201" s="41">
        <v>0</v>
      </c>
      <c r="E201" s="41">
        <v>0</v>
      </c>
      <c r="F201" s="41">
        <v>0</v>
      </c>
      <c r="G201" s="41">
        <v>0</v>
      </c>
      <c r="H201" s="11">
        <f>SUM(C201:G201)</f>
        <v>1011000</v>
      </c>
      <c r="I201" s="73"/>
      <c r="K201" s="153" t="s">
        <v>478</v>
      </c>
    </row>
    <row r="202" spans="1:11" x14ac:dyDescent="0.2">
      <c r="A202" s="134">
        <f>A201+1</f>
        <v>17</v>
      </c>
      <c r="B202" s="167" t="s">
        <v>283</v>
      </c>
      <c r="C202" s="203">
        <v>0</v>
      </c>
      <c r="D202" s="41">
        <v>0</v>
      </c>
      <c r="E202" s="41">
        <v>0</v>
      </c>
      <c r="F202" s="41">
        <v>0</v>
      </c>
      <c r="G202" s="41">
        <v>0</v>
      </c>
      <c r="H202" s="11">
        <f>SUM(C202:G202)</f>
        <v>0</v>
      </c>
      <c r="I202" s="73"/>
      <c r="K202" s="153" t="s">
        <v>628</v>
      </c>
    </row>
    <row r="203" spans="1:11" x14ac:dyDescent="0.2">
      <c r="A203" s="134">
        <f>A202+1</f>
        <v>18</v>
      </c>
      <c r="B203" s="167" t="s">
        <v>286</v>
      </c>
      <c r="C203" s="203">
        <v>0</v>
      </c>
      <c r="D203" s="41">
        <v>0</v>
      </c>
      <c r="E203" s="41">
        <v>0</v>
      </c>
      <c r="F203" s="41">
        <v>0</v>
      </c>
      <c r="G203" s="41">
        <v>0</v>
      </c>
      <c r="H203" s="11">
        <f>SUM(C203:G203)</f>
        <v>0</v>
      </c>
      <c r="I203" s="73"/>
      <c r="K203" s="153" t="s">
        <v>579</v>
      </c>
    </row>
    <row r="204" spans="1:11" x14ac:dyDescent="0.2">
      <c r="A204" s="134">
        <f>A203+1</f>
        <v>19</v>
      </c>
      <c r="B204" s="164" t="s">
        <v>226</v>
      </c>
      <c r="C204" s="202">
        <v>1914000</v>
      </c>
      <c r="D204" s="71">
        <v>0</v>
      </c>
      <c r="E204" s="71">
        <v>0</v>
      </c>
      <c r="F204" s="71">
        <v>0</v>
      </c>
      <c r="G204" s="38">
        <v>0</v>
      </c>
      <c r="H204" s="29">
        <f>SUM(C204:G204)</f>
        <v>1914000</v>
      </c>
      <c r="K204" s="153"/>
    </row>
    <row r="205" spans="1:11" x14ac:dyDescent="0.2">
      <c r="A205" s="134">
        <f>A204+1</f>
        <v>20</v>
      </c>
      <c r="B205" s="14" t="s">
        <v>140</v>
      </c>
      <c r="C205" s="11">
        <f t="shared" ref="C205" si="29">SUM(C200:C204)</f>
        <v>4508734.5999999996</v>
      </c>
      <c r="D205" s="11">
        <f t="shared" ref="D205:H205" si="30">SUM(D200:D204)</f>
        <v>0</v>
      </c>
      <c r="E205" s="11">
        <f t="shared" si="30"/>
        <v>0</v>
      </c>
      <c r="F205" s="11">
        <f t="shared" si="30"/>
        <v>0</v>
      </c>
      <c r="G205" s="11">
        <f t="shared" si="30"/>
        <v>0</v>
      </c>
      <c r="H205" s="11">
        <f t="shared" si="30"/>
        <v>4508734.5999999996</v>
      </c>
      <c r="K205" s="153"/>
    </row>
    <row r="206" spans="1:11" x14ac:dyDescent="0.2">
      <c r="C206" s="11"/>
      <c r="D206" s="11"/>
      <c r="E206" s="11"/>
      <c r="F206" s="11"/>
      <c r="G206" s="11"/>
      <c r="H206" s="11"/>
      <c r="K206" s="153"/>
    </row>
    <row r="207" spans="1:11" x14ac:dyDescent="0.2">
      <c r="A207" s="134">
        <f>A205+1</f>
        <v>21</v>
      </c>
      <c r="B207" s="168" t="s">
        <v>21</v>
      </c>
      <c r="C207" s="11"/>
      <c r="D207" s="11"/>
      <c r="E207" s="11"/>
      <c r="F207" s="11"/>
      <c r="G207" s="11"/>
      <c r="H207" s="11"/>
      <c r="K207" s="153"/>
    </row>
    <row r="208" spans="1:11" x14ac:dyDescent="0.2">
      <c r="C208" s="11"/>
      <c r="D208" s="11"/>
      <c r="E208" s="11"/>
      <c r="F208" s="11"/>
      <c r="G208" s="11"/>
      <c r="H208" s="11"/>
      <c r="K208" s="153"/>
    </row>
    <row r="209" spans="1:12" x14ac:dyDescent="0.2">
      <c r="A209" s="134">
        <f>A207+1</f>
        <v>22</v>
      </c>
      <c r="B209" s="167" t="s">
        <v>285</v>
      </c>
      <c r="C209" s="203">
        <v>1676556.5</v>
      </c>
      <c r="D209" s="41">
        <v>0</v>
      </c>
      <c r="E209" s="41">
        <f>'Sch4'!C139</f>
        <v>0</v>
      </c>
      <c r="F209" s="41">
        <f>'Sch4'!D139</f>
        <v>0</v>
      </c>
      <c r="G209" s="55">
        <v>0</v>
      </c>
      <c r="H209" s="11">
        <f>SUM(C209:G209)</f>
        <v>1676556.5</v>
      </c>
      <c r="K209" s="153" t="s">
        <v>477</v>
      </c>
      <c r="L209" s="31">
        <f>C209+C200</f>
        <v>3260291.1</v>
      </c>
    </row>
    <row r="210" spans="1:12" x14ac:dyDescent="0.2">
      <c r="A210" s="134">
        <f>A209+1</f>
        <v>23</v>
      </c>
      <c r="B210" s="167" t="s">
        <v>282</v>
      </c>
      <c r="C210" s="203">
        <v>3618000</v>
      </c>
      <c r="D210" s="41">
        <v>0</v>
      </c>
      <c r="E210" s="41">
        <f>'Sch4'!C140</f>
        <v>0</v>
      </c>
      <c r="F210" s="41">
        <f>'Sch4'!D140</f>
        <v>0</v>
      </c>
      <c r="G210" s="55">
        <v>0</v>
      </c>
      <c r="H210" s="11">
        <f>SUM(C210:G210)</f>
        <v>3618000</v>
      </c>
      <c r="K210" s="153" t="s">
        <v>478</v>
      </c>
      <c r="L210" s="31">
        <f>C210+C201</f>
        <v>4629000</v>
      </c>
    </row>
    <row r="211" spans="1:12" x14ac:dyDescent="0.2">
      <c r="A211" s="134">
        <f>A210+1</f>
        <v>24</v>
      </c>
      <c r="B211" s="167" t="s">
        <v>283</v>
      </c>
      <c r="C211" s="203">
        <v>1214000</v>
      </c>
      <c r="D211" s="41">
        <v>0</v>
      </c>
      <c r="E211" s="41">
        <f>'Sch4'!C141</f>
        <v>0</v>
      </c>
      <c r="F211" s="41">
        <f>'Sch4'!D141</f>
        <v>0</v>
      </c>
      <c r="G211" s="55">
        <v>0</v>
      </c>
      <c r="H211" s="11">
        <f>SUM(C211:G211)</f>
        <v>1214000</v>
      </c>
      <c r="K211" s="153" t="s">
        <v>628</v>
      </c>
      <c r="L211" s="31">
        <f t="shared" ref="L211:L212" si="31">C211+C202</f>
        <v>1214000</v>
      </c>
    </row>
    <row r="212" spans="1:12" x14ac:dyDescent="0.2">
      <c r="A212" s="134">
        <f>A211+1</f>
        <v>25</v>
      </c>
      <c r="B212" s="167" t="s">
        <v>286</v>
      </c>
      <c r="C212" s="203">
        <v>1000000</v>
      </c>
      <c r="D212" s="41">
        <v>0</v>
      </c>
      <c r="E212" s="41">
        <f>'Sch4'!C142</f>
        <v>0</v>
      </c>
      <c r="F212" s="41">
        <f>'Sch4'!D142</f>
        <v>0</v>
      </c>
      <c r="G212" s="55">
        <v>0</v>
      </c>
      <c r="H212" s="11">
        <f>SUM(C212:G212)</f>
        <v>1000000</v>
      </c>
      <c r="K212" s="153" t="s">
        <v>579</v>
      </c>
      <c r="L212" s="31">
        <f t="shared" si="31"/>
        <v>1000000</v>
      </c>
    </row>
    <row r="213" spans="1:12" x14ac:dyDescent="0.2">
      <c r="A213" s="134">
        <f>A212+1</f>
        <v>26</v>
      </c>
      <c r="B213" s="164" t="s">
        <v>226</v>
      </c>
      <c r="C213" s="202">
        <v>8634652.9000000004</v>
      </c>
      <c r="D213" s="71">
        <v>0</v>
      </c>
      <c r="E213" s="71">
        <f>'Sch4'!C143</f>
        <v>0</v>
      </c>
      <c r="F213" s="71">
        <f>'Sch4'!D143</f>
        <v>0</v>
      </c>
      <c r="G213" s="71">
        <v>0</v>
      </c>
      <c r="H213" s="29">
        <f>SUM(C213:G213)</f>
        <v>8634652.9000000004</v>
      </c>
    </row>
    <row r="214" spans="1:12" x14ac:dyDescent="0.2">
      <c r="A214" s="134">
        <f>A213+1</f>
        <v>27</v>
      </c>
      <c r="B214" s="14" t="s">
        <v>141</v>
      </c>
      <c r="C214" s="11">
        <f>SUM(C209:C213)</f>
        <v>16143209.4</v>
      </c>
      <c r="D214" s="11">
        <f t="shared" ref="D214:G214" si="32">SUM(D209:D213)</f>
        <v>0</v>
      </c>
      <c r="E214" s="11">
        <f t="shared" si="32"/>
        <v>0</v>
      </c>
      <c r="F214" s="11">
        <f t="shared" si="32"/>
        <v>0</v>
      </c>
      <c r="G214" s="11">
        <f t="shared" si="32"/>
        <v>0</v>
      </c>
      <c r="H214" s="11">
        <f>SUM(H209:H213)</f>
        <v>16143209.4</v>
      </c>
    </row>
    <row r="215" spans="1:12" x14ac:dyDescent="0.2">
      <c r="C215" s="11"/>
      <c r="D215" s="11"/>
      <c r="E215" s="11"/>
      <c r="F215" s="11"/>
      <c r="G215" s="11"/>
      <c r="H215" s="11"/>
    </row>
    <row r="216" spans="1:12" x14ac:dyDescent="0.2">
      <c r="A216" s="134">
        <f>A214+1</f>
        <v>28</v>
      </c>
      <c r="B216" s="14" t="s">
        <v>118</v>
      </c>
      <c r="C216" s="11">
        <f t="shared" ref="C216" si="33">C205+C214</f>
        <v>20651944</v>
      </c>
      <c r="D216" s="11">
        <f t="shared" ref="D216:H216" si="34">D205+D214</f>
        <v>0</v>
      </c>
      <c r="E216" s="11">
        <f t="shared" si="34"/>
        <v>0</v>
      </c>
      <c r="F216" s="11">
        <f t="shared" si="34"/>
        <v>0</v>
      </c>
      <c r="G216" s="11">
        <f t="shared" si="34"/>
        <v>0</v>
      </c>
      <c r="H216" s="11">
        <f t="shared" si="34"/>
        <v>20651944</v>
      </c>
    </row>
    <row r="217" spans="1:12" x14ac:dyDescent="0.2">
      <c r="C217" s="11"/>
      <c r="D217" s="11"/>
      <c r="E217" s="11"/>
      <c r="F217" s="11"/>
      <c r="G217" s="11"/>
      <c r="H217" s="11"/>
    </row>
    <row r="218" spans="1:12" x14ac:dyDescent="0.2">
      <c r="A218" s="134">
        <f>A216+1</f>
        <v>29</v>
      </c>
      <c r="B218" s="42" t="s">
        <v>143</v>
      </c>
      <c r="C218" s="11"/>
      <c r="D218" s="11"/>
      <c r="E218" s="11"/>
      <c r="F218" s="11"/>
      <c r="G218" s="11"/>
      <c r="H218" s="11"/>
    </row>
    <row r="219" spans="1:12" x14ac:dyDescent="0.2">
      <c r="B219" s="13"/>
      <c r="C219" s="11"/>
      <c r="D219" s="11"/>
      <c r="E219" s="11"/>
      <c r="F219" s="11"/>
      <c r="G219" s="11"/>
      <c r="H219" s="11"/>
    </row>
    <row r="220" spans="1:12" x14ac:dyDescent="0.2">
      <c r="A220" s="134">
        <f>A218+1</f>
        <v>30</v>
      </c>
      <c r="B220" s="168" t="s">
        <v>19</v>
      </c>
      <c r="C220" s="11"/>
      <c r="D220" s="11"/>
      <c r="E220" s="11"/>
      <c r="F220" s="11"/>
      <c r="G220" s="11"/>
      <c r="H220" s="11"/>
    </row>
    <row r="221" spans="1:12" x14ac:dyDescent="0.2">
      <c r="C221" s="11"/>
      <c r="D221" s="11"/>
      <c r="E221" s="11"/>
      <c r="F221" s="11"/>
      <c r="G221" s="11"/>
      <c r="H221" s="11"/>
    </row>
    <row r="222" spans="1:12" x14ac:dyDescent="0.2">
      <c r="A222" s="134">
        <f>A220+1</f>
        <v>31</v>
      </c>
      <c r="B222" s="163" t="s">
        <v>41</v>
      </c>
      <c r="C222" s="203">
        <v>70000</v>
      </c>
      <c r="D222" s="41">
        <v>0</v>
      </c>
      <c r="E222" s="41">
        <v>0</v>
      </c>
      <c r="F222" s="41">
        <v>0</v>
      </c>
      <c r="G222" s="41">
        <v>0</v>
      </c>
      <c r="H222" s="11">
        <f>SUM(C222:G222)</f>
        <v>70000</v>
      </c>
      <c r="K222" s="153" t="s">
        <v>631</v>
      </c>
    </row>
    <row r="223" spans="1:12" x14ac:dyDescent="0.2">
      <c r="A223" s="134">
        <f>A222+1</f>
        <v>32</v>
      </c>
      <c r="B223" s="163" t="s">
        <v>142</v>
      </c>
      <c r="C223" s="202">
        <v>0</v>
      </c>
      <c r="D223" s="71">
        <v>0</v>
      </c>
      <c r="E223" s="38">
        <v>0</v>
      </c>
      <c r="F223" s="38">
        <v>0</v>
      </c>
      <c r="G223" s="38">
        <v>0</v>
      </c>
      <c r="H223" s="29">
        <f>SUM(C223:G223)</f>
        <v>0</v>
      </c>
      <c r="K223" s="153"/>
    </row>
    <row r="224" spans="1:12" x14ac:dyDescent="0.2">
      <c r="A224" s="134">
        <f>A223+1</f>
        <v>33</v>
      </c>
      <c r="B224" s="14" t="s">
        <v>146</v>
      </c>
      <c r="C224" s="11">
        <f t="shared" ref="C224" si="35">SUM(C222:C223)</f>
        <v>70000</v>
      </c>
      <c r="D224" s="11">
        <f t="shared" ref="D224:G224" si="36">SUM(D222:D223)</f>
        <v>0</v>
      </c>
      <c r="E224" s="11">
        <f t="shared" si="36"/>
        <v>0</v>
      </c>
      <c r="F224" s="11">
        <f t="shared" si="36"/>
        <v>0</v>
      </c>
      <c r="G224" s="11">
        <f t="shared" si="36"/>
        <v>0</v>
      </c>
      <c r="H224" s="11">
        <f>SUM(H222:H223)</f>
        <v>70000</v>
      </c>
      <c r="K224" s="153"/>
    </row>
    <row r="225" spans="1:12" x14ac:dyDescent="0.2">
      <c r="B225" s="13"/>
      <c r="C225" s="11"/>
      <c r="D225" s="11"/>
      <c r="E225" s="11"/>
      <c r="F225" s="11"/>
      <c r="G225" s="11"/>
      <c r="H225" s="11"/>
      <c r="K225" s="153"/>
    </row>
    <row r="226" spans="1:12" x14ac:dyDescent="0.2">
      <c r="A226" s="134">
        <f>A224+1</f>
        <v>34</v>
      </c>
      <c r="B226" s="168" t="s">
        <v>21</v>
      </c>
      <c r="C226" s="11"/>
      <c r="D226" s="11"/>
      <c r="E226" s="11"/>
      <c r="F226" s="11"/>
      <c r="G226" s="11"/>
      <c r="H226" s="11"/>
      <c r="K226" s="153"/>
    </row>
    <row r="227" spans="1:12" x14ac:dyDescent="0.2">
      <c r="C227" s="11"/>
      <c r="D227" s="11"/>
      <c r="E227" s="11"/>
      <c r="F227" s="11"/>
      <c r="G227" s="41"/>
      <c r="H227" s="11"/>
      <c r="K227" s="153"/>
    </row>
    <row r="228" spans="1:12" x14ac:dyDescent="0.2">
      <c r="A228" s="134">
        <f>A226+1</f>
        <v>35</v>
      </c>
      <c r="B228" s="163" t="s">
        <v>41</v>
      </c>
      <c r="C228" s="203">
        <f>52000+32000</f>
        <v>84000</v>
      </c>
      <c r="D228" s="41">
        <v>0</v>
      </c>
      <c r="E228" s="41">
        <v>0</v>
      </c>
      <c r="F228" s="41">
        <v>0</v>
      </c>
      <c r="G228" s="41">
        <v>0</v>
      </c>
      <c r="H228" s="11">
        <f>SUM(C228:G228)</f>
        <v>84000</v>
      </c>
      <c r="K228" s="153" t="s">
        <v>631</v>
      </c>
      <c r="L228" s="31">
        <f>C228+C222</f>
        <v>154000</v>
      </c>
    </row>
    <row r="229" spans="1:12" x14ac:dyDescent="0.2">
      <c r="A229" s="134">
        <f>A228+1</f>
        <v>36</v>
      </c>
      <c r="B229" s="163" t="s">
        <v>142</v>
      </c>
      <c r="C229" s="202">
        <v>2270000</v>
      </c>
      <c r="D229" s="71">
        <v>0</v>
      </c>
      <c r="E229" s="71">
        <v>0</v>
      </c>
      <c r="F229" s="71">
        <v>0</v>
      </c>
      <c r="G229" s="38">
        <v>0</v>
      </c>
      <c r="H229" s="29">
        <f>SUM(C229:G229)</f>
        <v>2270000</v>
      </c>
    </row>
    <row r="230" spans="1:12" x14ac:dyDescent="0.2">
      <c r="A230" s="134">
        <f>A229+1</f>
        <v>37</v>
      </c>
      <c r="B230" s="14" t="s">
        <v>145</v>
      </c>
      <c r="C230" s="11">
        <f>SUM(C228:C229)</f>
        <v>2354000</v>
      </c>
      <c r="D230" s="11">
        <f t="shared" ref="D230:H230" si="37">SUM(D228:D229)</f>
        <v>0</v>
      </c>
      <c r="E230" s="11">
        <f t="shared" si="37"/>
        <v>0</v>
      </c>
      <c r="F230" s="11">
        <f t="shared" si="37"/>
        <v>0</v>
      </c>
      <c r="G230" s="11">
        <f t="shared" si="37"/>
        <v>0</v>
      </c>
      <c r="H230" s="11">
        <f t="shared" si="37"/>
        <v>2354000</v>
      </c>
    </row>
    <row r="231" spans="1:12" x14ac:dyDescent="0.2">
      <c r="C231" s="11"/>
      <c r="D231" s="11"/>
      <c r="E231" s="11"/>
      <c r="F231" s="11"/>
      <c r="G231" s="11"/>
      <c r="H231" s="11"/>
    </row>
    <row r="232" spans="1:12" x14ac:dyDescent="0.2">
      <c r="A232" s="134">
        <f>A230+1</f>
        <v>38</v>
      </c>
      <c r="B232" s="14" t="s">
        <v>144</v>
      </c>
      <c r="C232" s="11">
        <f t="shared" ref="C232:H232" si="38">C224+C230</f>
        <v>2424000</v>
      </c>
      <c r="D232" s="11">
        <f t="shared" si="38"/>
        <v>0</v>
      </c>
      <c r="E232" s="11">
        <f t="shared" si="38"/>
        <v>0</v>
      </c>
      <c r="F232" s="11">
        <f t="shared" si="38"/>
        <v>0</v>
      </c>
      <c r="G232" s="11">
        <f>G224+G230</f>
        <v>0</v>
      </c>
      <c r="H232" s="11">
        <f t="shared" si="38"/>
        <v>2424000</v>
      </c>
    </row>
    <row r="233" spans="1:12" x14ac:dyDescent="0.2">
      <c r="B233" s="14"/>
      <c r="H233" s="2" t="str">
        <f>adjno</f>
        <v>Exhibit No. 103</v>
      </c>
    </row>
    <row r="234" spans="1:12" x14ac:dyDescent="0.2">
      <c r="A234" s="356" t="str">
        <f>coname</f>
        <v>Columbia Gas of Pennsylvania, Inc.</v>
      </c>
      <c r="B234" s="356"/>
      <c r="C234" s="356"/>
      <c r="D234" s="356"/>
      <c r="E234" s="356"/>
      <c r="F234" s="356"/>
      <c r="G234" s="356"/>
      <c r="H234" s="2" t="s">
        <v>194</v>
      </c>
    </row>
    <row r="235" spans="1:12" x14ac:dyDescent="0.2">
      <c r="A235" s="356" t="s">
        <v>253</v>
      </c>
      <c r="B235" s="356"/>
      <c r="C235" s="356"/>
      <c r="D235" s="356"/>
      <c r="E235" s="356"/>
      <c r="F235" s="356"/>
      <c r="G235" s="356"/>
      <c r="H235" s="2" t="s">
        <v>497</v>
      </c>
    </row>
    <row r="236" spans="1:12" x14ac:dyDescent="0.2">
      <c r="A236" s="353" t="str">
        <f>TYDESC</f>
        <v>For the 12 Months Ended December 31, 2019</v>
      </c>
      <c r="B236" s="353"/>
      <c r="C236" s="353"/>
      <c r="D236" s="353"/>
      <c r="E236" s="353"/>
      <c r="F236" s="353"/>
      <c r="G236" s="353"/>
      <c r="H236" s="4" t="str">
        <f>'Sch1'!$G$4</f>
        <v>Witness: D. Joe Mays</v>
      </c>
    </row>
    <row r="237" spans="1:12" x14ac:dyDescent="0.2">
      <c r="G237" s="6"/>
    </row>
    <row r="238" spans="1:12" x14ac:dyDescent="0.2">
      <c r="A238" s="215"/>
      <c r="B238" s="145"/>
      <c r="C238" s="145"/>
      <c r="D238" s="145" t="s">
        <v>1</v>
      </c>
      <c r="E238" s="134"/>
      <c r="F238" s="134"/>
      <c r="G238" s="145" t="s">
        <v>2</v>
      </c>
      <c r="H238" s="145"/>
    </row>
    <row r="239" spans="1:12" x14ac:dyDescent="0.2">
      <c r="A239" s="215" t="s">
        <v>3</v>
      </c>
      <c r="B239" s="145"/>
      <c r="C239" s="145"/>
      <c r="D239" s="145" t="s">
        <v>4</v>
      </c>
      <c r="E239" s="357" t="s">
        <v>186</v>
      </c>
      <c r="F239" s="357"/>
      <c r="G239" s="145" t="s">
        <v>5</v>
      </c>
      <c r="H239" s="145" t="s">
        <v>268</v>
      </c>
    </row>
    <row r="240" spans="1:12" x14ac:dyDescent="0.2">
      <c r="A240" s="172" t="s">
        <v>6</v>
      </c>
      <c r="B240" s="160" t="s">
        <v>7</v>
      </c>
      <c r="C240" s="146" t="s">
        <v>268</v>
      </c>
      <c r="D240" s="146" t="s">
        <v>29</v>
      </c>
      <c r="E240" s="129" t="s">
        <v>9</v>
      </c>
      <c r="F240" s="129" t="s">
        <v>10</v>
      </c>
      <c r="G240" s="146" t="s">
        <v>111</v>
      </c>
      <c r="H240" s="146" t="s">
        <v>11</v>
      </c>
    </row>
    <row r="241" spans="1:11" x14ac:dyDescent="0.2">
      <c r="B241" s="134"/>
      <c r="C241" s="194" t="s">
        <v>12</v>
      </c>
      <c r="D241" s="194" t="s">
        <v>13</v>
      </c>
      <c r="E241" s="195" t="s">
        <v>32</v>
      </c>
      <c r="F241" s="195" t="s">
        <v>14</v>
      </c>
      <c r="G241" s="195" t="s">
        <v>15</v>
      </c>
      <c r="H241" s="195" t="s">
        <v>200</v>
      </c>
    </row>
    <row r="242" spans="1:11" x14ac:dyDescent="0.2">
      <c r="B242" s="134"/>
      <c r="C242" s="134"/>
      <c r="D242" s="9" t="s">
        <v>276</v>
      </c>
      <c r="E242" s="9" t="s">
        <v>276</v>
      </c>
      <c r="F242" s="9" t="s">
        <v>276</v>
      </c>
      <c r="G242" s="134"/>
      <c r="H242" s="134"/>
    </row>
    <row r="243" spans="1:11" s="153" customFormat="1" x14ac:dyDescent="0.2">
      <c r="A243" s="134"/>
      <c r="B243" s="134"/>
      <c r="C243" s="134"/>
      <c r="D243" s="9"/>
      <c r="E243" s="9"/>
      <c r="F243" s="9"/>
      <c r="G243" s="134"/>
      <c r="H243" s="134"/>
    </row>
    <row r="244" spans="1:11" s="153" customFormat="1" x14ac:dyDescent="0.2">
      <c r="A244" s="134"/>
      <c r="B244" s="14"/>
      <c r="C244" s="11"/>
      <c r="D244" s="11"/>
      <c r="E244" s="11"/>
      <c r="F244" s="11"/>
      <c r="G244" s="11"/>
      <c r="H244" s="11"/>
    </row>
    <row r="245" spans="1:11" x14ac:dyDescent="0.2">
      <c r="A245" s="134">
        <v>1</v>
      </c>
      <c r="B245" s="42" t="s">
        <v>147</v>
      </c>
      <c r="C245" s="11"/>
      <c r="D245" s="11"/>
      <c r="E245" s="11"/>
      <c r="F245" s="11"/>
      <c r="G245" s="11"/>
      <c r="H245" s="11"/>
    </row>
    <row r="246" spans="1:11" x14ac:dyDescent="0.2">
      <c r="B246" s="13"/>
      <c r="C246" s="11"/>
      <c r="D246" s="11"/>
      <c r="E246" s="11"/>
      <c r="F246" s="11"/>
      <c r="G246" s="11"/>
      <c r="H246" s="11"/>
    </row>
    <row r="247" spans="1:11" s="153" customFormat="1" x14ac:dyDescent="0.2">
      <c r="A247" s="134">
        <f>A245+1</f>
        <v>2</v>
      </c>
      <c r="B247" s="168" t="s">
        <v>19</v>
      </c>
      <c r="C247" s="11"/>
      <c r="D247" s="11"/>
      <c r="E247" s="11"/>
      <c r="F247" s="11"/>
      <c r="G247" s="11"/>
      <c r="H247" s="11"/>
    </row>
    <row r="248" spans="1:11" s="153" customFormat="1" x14ac:dyDescent="0.2">
      <c r="A248" s="134"/>
      <c r="C248" s="11"/>
      <c r="D248" s="11"/>
      <c r="E248" s="11"/>
      <c r="F248" s="11"/>
      <c r="G248" s="11"/>
      <c r="H248" s="11"/>
    </row>
    <row r="249" spans="1:11" s="153" customFormat="1" x14ac:dyDescent="0.2">
      <c r="A249" s="134">
        <f>A247+1</f>
        <v>3</v>
      </c>
      <c r="B249" s="167" t="s">
        <v>459</v>
      </c>
      <c r="C249" s="203">
        <v>0</v>
      </c>
      <c r="D249" s="41">
        <v>0</v>
      </c>
      <c r="E249" s="41">
        <v>0</v>
      </c>
      <c r="F249" s="41">
        <v>0</v>
      </c>
      <c r="G249" s="41">
        <v>0</v>
      </c>
      <c r="H249" s="11">
        <f>SUM(C249:G249)</f>
        <v>0</v>
      </c>
      <c r="K249" s="153" t="s">
        <v>582</v>
      </c>
    </row>
    <row r="250" spans="1:11" s="153" customFormat="1" x14ac:dyDescent="0.2">
      <c r="A250" s="134">
        <f>A249+1</f>
        <v>4</v>
      </c>
      <c r="B250" s="167" t="s">
        <v>283</v>
      </c>
      <c r="C250" s="203">
        <v>0</v>
      </c>
      <c r="D250" s="41">
        <v>0</v>
      </c>
      <c r="E250" s="41">
        <v>0</v>
      </c>
      <c r="F250" s="41">
        <v>0</v>
      </c>
      <c r="G250" s="41">
        <v>0</v>
      </c>
      <c r="H250" s="11">
        <f>SUM(C250:G250)</f>
        <v>0</v>
      </c>
    </row>
    <row r="251" spans="1:11" s="153" customFormat="1" x14ac:dyDescent="0.2">
      <c r="A251" s="134">
        <f>A250+1</f>
        <v>5</v>
      </c>
      <c r="B251" s="167" t="s">
        <v>286</v>
      </c>
      <c r="C251" s="203">
        <v>0</v>
      </c>
      <c r="D251" s="41">
        <v>0</v>
      </c>
      <c r="E251" s="41">
        <v>0</v>
      </c>
      <c r="F251" s="41">
        <v>0</v>
      </c>
      <c r="G251" s="41">
        <v>0</v>
      </c>
      <c r="H251" s="11">
        <f>SUM(C251:G251)</f>
        <v>0</v>
      </c>
    </row>
    <row r="252" spans="1:11" s="153" customFormat="1" x14ac:dyDescent="0.2">
      <c r="A252" s="134">
        <f>A251+1</f>
        <v>6</v>
      </c>
      <c r="B252" s="164" t="s">
        <v>142</v>
      </c>
      <c r="C252" s="202">
        <v>0</v>
      </c>
      <c r="D252" s="38">
        <v>0</v>
      </c>
      <c r="E252" s="38">
        <v>0</v>
      </c>
      <c r="F252" s="38">
        <v>0</v>
      </c>
      <c r="G252" s="38">
        <v>0</v>
      </c>
      <c r="H252" s="29">
        <f>SUM(C252:G252)</f>
        <v>0</v>
      </c>
    </row>
    <row r="253" spans="1:11" s="153" customFormat="1" x14ac:dyDescent="0.2">
      <c r="A253" s="134">
        <f>A252+1</f>
        <v>7</v>
      </c>
      <c r="B253" s="14" t="s">
        <v>427</v>
      </c>
      <c r="C253" s="11">
        <f t="shared" ref="C253:H253" si="39">SUM(C249:C252)</f>
        <v>0</v>
      </c>
      <c r="D253" s="11">
        <f t="shared" si="39"/>
        <v>0</v>
      </c>
      <c r="E253" s="11">
        <f t="shared" si="39"/>
        <v>0</v>
      </c>
      <c r="F253" s="11">
        <f t="shared" si="39"/>
        <v>0</v>
      </c>
      <c r="G253" s="11">
        <f t="shared" si="39"/>
        <v>0</v>
      </c>
      <c r="H253" s="11">
        <f t="shared" si="39"/>
        <v>0</v>
      </c>
    </row>
    <row r="254" spans="1:11" s="153" customFormat="1" x14ac:dyDescent="0.2">
      <c r="A254" s="134"/>
      <c r="B254" s="13"/>
      <c r="C254" s="11"/>
      <c r="D254" s="11"/>
      <c r="E254" s="11"/>
      <c r="F254" s="11"/>
      <c r="G254" s="11"/>
      <c r="H254" s="11"/>
    </row>
    <row r="255" spans="1:11" x14ac:dyDescent="0.2">
      <c r="A255" s="134">
        <f>A253+1</f>
        <v>8</v>
      </c>
      <c r="B255" s="168" t="s">
        <v>21</v>
      </c>
      <c r="C255" s="11"/>
      <c r="D255" s="11"/>
      <c r="E255" s="11"/>
      <c r="F255" s="11"/>
      <c r="G255" s="11"/>
      <c r="H255" s="11"/>
      <c r="K255" s="153"/>
    </row>
    <row r="256" spans="1:11" x14ac:dyDescent="0.2">
      <c r="C256" s="11"/>
      <c r="D256" s="11"/>
      <c r="E256" s="11"/>
      <c r="F256" s="11"/>
      <c r="G256" s="11"/>
      <c r="H256" s="11"/>
      <c r="K256" s="153"/>
    </row>
    <row r="257" spans="1:12" x14ac:dyDescent="0.2">
      <c r="A257" s="134">
        <f>A255+1</f>
        <v>9</v>
      </c>
      <c r="B257" s="167" t="s">
        <v>459</v>
      </c>
      <c r="C257" s="203">
        <v>0</v>
      </c>
      <c r="D257" s="41">
        <v>0</v>
      </c>
      <c r="E257" s="41">
        <v>0</v>
      </c>
      <c r="F257" s="41">
        <v>0</v>
      </c>
      <c r="G257" s="41">
        <v>0</v>
      </c>
      <c r="H257" s="11">
        <f>SUM(C257:G257)</f>
        <v>0</v>
      </c>
      <c r="K257" s="153" t="s">
        <v>582</v>
      </c>
    </row>
    <row r="258" spans="1:12" x14ac:dyDescent="0.2">
      <c r="A258" s="134">
        <f>A257+1</f>
        <v>10</v>
      </c>
      <c r="B258" s="167" t="s">
        <v>283</v>
      </c>
      <c r="C258" s="203">
        <v>0</v>
      </c>
      <c r="D258" s="41">
        <v>0</v>
      </c>
      <c r="E258" s="41">
        <v>0</v>
      </c>
      <c r="F258" s="41">
        <v>0</v>
      </c>
      <c r="G258" s="41">
        <v>0</v>
      </c>
      <c r="H258" s="11">
        <f>SUM(C258:G258)</f>
        <v>0</v>
      </c>
    </row>
    <row r="259" spans="1:12" x14ac:dyDescent="0.2">
      <c r="A259" s="134">
        <f>A258+1</f>
        <v>11</v>
      </c>
      <c r="B259" s="167" t="s">
        <v>286</v>
      </c>
      <c r="C259" s="203">
        <v>0</v>
      </c>
      <c r="D259" s="41">
        <v>0</v>
      </c>
      <c r="E259" s="41">
        <v>0</v>
      </c>
      <c r="F259" s="41">
        <v>0</v>
      </c>
      <c r="G259" s="41">
        <v>0</v>
      </c>
      <c r="H259" s="11">
        <f>SUM(C259:G259)</f>
        <v>0</v>
      </c>
    </row>
    <row r="260" spans="1:12" x14ac:dyDescent="0.2">
      <c r="A260" s="134">
        <f>A259+1</f>
        <v>12</v>
      </c>
      <c r="B260" s="164" t="s">
        <v>142</v>
      </c>
      <c r="C260" s="202">
        <v>2741000</v>
      </c>
      <c r="D260" s="29">
        <f>'Sch4'!E147</f>
        <v>-502000</v>
      </c>
      <c r="E260" s="38">
        <v>0</v>
      </c>
      <c r="F260" s="38">
        <v>0</v>
      </c>
      <c r="G260" s="38">
        <v>0</v>
      </c>
      <c r="H260" s="29">
        <f>SUM(C260:G260)</f>
        <v>2239000</v>
      </c>
      <c r="K260" s="31"/>
    </row>
    <row r="261" spans="1:12" x14ac:dyDescent="0.2">
      <c r="A261" s="134">
        <f>A260+1</f>
        <v>13</v>
      </c>
      <c r="B261" s="14" t="s">
        <v>426</v>
      </c>
      <c r="C261" s="11">
        <f t="shared" ref="C261:H261" si="40">SUM(C257:C260)</f>
        <v>2741000</v>
      </c>
      <c r="D261" s="11">
        <f t="shared" si="40"/>
        <v>-502000</v>
      </c>
      <c r="E261" s="11">
        <f t="shared" si="40"/>
        <v>0</v>
      </c>
      <c r="F261" s="11">
        <f t="shared" si="40"/>
        <v>0</v>
      </c>
      <c r="G261" s="11">
        <f t="shared" si="40"/>
        <v>0</v>
      </c>
      <c r="H261" s="11">
        <f t="shared" si="40"/>
        <v>2239000</v>
      </c>
    </row>
    <row r="262" spans="1:12" s="153" customFormat="1" x14ac:dyDescent="0.2">
      <c r="A262" s="134"/>
      <c r="B262" s="14"/>
      <c r="C262" s="11"/>
      <c r="D262" s="11"/>
      <c r="E262" s="11"/>
      <c r="F262" s="11"/>
      <c r="G262" s="11"/>
      <c r="H262" s="11"/>
    </row>
    <row r="263" spans="1:12" s="153" customFormat="1" x14ac:dyDescent="0.2">
      <c r="A263" s="134">
        <f>A261+1</f>
        <v>14</v>
      </c>
      <c r="B263" s="14" t="s">
        <v>148</v>
      </c>
      <c r="C263" s="11">
        <f t="shared" ref="C263:H263" si="41">C253+C261</f>
        <v>2741000</v>
      </c>
      <c r="D263" s="11">
        <f t="shared" si="41"/>
        <v>-502000</v>
      </c>
      <c r="E263" s="11">
        <f t="shared" si="41"/>
        <v>0</v>
      </c>
      <c r="F263" s="11">
        <f t="shared" si="41"/>
        <v>0</v>
      </c>
      <c r="G263" s="11">
        <f t="shared" si="41"/>
        <v>0</v>
      </c>
      <c r="H263" s="11">
        <f t="shared" si="41"/>
        <v>2239000</v>
      </c>
    </row>
    <row r="264" spans="1:12" ht="12" thickBot="1" x14ac:dyDescent="0.25">
      <c r="C264" s="11"/>
      <c r="D264" s="11"/>
      <c r="E264" s="11"/>
      <c r="F264" s="11"/>
      <c r="G264" s="11"/>
      <c r="H264" s="11"/>
    </row>
    <row r="265" spans="1:12" x14ac:dyDescent="0.2">
      <c r="A265" s="221"/>
      <c r="B265" s="15"/>
      <c r="C265" s="17"/>
      <c r="D265" s="17"/>
      <c r="E265" s="17"/>
      <c r="F265" s="17"/>
      <c r="G265" s="17"/>
      <c r="H265" s="84"/>
    </row>
    <row r="266" spans="1:12" x14ac:dyDescent="0.2">
      <c r="A266" s="222">
        <f>A263+1</f>
        <v>15</v>
      </c>
      <c r="B266" s="19" t="s">
        <v>361</v>
      </c>
      <c r="C266" s="21"/>
      <c r="D266" s="21"/>
      <c r="E266" s="21"/>
      <c r="F266" s="21"/>
      <c r="G266" s="21"/>
      <c r="H266" s="47"/>
    </row>
    <row r="267" spans="1:12" x14ac:dyDescent="0.2">
      <c r="A267" s="222"/>
      <c r="B267" s="155"/>
      <c r="C267" s="21"/>
      <c r="D267" s="21"/>
      <c r="E267" s="21"/>
      <c r="F267" s="21"/>
      <c r="G267" s="21"/>
      <c r="H267" s="47"/>
    </row>
    <row r="268" spans="1:12" x14ac:dyDescent="0.2">
      <c r="A268" s="222">
        <f>A266+1</f>
        <v>16</v>
      </c>
      <c r="B268" s="162" t="s">
        <v>181</v>
      </c>
      <c r="C268" s="21">
        <f t="shared" ref="C268:H268" si="42">C109</f>
        <v>6925000</v>
      </c>
      <c r="D268" s="21">
        <f t="shared" si="42"/>
        <v>0</v>
      </c>
      <c r="E268" s="21">
        <f t="shared" si="42"/>
        <v>0</v>
      </c>
      <c r="F268" s="21">
        <f t="shared" si="42"/>
        <v>0</v>
      </c>
      <c r="G268" s="21">
        <f t="shared" si="42"/>
        <v>0</v>
      </c>
      <c r="H268" s="47">
        <f t="shared" si="42"/>
        <v>6925000</v>
      </c>
    </row>
    <row r="269" spans="1:12" x14ac:dyDescent="0.2">
      <c r="A269" s="222"/>
      <c r="B269" s="162"/>
      <c r="C269" s="21"/>
      <c r="D269" s="21"/>
      <c r="E269" s="21"/>
      <c r="F269" s="21"/>
      <c r="G269" s="21"/>
      <c r="H269" s="47"/>
    </row>
    <row r="270" spans="1:12" x14ac:dyDescent="0.2">
      <c r="A270" s="222">
        <f>A268+1</f>
        <v>17</v>
      </c>
      <c r="B270" s="162" t="s">
        <v>182</v>
      </c>
      <c r="C270" s="21">
        <f t="shared" ref="C270:H270" si="43">C119+C132+C185+C224+C205+C253+C156</f>
        <v>14869980.899999999</v>
      </c>
      <c r="D270" s="21">
        <f t="shared" si="43"/>
        <v>0</v>
      </c>
      <c r="E270" s="21">
        <f t="shared" si="43"/>
        <v>0</v>
      </c>
      <c r="F270" s="21">
        <f t="shared" si="43"/>
        <v>0</v>
      </c>
      <c r="G270" s="21">
        <f t="shared" si="43"/>
        <v>0</v>
      </c>
      <c r="H270" s="47">
        <f t="shared" si="43"/>
        <v>14869980.899999999</v>
      </c>
      <c r="K270" s="31">
        <v>11824008.1</v>
      </c>
      <c r="L270" s="31">
        <f>C270-C119</f>
        <v>12504001.299999999</v>
      </c>
    </row>
    <row r="271" spans="1:12" x14ac:dyDescent="0.2">
      <c r="A271" s="222"/>
      <c r="B271" s="162"/>
      <c r="C271" s="21"/>
      <c r="D271" s="21"/>
      <c r="E271" s="21"/>
      <c r="F271" s="21"/>
      <c r="G271" s="21"/>
      <c r="H271" s="47"/>
      <c r="K271" s="31">
        <f>21730001.3+201000</f>
        <v>21931001.300000001</v>
      </c>
    </row>
    <row r="272" spans="1:12" x14ac:dyDescent="0.2">
      <c r="A272" s="222">
        <f>A270+1</f>
        <v>18</v>
      </c>
      <c r="B272" s="162" t="s">
        <v>183</v>
      </c>
      <c r="C272" s="23">
        <f t="shared" ref="C272:H272" si="44">C192+C230+C261+C214+C164+C143</f>
        <v>23607002.399999999</v>
      </c>
      <c r="D272" s="23">
        <f t="shared" si="44"/>
        <v>-502000</v>
      </c>
      <c r="E272" s="23">
        <f t="shared" si="44"/>
        <v>0</v>
      </c>
      <c r="F272" s="23">
        <f t="shared" si="44"/>
        <v>0</v>
      </c>
      <c r="G272" s="23">
        <f t="shared" si="44"/>
        <v>0</v>
      </c>
      <c r="H272" s="85">
        <f t="shared" si="44"/>
        <v>23105002.399999999</v>
      </c>
      <c r="K272" s="31"/>
      <c r="L272" s="31" t="s">
        <v>231</v>
      </c>
    </row>
    <row r="273" spans="1:8" x14ac:dyDescent="0.2">
      <c r="A273" s="222"/>
      <c r="B273" s="155"/>
      <c r="C273" s="21"/>
      <c r="D273" s="21"/>
      <c r="E273" s="21"/>
      <c r="F273" s="21"/>
      <c r="G273" s="21"/>
      <c r="H273" s="47"/>
    </row>
    <row r="274" spans="1:8" x14ac:dyDescent="0.2">
      <c r="A274" s="222">
        <f>A272+1</f>
        <v>19</v>
      </c>
      <c r="B274" s="155" t="s">
        <v>363</v>
      </c>
      <c r="C274" s="21">
        <f t="shared" ref="C274:H274" si="45">SUM(C268:C272)</f>
        <v>45401983.299999997</v>
      </c>
      <c r="D274" s="21">
        <f t="shared" si="45"/>
        <v>-502000</v>
      </c>
      <c r="E274" s="21">
        <f t="shared" si="45"/>
        <v>0</v>
      </c>
      <c r="F274" s="21">
        <f t="shared" si="45"/>
        <v>0</v>
      </c>
      <c r="G274" s="21">
        <f>SUM(G268:G272)</f>
        <v>0</v>
      </c>
      <c r="H274" s="47">
        <f t="shared" si="45"/>
        <v>44899983.299999997</v>
      </c>
    </row>
    <row r="275" spans="1:8" ht="12" thickBot="1" x14ac:dyDescent="0.25">
      <c r="A275" s="223"/>
      <c r="B275" s="24"/>
      <c r="C275" s="26"/>
      <c r="D275" s="26"/>
      <c r="E275" s="26"/>
      <c r="F275" s="26"/>
      <c r="G275" s="26"/>
      <c r="H275" s="50"/>
    </row>
    <row r="276" spans="1:8" ht="12" thickBot="1" x14ac:dyDescent="0.25">
      <c r="C276" s="11"/>
      <c r="D276" s="11"/>
      <c r="E276" s="11"/>
      <c r="F276" s="11"/>
      <c r="G276" s="11"/>
      <c r="H276" s="11"/>
    </row>
    <row r="277" spans="1:8" x14ac:dyDescent="0.2">
      <c r="A277" s="221"/>
      <c r="B277" s="15"/>
      <c r="C277" s="17"/>
      <c r="D277" s="17"/>
      <c r="E277" s="17"/>
      <c r="F277" s="17"/>
      <c r="G277" s="17"/>
      <c r="H277" s="84"/>
    </row>
    <row r="278" spans="1:8" x14ac:dyDescent="0.2">
      <c r="A278" s="222">
        <f>A274+1</f>
        <v>20</v>
      </c>
      <c r="B278" s="19" t="s">
        <v>28</v>
      </c>
      <c r="C278" s="21">
        <f t="shared" ref="C278:H278" si="46">C103+C274</f>
        <v>82323104.399999991</v>
      </c>
      <c r="D278" s="21">
        <f t="shared" si="46"/>
        <v>-502000</v>
      </c>
      <c r="E278" s="21">
        <f t="shared" si="46"/>
        <v>460169</v>
      </c>
      <c r="F278" s="21">
        <f t="shared" si="46"/>
        <v>-161943</v>
      </c>
      <c r="G278" s="21">
        <f t="shared" si="46"/>
        <v>0</v>
      </c>
      <c r="H278" s="47">
        <f t="shared" si="46"/>
        <v>82119330.399999991</v>
      </c>
    </row>
    <row r="279" spans="1:8" ht="12" thickBot="1" x14ac:dyDescent="0.25">
      <c r="A279" s="223"/>
      <c r="B279" s="24"/>
      <c r="C279" s="26"/>
      <c r="D279" s="26"/>
      <c r="E279" s="26"/>
      <c r="F279" s="26"/>
      <c r="G279" s="26"/>
      <c r="H279" s="50"/>
    </row>
    <row r="280" spans="1:8" x14ac:dyDescent="0.2">
      <c r="A280" s="77"/>
      <c r="B280" s="18"/>
      <c r="C280" s="21"/>
      <c r="D280" s="21"/>
      <c r="E280" s="21"/>
      <c r="F280" s="21"/>
      <c r="G280" s="21"/>
      <c r="H280" s="21"/>
    </row>
    <row r="281" spans="1:8" ht="12" thickBot="1" x14ac:dyDescent="0.25">
      <c r="A281" s="77"/>
      <c r="B281" s="18"/>
      <c r="C281" s="21"/>
      <c r="D281" s="21"/>
      <c r="E281" s="21"/>
      <c r="F281" s="21"/>
      <c r="G281" s="21"/>
      <c r="H281" s="21"/>
    </row>
    <row r="282" spans="1:8" x14ac:dyDescent="0.2">
      <c r="A282" s="283" t="s">
        <v>279</v>
      </c>
      <c r="B282" s="296"/>
      <c r="C282" s="285" t="s">
        <v>254</v>
      </c>
      <c r="D282" s="297" t="s">
        <v>436</v>
      </c>
      <c r="E282" s="298" t="s">
        <v>437</v>
      </c>
      <c r="F282" s="21"/>
      <c r="G282" s="21"/>
      <c r="H282" s="21"/>
    </row>
    <row r="283" spans="1:8" x14ac:dyDescent="0.2">
      <c r="A283" s="287"/>
      <c r="B283" s="299"/>
      <c r="C283" s="288"/>
      <c r="D283" s="288"/>
      <c r="E283" s="290"/>
    </row>
    <row r="284" spans="1:8" x14ac:dyDescent="0.2">
      <c r="A284" s="287" t="s">
        <v>430</v>
      </c>
      <c r="B284" s="299"/>
      <c r="C284" s="316">
        <v>27314000</v>
      </c>
      <c r="D284" s="300">
        <f>C97</f>
        <v>27314000</v>
      </c>
      <c r="E284" s="301">
        <f>C284-D284</f>
        <v>0</v>
      </c>
    </row>
    <row r="285" spans="1:8" x14ac:dyDescent="0.2">
      <c r="A285" s="287" t="s">
        <v>438</v>
      </c>
      <c r="B285" s="299"/>
      <c r="C285" s="316">
        <v>6925000</v>
      </c>
      <c r="D285" s="300">
        <f>C268</f>
        <v>6925000</v>
      </c>
      <c r="E285" s="301">
        <f t="shared" ref="E285:E288" si="47">C285-D285</f>
        <v>0</v>
      </c>
    </row>
    <row r="286" spans="1:8" x14ac:dyDescent="0.2">
      <c r="A286" s="287" t="s">
        <v>432</v>
      </c>
      <c r="B286" s="299"/>
      <c r="C286" s="316">
        <v>9607121.0999999996</v>
      </c>
      <c r="D286" s="300">
        <f>C101+C99</f>
        <v>9607121.1000000015</v>
      </c>
      <c r="E286" s="301">
        <f t="shared" si="47"/>
        <v>0</v>
      </c>
    </row>
    <row r="287" spans="1:8" x14ac:dyDescent="0.2">
      <c r="A287" s="287" t="s">
        <v>439</v>
      </c>
      <c r="B287" s="299"/>
      <c r="C287" s="316">
        <v>2365979.6</v>
      </c>
      <c r="D287" s="300">
        <f>C119</f>
        <v>2365979.6</v>
      </c>
      <c r="E287" s="301">
        <f t="shared" si="47"/>
        <v>0</v>
      </c>
    </row>
    <row r="288" spans="1:8" x14ac:dyDescent="0.2">
      <c r="A288" s="287" t="s">
        <v>434</v>
      </c>
      <c r="B288" s="299"/>
      <c r="C288" s="317">
        <v>36111003.700000003</v>
      </c>
      <c r="D288" s="302">
        <f>C274-D287-D285</f>
        <v>36111003.699999996</v>
      </c>
      <c r="E288" s="303">
        <f t="shared" si="47"/>
        <v>0</v>
      </c>
    </row>
    <row r="289" spans="1:5" ht="12" thickBot="1" x14ac:dyDescent="0.25">
      <c r="A289" s="292" t="s">
        <v>435</v>
      </c>
      <c r="B289" s="304"/>
      <c r="C289" s="305">
        <f>SUM(C284:C288)</f>
        <v>82323104.400000006</v>
      </c>
      <c r="D289" s="305">
        <f t="shared" ref="D289:E289" si="48">SUM(D284:D288)</f>
        <v>82323104.400000006</v>
      </c>
      <c r="E289" s="306">
        <f t="shared" si="48"/>
        <v>0</v>
      </c>
    </row>
    <row r="290" spans="1:5" x14ac:dyDescent="0.2">
      <c r="C290" s="31"/>
    </row>
    <row r="291" spans="1:5" x14ac:dyDescent="0.2">
      <c r="C291" s="31"/>
    </row>
  </sheetData>
  <customSheetViews>
    <customSheetView guid="{818D6814-8976-4390-B9DF-A301351E9DE9}" showPageBreaks="1" printArea="1" showRuler="0">
      <selection activeCell="K254" sqref="K254"/>
      <rowBreaks count="5" manualBreakCount="5">
        <brk id="60" max="16383" man="1"/>
        <brk id="109" max="16383" man="1"/>
        <brk id="167" max="16383" man="1"/>
        <brk id="219" max="16383" man="1"/>
        <brk id="268" max="16383" man="1"/>
      </rowBreaks>
      <pageMargins left="0.25" right="0.25" top="0.5" bottom="0.25" header="0.5" footer="0.5"/>
      <printOptions horizontalCentered="1"/>
      <pageSetup scale="99" fitToHeight="16" orientation="portrait" r:id="rId1"/>
      <headerFooter alignWithMargins="0"/>
    </customSheetView>
  </customSheetViews>
  <mergeCells count="16">
    <mergeCell ref="E7:F7"/>
    <mergeCell ref="E173:F173"/>
    <mergeCell ref="A2:G2"/>
    <mergeCell ref="A3:G3"/>
    <mergeCell ref="A4:G4"/>
    <mergeCell ref="A85:G85"/>
    <mergeCell ref="A86:G86"/>
    <mergeCell ref="A87:G87"/>
    <mergeCell ref="A168:G168"/>
    <mergeCell ref="A169:G169"/>
    <mergeCell ref="A170:G170"/>
    <mergeCell ref="E239:F239"/>
    <mergeCell ref="A235:G235"/>
    <mergeCell ref="A236:G236"/>
    <mergeCell ref="A234:G234"/>
    <mergeCell ref="E90:F90"/>
  </mergeCells>
  <phoneticPr fontId="0" type="noConversion"/>
  <printOptions horizontalCentered="1"/>
  <pageMargins left="0.5" right="0.25" top="0.5" bottom="0.25" header="0.5" footer="0.5"/>
  <pageSetup scale="80" fitToHeight="16" orientation="portrait" r:id="rId2"/>
  <headerFooter alignWithMargins="0"/>
  <rowBreaks count="3" manualBreakCount="3">
    <brk id="83" max="16383" man="1"/>
    <brk id="166" max="7" man="1"/>
    <brk id="232" max="9" man="1"/>
  </rowBreaks>
  <ignoredErrors>
    <ignoredError sqref="D4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O177"/>
  <sheetViews>
    <sheetView view="pageBreakPreview" zoomScaleNormal="100" zoomScaleSheetLayoutView="100" workbookViewId="0">
      <selection activeCell="B23" sqref="B23"/>
    </sheetView>
  </sheetViews>
  <sheetFormatPr defaultColWidth="10" defaultRowHeight="11.25" x14ac:dyDescent="0.2"/>
  <cols>
    <col min="1" max="1" width="7.19921875" style="134" customWidth="1"/>
    <col min="2" max="2" width="50.19921875" style="3" customWidth="1"/>
    <col min="3" max="5" width="17" style="3" customWidth="1"/>
    <col min="6" max="6" width="20.19921875" style="3" customWidth="1"/>
    <col min="7" max="7" width="7.19921875" style="3" customWidth="1"/>
    <col min="8" max="16384" width="10" style="3"/>
  </cols>
  <sheetData>
    <row r="1" spans="1:7" x14ac:dyDescent="0.2">
      <c r="F1" s="2" t="str">
        <f>adjno</f>
        <v>Exhibit No. 103</v>
      </c>
    </row>
    <row r="2" spans="1:7" ht="10.5" customHeight="1" x14ac:dyDescent="0.2">
      <c r="A2" s="353" t="str">
        <f>coname</f>
        <v>Columbia Gas of Pennsylvania, Inc.</v>
      </c>
      <c r="B2" s="353"/>
      <c r="C2" s="353"/>
      <c r="D2" s="353"/>
      <c r="E2" s="353"/>
      <c r="F2" s="137" t="s">
        <v>195</v>
      </c>
    </row>
    <row r="3" spans="1:7" ht="10.5" customHeight="1" x14ac:dyDescent="0.2">
      <c r="A3" s="353" t="s">
        <v>34</v>
      </c>
      <c r="B3" s="353"/>
      <c r="C3" s="353"/>
      <c r="D3" s="353"/>
      <c r="E3" s="353"/>
      <c r="F3" s="2" t="s">
        <v>584</v>
      </c>
    </row>
    <row r="4" spans="1:7" ht="10.5" customHeight="1" x14ac:dyDescent="0.2">
      <c r="A4" s="353" t="str">
        <f>TYDESC</f>
        <v>For the 12 Months Ended December 31, 2019</v>
      </c>
      <c r="B4" s="353"/>
      <c r="C4" s="353"/>
      <c r="D4" s="353"/>
      <c r="E4" s="353"/>
      <c r="F4" s="4" t="str">
        <f>'Sch1'!G4</f>
        <v>Witness: D. Joe Mays</v>
      </c>
    </row>
    <row r="5" spans="1:7" ht="10.5" customHeight="1" x14ac:dyDescent="0.2"/>
    <row r="6" spans="1:7" ht="10.5" customHeight="1" x14ac:dyDescent="0.2">
      <c r="C6" s="127" t="s">
        <v>35</v>
      </c>
      <c r="D6" s="127" t="s">
        <v>35</v>
      </c>
      <c r="E6" s="127" t="s">
        <v>0</v>
      </c>
      <c r="F6" s="6"/>
    </row>
    <row r="7" spans="1:7" ht="10.5" customHeight="1" x14ac:dyDescent="0.2">
      <c r="A7" s="215" t="s">
        <v>3</v>
      </c>
      <c r="C7" s="127" t="s">
        <v>36</v>
      </c>
      <c r="D7" s="127" t="s">
        <v>38</v>
      </c>
      <c r="E7" s="127" t="s">
        <v>39</v>
      </c>
      <c r="F7" s="1" t="s">
        <v>11</v>
      </c>
    </row>
    <row r="8" spans="1:7" ht="10.5" customHeight="1" x14ac:dyDescent="0.2">
      <c r="A8" s="172" t="s">
        <v>6</v>
      </c>
      <c r="C8" s="128" t="s">
        <v>8</v>
      </c>
      <c r="D8" s="128" t="s">
        <v>8</v>
      </c>
      <c r="E8" s="128" t="s">
        <v>8</v>
      </c>
      <c r="F8" s="7" t="s">
        <v>35</v>
      </c>
    </row>
    <row r="9" spans="1:7" ht="10.5" customHeight="1" x14ac:dyDescent="0.2">
      <c r="C9" s="8" t="s">
        <v>12</v>
      </c>
      <c r="D9" s="8" t="s">
        <v>13</v>
      </c>
      <c r="E9" s="8" t="s">
        <v>32</v>
      </c>
      <c r="F9" s="8" t="s">
        <v>187</v>
      </c>
    </row>
    <row r="10" spans="1:7" ht="10.5" customHeight="1" x14ac:dyDescent="0.2">
      <c r="C10" s="9" t="s">
        <v>276</v>
      </c>
      <c r="D10" s="9" t="s">
        <v>276</v>
      </c>
      <c r="E10" s="9" t="s">
        <v>276</v>
      </c>
      <c r="F10" s="6"/>
    </row>
    <row r="11" spans="1:7" ht="10.5" customHeight="1" x14ac:dyDescent="0.2">
      <c r="A11" s="134">
        <v>1</v>
      </c>
      <c r="B11" s="127" t="s">
        <v>18</v>
      </c>
    </row>
    <row r="12" spans="1:7" ht="10.5" customHeight="1" x14ac:dyDescent="0.2"/>
    <row r="13" spans="1:7" ht="10.5" customHeight="1" x14ac:dyDescent="0.2">
      <c r="A13" s="134">
        <f>A11+1</f>
        <v>2</v>
      </c>
      <c r="B13" s="6" t="s">
        <v>153</v>
      </c>
      <c r="C13" s="36">
        <f>'Sch4-2'!F33</f>
        <v>26457</v>
      </c>
      <c r="D13" s="68">
        <f>(D170)*6</f>
        <v>-5910</v>
      </c>
      <c r="E13" s="58">
        <v>0</v>
      </c>
      <c r="F13" s="36">
        <f>SUM(C13:E13)</f>
        <v>20547</v>
      </c>
    </row>
    <row r="14" spans="1:7" ht="10.5" customHeight="1" x14ac:dyDescent="0.2">
      <c r="B14" s="6"/>
      <c r="C14" s="36"/>
      <c r="D14" s="68"/>
      <c r="E14" s="58"/>
      <c r="F14" s="36"/>
    </row>
    <row r="15" spans="1:7" ht="10.5" customHeight="1" x14ac:dyDescent="0.2">
      <c r="A15" s="134">
        <f>A13+1</f>
        <v>3</v>
      </c>
      <c r="B15" s="127" t="s">
        <v>19</v>
      </c>
      <c r="D15" s="54"/>
      <c r="E15" s="58"/>
      <c r="G15" s="14"/>
    </row>
    <row r="16" spans="1:7" ht="10.5" customHeight="1" x14ac:dyDescent="0.2">
      <c r="D16" s="54"/>
      <c r="E16" s="58"/>
      <c r="G16" s="14"/>
    </row>
    <row r="17" spans="1:7" ht="10.5" customHeight="1" x14ac:dyDescent="0.2">
      <c r="A17" s="134">
        <f>A15+1</f>
        <v>4</v>
      </c>
      <c r="B17" s="6" t="s">
        <v>154</v>
      </c>
      <c r="C17" s="36"/>
      <c r="D17" s="58"/>
      <c r="E17" s="58"/>
      <c r="F17" s="36"/>
      <c r="G17" s="14"/>
    </row>
    <row r="18" spans="1:7" ht="10.5" customHeight="1" x14ac:dyDescent="0.2">
      <c r="A18" s="134">
        <f>A17+1</f>
        <v>5</v>
      </c>
      <c r="B18" s="166" t="s">
        <v>348</v>
      </c>
      <c r="C18" s="36">
        <f>'Sch4-2'!F65</f>
        <v>3639</v>
      </c>
      <c r="D18" s="68">
        <f>(F170+F176)*6</f>
        <v>-2400</v>
      </c>
      <c r="E18" s="58">
        <v>0</v>
      </c>
      <c r="F18" s="36">
        <f>SUM(C18:E18)</f>
        <v>1239</v>
      </c>
      <c r="G18" s="14"/>
    </row>
    <row r="19" spans="1:7" ht="10.5" customHeight="1" x14ac:dyDescent="0.2">
      <c r="A19" s="134">
        <f>A18+1</f>
        <v>6</v>
      </c>
      <c r="B19" s="167" t="s">
        <v>349</v>
      </c>
      <c r="C19" s="58">
        <v>0</v>
      </c>
      <c r="D19" s="58">
        <v>0</v>
      </c>
      <c r="E19" s="58">
        <v>0</v>
      </c>
      <c r="F19" s="36">
        <f>SUM(C19:E19)</f>
        <v>0</v>
      </c>
      <c r="G19" s="14"/>
    </row>
    <row r="20" spans="1:7" ht="10.5" customHeight="1" x14ac:dyDescent="0.2">
      <c r="B20" s="69"/>
      <c r="C20" s="58"/>
      <c r="D20" s="58"/>
      <c r="E20" s="58"/>
      <c r="F20" s="36"/>
      <c r="G20" s="14"/>
    </row>
    <row r="21" spans="1:7" ht="10.5" customHeight="1" x14ac:dyDescent="0.2">
      <c r="A21" s="134">
        <f>A19+1</f>
        <v>7</v>
      </c>
      <c r="B21" s="6" t="s">
        <v>155</v>
      </c>
      <c r="C21" s="36"/>
      <c r="D21" s="58"/>
      <c r="E21" s="58"/>
      <c r="F21" s="36"/>
    </row>
    <row r="22" spans="1:7" ht="10.5" customHeight="1" x14ac:dyDescent="0.2">
      <c r="A22" s="134">
        <f t="shared" ref="A22:A27" si="0">A21+1</f>
        <v>8</v>
      </c>
      <c r="B22" s="167" t="s">
        <v>351</v>
      </c>
      <c r="C22" s="58">
        <v>0</v>
      </c>
      <c r="D22" s="58">
        <v>0</v>
      </c>
      <c r="E22" s="58">
        <v>0</v>
      </c>
      <c r="F22" s="36">
        <f t="shared" ref="F22:F27" si="1">SUM(C22:E22)</f>
        <v>0</v>
      </c>
    </row>
    <row r="23" spans="1:7" ht="10.5" customHeight="1" x14ac:dyDescent="0.2">
      <c r="A23" s="134">
        <f t="shared" si="0"/>
        <v>9</v>
      </c>
      <c r="B23" s="167" t="s">
        <v>352</v>
      </c>
      <c r="C23" s="58">
        <v>0</v>
      </c>
      <c r="D23" s="58">
        <v>0</v>
      </c>
      <c r="E23" s="58">
        <v>0</v>
      </c>
      <c r="F23" s="36">
        <f t="shared" si="1"/>
        <v>0</v>
      </c>
    </row>
    <row r="24" spans="1:7" ht="10.5" customHeight="1" x14ac:dyDescent="0.2">
      <c r="A24" s="134">
        <f t="shared" si="0"/>
        <v>10</v>
      </c>
      <c r="B24" s="167" t="s">
        <v>353</v>
      </c>
      <c r="C24" s="58">
        <v>0</v>
      </c>
      <c r="D24" s="58">
        <v>0</v>
      </c>
      <c r="E24" s="58">
        <v>0</v>
      </c>
      <c r="F24" s="36">
        <f t="shared" si="1"/>
        <v>0</v>
      </c>
    </row>
    <row r="25" spans="1:7" ht="10.5" customHeight="1" x14ac:dyDescent="0.2">
      <c r="A25" s="134">
        <f t="shared" si="0"/>
        <v>11</v>
      </c>
      <c r="B25" s="167" t="s">
        <v>354</v>
      </c>
      <c r="C25" s="58">
        <v>0</v>
      </c>
      <c r="D25" s="58">
        <v>0</v>
      </c>
      <c r="E25" s="58">
        <v>0</v>
      </c>
      <c r="F25" s="36">
        <f t="shared" si="1"/>
        <v>0</v>
      </c>
    </row>
    <row r="26" spans="1:7" ht="10.5" customHeight="1" x14ac:dyDescent="0.2">
      <c r="A26" s="134">
        <f t="shared" si="0"/>
        <v>12</v>
      </c>
      <c r="B26" s="167" t="s">
        <v>355</v>
      </c>
      <c r="C26" s="58">
        <v>0</v>
      </c>
      <c r="D26" s="58">
        <v>0</v>
      </c>
      <c r="E26" s="58">
        <v>0</v>
      </c>
      <c r="F26" s="36">
        <f t="shared" si="1"/>
        <v>0</v>
      </c>
    </row>
    <row r="27" spans="1:7" ht="10.5" customHeight="1" x14ac:dyDescent="0.2">
      <c r="A27" s="134">
        <f t="shared" si="0"/>
        <v>13</v>
      </c>
      <c r="B27" s="167" t="s">
        <v>356</v>
      </c>
      <c r="C27" s="58">
        <v>0</v>
      </c>
      <c r="D27" s="58">
        <v>0</v>
      </c>
      <c r="E27" s="58">
        <v>0</v>
      </c>
      <c r="F27" s="36">
        <f t="shared" si="1"/>
        <v>0</v>
      </c>
    </row>
    <row r="28" spans="1:7" ht="10.5" customHeight="1" x14ac:dyDescent="0.2">
      <c r="B28" s="6"/>
      <c r="C28" s="36"/>
      <c r="D28" s="58"/>
      <c r="E28" s="58"/>
      <c r="F28" s="36"/>
    </row>
    <row r="29" spans="1:7" ht="10.5" customHeight="1" x14ac:dyDescent="0.2">
      <c r="A29" s="134">
        <f>A27+1</f>
        <v>14</v>
      </c>
      <c r="B29" s="6" t="s">
        <v>156</v>
      </c>
      <c r="C29" s="36"/>
      <c r="D29" s="58"/>
      <c r="E29" s="58"/>
      <c r="F29" s="36"/>
    </row>
    <row r="30" spans="1:7" ht="10.5" customHeight="1" x14ac:dyDescent="0.2">
      <c r="A30" s="134">
        <f>A29+1</f>
        <v>15</v>
      </c>
      <c r="B30" s="166" t="s">
        <v>348</v>
      </c>
      <c r="C30" s="58">
        <v>0</v>
      </c>
      <c r="D30" s="58">
        <v>0</v>
      </c>
      <c r="E30" s="58">
        <v>0</v>
      </c>
      <c r="F30" s="58">
        <v>0</v>
      </c>
    </row>
    <row r="31" spans="1:7" ht="10.5" customHeight="1" x14ac:dyDescent="0.2">
      <c r="A31" s="134">
        <f>A30+1</f>
        <v>16</v>
      </c>
      <c r="B31" s="167" t="s">
        <v>349</v>
      </c>
      <c r="C31" s="58">
        <v>0</v>
      </c>
      <c r="D31" s="58">
        <v>0</v>
      </c>
      <c r="E31" s="58">
        <v>0</v>
      </c>
      <c r="F31" s="36">
        <f>SUM(C31:E31)</f>
        <v>0</v>
      </c>
    </row>
    <row r="32" spans="1:7" ht="10.5" customHeight="1" x14ac:dyDescent="0.2">
      <c r="D32" s="56"/>
      <c r="E32" s="58"/>
    </row>
    <row r="33" spans="1:7" ht="10.5" customHeight="1" x14ac:dyDescent="0.2">
      <c r="A33" s="134">
        <f>A31+1</f>
        <v>17</v>
      </c>
      <c r="B33" s="6" t="s">
        <v>232</v>
      </c>
      <c r="D33" s="56"/>
    </row>
    <row r="34" spans="1:7" ht="10.5" customHeight="1" x14ac:dyDescent="0.2">
      <c r="A34" s="134">
        <f>A33+1</f>
        <v>18</v>
      </c>
      <c r="B34" s="167" t="s">
        <v>357</v>
      </c>
      <c r="C34" s="58">
        <v>0</v>
      </c>
      <c r="D34" s="58">
        <v>0</v>
      </c>
      <c r="E34" s="58">
        <v>0</v>
      </c>
      <c r="F34" s="36">
        <f>SUM(C34:E34)</f>
        <v>0</v>
      </c>
    </row>
    <row r="35" spans="1:7" ht="10.5" customHeight="1" x14ac:dyDescent="0.2">
      <c r="A35" s="134">
        <f>A34+1</f>
        <v>19</v>
      </c>
      <c r="B35" s="167" t="s">
        <v>358</v>
      </c>
      <c r="C35" s="58">
        <v>0</v>
      </c>
      <c r="D35" s="58">
        <v>0</v>
      </c>
      <c r="E35" s="58">
        <v>0</v>
      </c>
      <c r="F35" s="36">
        <f>SUM(C35:E35)</f>
        <v>0</v>
      </c>
    </row>
    <row r="36" spans="1:7" ht="10.5" customHeight="1" x14ac:dyDescent="0.2">
      <c r="A36" s="134">
        <f>A35+1</f>
        <v>20</v>
      </c>
      <c r="B36" s="165" t="s">
        <v>149</v>
      </c>
      <c r="C36" s="58">
        <v>0</v>
      </c>
      <c r="D36" s="58">
        <v>0</v>
      </c>
      <c r="E36" s="58">
        <v>0</v>
      </c>
      <c r="F36" s="36">
        <f>SUM(C36:E36)</f>
        <v>0</v>
      </c>
    </row>
    <row r="37" spans="1:7" ht="10.5" customHeight="1" x14ac:dyDescent="0.2">
      <c r="D37" s="56"/>
    </row>
    <row r="38" spans="1:7" ht="10.5" customHeight="1" x14ac:dyDescent="0.2">
      <c r="A38" s="134">
        <f>A36+1</f>
        <v>21</v>
      </c>
      <c r="B38" s="6" t="s">
        <v>157</v>
      </c>
      <c r="C38" s="36"/>
      <c r="D38" s="58"/>
      <c r="E38" s="58"/>
      <c r="F38" s="36"/>
    </row>
    <row r="39" spans="1:7" ht="10.5" customHeight="1" x14ac:dyDescent="0.2">
      <c r="A39" s="134">
        <f>A38+1</f>
        <v>22</v>
      </c>
      <c r="B39" s="167" t="s">
        <v>285</v>
      </c>
      <c r="C39" s="58">
        <v>0</v>
      </c>
      <c r="D39" s="58">
        <v>0</v>
      </c>
      <c r="E39" s="58">
        <v>0</v>
      </c>
      <c r="F39" s="36">
        <f>SUM(C39:E39)</f>
        <v>0</v>
      </c>
    </row>
    <row r="40" spans="1:7" ht="10.5" customHeight="1" x14ac:dyDescent="0.2">
      <c r="A40" s="134">
        <f>A39+1</f>
        <v>23</v>
      </c>
      <c r="B40" s="167" t="s">
        <v>282</v>
      </c>
      <c r="C40" s="58">
        <v>0</v>
      </c>
      <c r="D40" s="58">
        <v>0</v>
      </c>
      <c r="E40" s="58">
        <v>0</v>
      </c>
      <c r="F40" s="36">
        <f>SUM(C40:E40)</f>
        <v>0</v>
      </c>
    </row>
    <row r="41" spans="1:7" ht="10.5" customHeight="1" x14ac:dyDescent="0.2">
      <c r="A41" s="134">
        <f>A40+1</f>
        <v>24</v>
      </c>
      <c r="B41" s="167" t="s">
        <v>283</v>
      </c>
      <c r="C41" s="58">
        <v>0</v>
      </c>
      <c r="D41" s="58">
        <v>0</v>
      </c>
      <c r="E41" s="58">
        <v>0</v>
      </c>
      <c r="F41" s="36">
        <f>SUM(C41:E41)</f>
        <v>0</v>
      </c>
    </row>
    <row r="42" spans="1:7" ht="10.5" customHeight="1" x14ac:dyDescent="0.2">
      <c r="A42" s="134">
        <f>A41+1</f>
        <v>25</v>
      </c>
      <c r="B42" s="167" t="s">
        <v>286</v>
      </c>
      <c r="C42" s="58">
        <v>0</v>
      </c>
      <c r="D42" s="58">
        <v>0</v>
      </c>
      <c r="E42" s="58">
        <v>0</v>
      </c>
      <c r="F42" s="36">
        <f>SUM(C42:E42)</f>
        <v>0</v>
      </c>
    </row>
    <row r="43" spans="1:7" ht="10.5" customHeight="1" x14ac:dyDescent="0.2">
      <c r="A43" s="134">
        <f>A42+1</f>
        <v>26</v>
      </c>
      <c r="B43" s="165" t="s">
        <v>149</v>
      </c>
      <c r="C43" s="58">
        <v>0</v>
      </c>
      <c r="D43" s="58">
        <v>0</v>
      </c>
      <c r="E43" s="68"/>
      <c r="F43" s="36">
        <f>SUM(C43:E43)</f>
        <v>0</v>
      </c>
    </row>
    <row r="44" spans="1:7" ht="10.5" customHeight="1" x14ac:dyDescent="0.2">
      <c r="D44" s="56"/>
    </row>
    <row r="45" spans="1:7" ht="10.5" customHeight="1" x14ac:dyDescent="0.2">
      <c r="A45" s="134">
        <f>A43+1</f>
        <v>27</v>
      </c>
      <c r="B45" s="127" t="s">
        <v>21</v>
      </c>
      <c r="D45" s="70"/>
      <c r="F45" s="36"/>
    </row>
    <row r="46" spans="1:7" ht="10.5" customHeight="1" x14ac:dyDescent="0.2">
      <c r="B46" s="127"/>
      <c r="D46" s="70"/>
      <c r="F46" s="36"/>
    </row>
    <row r="47" spans="1:7" ht="10.5" customHeight="1" x14ac:dyDescent="0.2">
      <c r="A47" s="134">
        <f>A45+1</f>
        <v>28</v>
      </c>
      <c r="B47" s="6" t="s">
        <v>154</v>
      </c>
      <c r="C47" s="36"/>
      <c r="D47" s="58"/>
      <c r="E47" s="58"/>
      <c r="F47" s="36"/>
      <c r="G47" s="14"/>
    </row>
    <row r="48" spans="1:7" ht="10.5" customHeight="1" x14ac:dyDescent="0.2">
      <c r="A48" s="134">
        <f>A47+1</f>
        <v>29</v>
      </c>
      <c r="B48" s="166" t="s">
        <v>348</v>
      </c>
      <c r="C48" s="58">
        <v>0</v>
      </c>
      <c r="D48" s="58">
        <v>0</v>
      </c>
      <c r="E48" s="58">
        <v>0</v>
      </c>
      <c r="F48" s="36">
        <f>SUM(C48:E48)</f>
        <v>0</v>
      </c>
      <c r="G48" s="14"/>
    </row>
    <row r="49" spans="1:7" ht="10.5" customHeight="1" x14ac:dyDescent="0.2">
      <c r="A49" s="134">
        <f>A48+1</f>
        <v>30</v>
      </c>
      <c r="B49" s="167" t="s">
        <v>349</v>
      </c>
      <c r="C49" s="58">
        <v>0</v>
      </c>
      <c r="D49" s="58">
        <v>0</v>
      </c>
      <c r="E49" s="58">
        <v>0</v>
      </c>
      <c r="F49" s="36">
        <f>SUM(C49:E49)</f>
        <v>0</v>
      </c>
      <c r="G49" s="14"/>
    </row>
    <row r="50" spans="1:7" ht="10.5" customHeight="1" x14ac:dyDescent="0.2">
      <c r="B50" s="69"/>
      <c r="C50" s="58"/>
      <c r="D50" s="58"/>
      <c r="E50" s="68"/>
      <c r="F50" s="36"/>
      <c r="G50" s="14"/>
    </row>
    <row r="51" spans="1:7" ht="10.5" customHeight="1" x14ac:dyDescent="0.2">
      <c r="A51" s="134">
        <f>A49+1</f>
        <v>31</v>
      </c>
      <c r="B51" s="6" t="s">
        <v>155</v>
      </c>
      <c r="C51" s="36"/>
      <c r="D51" s="58"/>
      <c r="E51" s="58"/>
      <c r="F51" s="36"/>
    </row>
    <row r="52" spans="1:7" ht="10.5" customHeight="1" x14ac:dyDescent="0.2">
      <c r="A52" s="134">
        <f t="shared" ref="A52:A57" si="2">A51+1</f>
        <v>32</v>
      </c>
      <c r="B52" s="167" t="s">
        <v>351</v>
      </c>
      <c r="C52" s="58">
        <v>0</v>
      </c>
      <c r="D52" s="58">
        <v>0</v>
      </c>
      <c r="E52" s="58">
        <v>0</v>
      </c>
      <c r="F52" s="36">
        <f t="shared" ref="F52:F57" si="3">SUM(C52:E52)</f>
        <v>0</v>
      </c>
    </row>
    <row r="53" spans="1:7" ht="10.5" customHeight="1" x14ac:dyDescent="0.2">
      <c r="A53" s="134">
        <f t="shared" si="2"/>
        <v>33</v>
      </c>
      <c r="B53" s="167" t="s">
        <v>352</v>
      </c>
      <c r="C53" s="58">
        <v>0</v>
      </c>
      <c r="D53" s="58">
        <v>0</v>
      </c>
      <c r="E53" s="58">
        <v>0</v>
      </c>
      <c r="F53" s="36">
        <f t="shared" si="3"/>
        <v>0</v>
      </c>
    </row>
    <row r="54" spans="1:7" ht="10.5" customHeight="1" x14ac:dyDescent="0.2">
      <c r="A54" s="134">
        <f t="shared" si="2"/>
        <v>34</v>
      </c>
      <c r="B54" s="167" t="s">
        <v>353</v>
      </c>
      <c r="C54" s="58">
        <v>0</v>
      </c>
      <c r="D54" s="58">
        <v>0</v>
      </c>
      <c r="E54" s="58">
        <f>'Sch4-3'!F40</f>
        <v>0</v>
      </c>
      <c r="F54" s="36">
        <f t="shared" si="3"/>
        <v>0</v>
      </c>
    </row>
    <row r="55" spans="1:7" ht="10.5" customHeight="1" x14ac:dyDescent="0.2">
      <c r="A55" s="134">
        <f t="shared" si="2"/>
        <v>35</v>
      </c>
      <c r="B55" s="167" t="s">
        <v>354</v>
      </c>
      <c r="C55" s="58">
        <v>0</v>
      </c>
      <c r="D55" s="58">
        <v>0</v>
      </c>
      <c r="E55" s="58">
        <v>0</v>
      </c>
      <c r="F55" s="36">
        <f t="shared" si="3"/>
        <v>0</v>
      </c>
    </row>
    <row r="56" spans="1:7" ht="10.5" customHeight="1" x14ac:dyDescent="0.2">
      <c r="A56" s="134">
        <f t="shared" si="2"/>
        <v>36</v>
      </c>
      <c r="B56" s="167" t="s">
        <v>355</v>
      </c>
      <c r="C56" s="58">
        <v>0</v>
      </c>
      <c r="D56" s="58">
        <v>0</v>
      </c>
      <c r="E56" s="58">
        <v>0</v>
      </c>
      <c r="F56" s="36">
        <f t="shared" si="3"/>
        <v>0</v>
      </c>
    </row>
    <row r="57" spans="1:7" ht="10.5" customHeight="1" x14ac:dyDescent="0.2">
      <c r="A57" s="134">
        <f t="shared" si="2"/>
        <v>37</v>
      </c>
      <c r="B57" s="167" t="s">
        <v>356</v>
      </c>
      <c r="C57" s="58">
        <v>0</v>
      </c>
      <c r="D57" s="58">
        <v>0</v>
      </c>
      <c r="E57" s="58">
        <v>0</v>
      </c>
      <c r="F57" s="36">
        <f t="shared" si="3"/>
        <v>0</v>
      </c>
    </row>
    <row r="58" spans="1:7" ht="10.5" customHeight="1" x14ac:dyDescent="0.2">
      <c r="B58" s="69"/>
      <c r="C58" s="58"/>
      <c r="D58" s="58"/>
      <c r="E58" s="58"/>
      <c r="F58" s="36"/>
      <c r="G58" s="14"/>
    </row>
    <row r="59" spans="1:7" ht="10.5" customHeight="1" x14ac:dyDescent="0.2">
      <c r="A59" s="134">
        <f>A57+1</f>
        <v>38</v>
      </c>
      <c r="B59" s="6" t="s">
        <v>232</v>
      </c>
      <c r="D59" s="70"/>
      <c r="E59" s="58"/>
      <c r="F59" s="36"/>
    </row>
    <row r="60" spans="1:7" s="153" customFormat="1" ht="10.5" customHeight="1" x14ac:dyDescent="0.2">
      <c r="A60" s="134">
        <f>A59+1</f>
        <v>39</v>
      </c>
      <c r="B60" s="167" t="s">
        <v>357</v>
      </c>
      <c r="C60" s="58">
        <v>0</v>
      </c>
      <c r="D60" s="58">
        <v>0</v>
      </c>
      <c r="E60" s="58">
        <v>0</v>
      </c>
      <c r="F60" s="36">
        <f>SUM(C60:E60)</f>
        <v>0</v>
      </c>
    </row>
    <row r="61" spans="1:7" ht="10.5" customHeight="1" x14ac:dyDescent="0.2">
      <c r="A61" s="134">
        <f>A60+1</f>
        <v>40</v>
      </c>
      <c r="B61" s="167" t="s">
        <v>358</v>
      </c>
      <c r="C61" s="58">
        <v>0</v>
      </c>
      <c r="D61" s="58">
        <v>0</v>
      </c>
      <c r="E61" s="58">
        <v>0</v>
      </c>
      <c r="F61" s="36">
        <f>SUM(C61:E61)</f>
        <v>0</v>
      </c>
    </row>
    <row r="62" spans="1:7" ht="10.5" customHeight="1" x14ac:dyDescent="0.2">
      <c r="B62" s="6"/>
      <c r="D62" s="70"/>
      <c r="E62" s="58"/>
      <c r="F62" s="36"/>
    </row>
    <row r="63" spans="1:7" ht="10.5" customHeight="1" x14ac:dyDescent="0.2">
      <c r="A63" s="134">
        <f>A61+1</f>
        <v>41</v>
      </c>
      <c r="B63" s="6" t="s">
        <v>157</v>
      </c>
      <c r="C63" s="36"/>
      <c r="D63" s="58"/>
      <c r="E63" s="58"/>
      <c r="F63" s="36"/>
    </row>
    <row r="64" spans="1:7" ht="10.5" customHeight="1" x14ac:dyDescent="0.2">
      <c r="A64" s="134">
        <f>A63+1</f>
        <v>42</v>
      </c>
      <c r="B64" s="167" t="s">
        <v>285</v>
      </c>
      <c r="C64" s="58">
        <v>0</v>
      </c>
      <c r="D64" s="58">
        <v>0</v>
      </c>
      <c r="E64" s="58">
        <v>0</v>
      </c>
      <c r="F64" s="36">
        <f>SUM(C64:E64)</f>
        <v>0</v>
      </c>
    </row>
    <row r="65" spans="1:6" ht="10.5" customHeight="1" x14ac:dyDescent="0.2">
      <c r="A65" s="134">
        <f>A64+1</f>
        <v>43</v>
      </c>
      <c r="B65" s="167" t="s">
        <v>282</v>
      </c>
      <c r="C65" s="58">
        <v>0</v>
      </c>
      <c r="D65" s="58">
        <v>0</v>
      </c>
      <c r="E65" s="58">
        <v>0</v>
      </c>
      <c r="F65" s="36">
        <f>SUM(C65:E65)</f>
        <v>0</v>
      </c>
    </row>
    <row r="66" spans="1:6" ht="10.5" customHeight="1" x14ac:dyDescent="0.2">
      <c r="A66" s="134">
        <f>A65+1</f>
        <v>44</v>
      </c>
      <c r="B66" s="167" t="s">
        <v>283</v>
      </c>
      <c r="C66" s="58">
        <v>0</v>
      </c>
      <c r="D66" s="58">
        <v>0</v>
      </c>
      <c r="E66" s="58">
        <v>0</v>
      </c>
      <c r="F66" s="36">
        <f>SUM(C66:E66)</f>
        <v>0</v>
      </c>
    </row>
    <row r="67" spans="1:6" ht="10.5" customHeight="1" x14ac:dyDescent="0.2">
      <c r="A67" s="134">
        <f>A66+1</f>
        <v>45</v>
      </c>
      <c r="B67" s="167" t="s">
        <v>286</v>
      </c>
      <c r="C67" s="58">
        <v>0</v>
      </c>
      <c r="D67" s="58">
        <v>0</v>
      </c>
      <c r="E67" s="58">
        <v>0</v>
      </c>
      <c r="F67" s="36">
        <f>SUM(C67:E67)</f>
        <v>0</v>
      </c>
    </row>
    <row r="68" spans="1:6" ht="10.5" customHeight="1" x14ac:dyDescent="0.2">
      <c r="A68" s="134">
        <f>A67+1</f>
        <v>46</v>
      </c>
      <c r="B68" s="166" t="s">
        <v>149</v>
      </c>
      <c r="C68" s="58">
        <v>0</v>
      </c>
      <c r="D68" s="58">
        <v>0</v>
      </c>
      <c r="E68" s="58">
        <v>0</v>
      </c>
      <c r="F68" s="36">
        <f>SUM(C68:E68)</f>
        <v>0</v>
      </c>
    </row>
    <row r="69" spans="1:6" s="153" customFormat="1" ht="10.5" customHeight="1" x14ac:dyDescent="0.2">
      <c r="A69" s="134"/>
      <c r="B69" s="166"/>
      <c r="C69" s="58"/>
      <c r="D69" s="58"/>
      <c r="E69" s="58"/>
      <c r="F69" s="36"/>
    </row>
    <row r="70" spans="1:6" s="153" customFormat="1" ht="10.5" customHeight="1" x14ac:dyDescent="0.2">
      <c r="A70" s="134">
        <f>A68+1</f>
        <v>47</v>
      </c>
      <c r="B70" s="6" t="s">
        <v>632</v>
      </c>
      <c r="C70" s="58"/>
      <c r="D70" s="58"/>
      <c r="E70" s="58"/>
      <c r="F70" s="36"/>
    </row>
    <row r="71" spans="1:6" s="153" customFormat="1" ht="10.5" customHeight="1" x14ac:dyDescent="0.2">
      <c r="A71" s="134"/>
      <c r="B71" s="169" t="s">
        <v>227</v>
      </c>
      <c r="C71" s="58">
        <v>0</v>
      </c>
      <c r="D71" s="58">
        <v>0</v>
      </c>
      <c r="E71" s="68">
        <f>'Sch4-3'!F20</f>
        <v>-12</v>
      </c>
      <c r="F71" s="36">
        <f>SUM(C71:E71)</f>
        <v>-12</v>
      </c>
    </row>
    <row r="72" spans="1:6" ht="10.5" customHeight="1" x14ac:dyDescent="0.2">
      <c r="B72" s="6"/>
      <c r="C72" s="36"/>
      <c r="D72" s="58"/>
      <c r="E72" s="58"/>
      <c r="F72" s="36"/>
    </row>
    <row r="73" spans="1:6" ht="10.5" customHeight="1" x14ac:dyDescent="0.2">
      <c r="A73" s="134">
        <f>A70+1</f>
        <v>48</v>
      </c>
      <c r="B73" s="3" t="s">
        <v>20</v>
      </c>
      <c r="C73" s="36">
        <f>SUM(C13:C72)</f>
        <v>30096</v>
      </c>
      <c r="D73" s="36">
        <f>SUM(D13:D72)</f>
        <v>-8310</v>
      </c>
      <c r="E73" s="36">
        <f>SUM(E13:E72)</f>
        <v>-12</v>
      </c>
      <c r="F73" s="36">
        <f>SUM(F13:F72)</f>
        <v>21774</v>
      </c>
    </row>
    <row r="74" spans="1:6" ht="10.5" customHeight="1" x14ac:dyDescent="0.2">
      <c r="C74" s="36"/>
      <c r="D74" s="36"/>
      <c r="E74" s="36"/>
      <c r="F74" s="36"/>
    </row>
    <row r="75" spans="1:6" ht="10.5" customHeight="1" x14ac:dyDescent="0.2">
      <c r="C75" s="36"/>
      <c r="D75" s="36"/>
      <c r="E75" s="36"/>
      <c r="F75" s="2" t="str">
        <f>adjno</f>
        <v>Exhibit No. 103</v>
      </c>
    </row>
    <row r="76" spans="1:6" ht="10.5" customHeight="1" x14ac:dyDescent="0.2">
      <c r="A76" s="353" t="str">
        <f>coname</f>
        <v>Columbia Gas of Pennsylvania, Inc.</v>
      </c>
      <c r="B76" s="353"/>
      <c r="C76" s="353"/>
      <c r="D76" s="353"/>
      <c r="E76" s="353"/>
      <c r="F76" s="2" t="str">
        <f>F2</f>
        <v>Schedule No. 4</v>
      </c>
    </row>
    <row r="77" spans="1:6" ht="10.5" customHeight="1" x14ac:dyDescent="0.2">
      <c r="A77" s="353" t="s">
        <v>34</v>
      </c>
      <c r="B77" s="353"/>
      <c r="C77" s="353"/>
      <c r="D77" s="353"/>
      <c r="E77" s="353"/>
      <c r="F77" s="2" t="s">
        <v>585</v>
      </c>
    </row>
    <row r="78" spans="1:6" ht="10.5" customHeight="1" x14ac:dyDescent="0.2">
      <c r="A78" s="353" t="str">
        <f>TYDESC</f>
        <v>For the 12 Months Ended December 31, 2019</v>
      </c>
      <c r="B78" s="353"/>
      <c r="C78" s="353"/>
      <c r="D78" s="353"/>
      <c r="E78" s="353"/>
      <c r="F78" s="4" t="str">
        <f>'Sch1'!G4</f>
        <v>Witness: D. Joe Mays</v>
      </c>
    </row>
    <row r="79" spans="1:6" ht="10.5" customHeight="1" x14ac:dyDescent="0.2">
      <c r="B79" s="69"/>
      <c r="C79" s="36"/>
      <c r="D79" s="58"/>
      <c r="E79" s="58"/>
      <c r="F79" s="36"/>
    </row>
    <row r="80" spans="1:6" ht="10.5" customHeight="1" x14ac:dyDescent="0.2">
      <c r="C80" s="1" t="s">
        <v>40</v>
      </c>
      <c r="D80" s="1" t="s">
        <v>40</v>
      </c>
      <c r="E80" s="127" t="s">
        <v>40</v>
      </c>
      <c r="F80" s="6"/>
    </row>
    <row r="81" spans="1:6" ht="10.5" customHeight="1" x14ac:dyDescent="0.2">
      <c r="A81" s="215" t="s">
        <v>3</v>
      </c>
      <c r="C81" s="1" t="s">
        <v>36</v>
      </c>
      <c r="D81" s="1" t="s">
        <v>37</v>
      </c>
      <c r="E81" s="127" t="s">
        <v>39</v>
      </c>
      <c r="F81" s="1" t="s">
        <v>11</v>
      </c>
    </row>
    <row r="82" spans="1:6" ht="10.5" customHeight="1" x14ac:dyDescent="0.2">
      <c r="A82" s="172" t="s">
        <v>6</v>
      </c>
      <c r="C82" s="7" t="s">
        <v>8</v>
      </c>
      <c r="D82" s="7" t="s">
        <v>10</v>
      </c>
      <c r="E82" s="128" t="s">
        <v>8</v>
      </c>
      <c r="F82" s="7" t="s">
        <v>40</v>
      </c>
    </row>
    <row r="83" spans="1:6" ht="10.5" customHeight="1" x14ac:dyDescent="0.2">
      <c r="C83" s="8" t="s">
        <v>12</v>
      </c>
      <c r="D83" s="8" t="s">
        <v>13</v>
      </c>
      <c r="E83" s="8" t="s">
        <v>32</v>
      </c>
      <c r="F83" s="8" t="s">
        <v>187</v>
      </c>
    </row>
    <row r="84" spans="1:6" ht="10.5" customHeight="1" x14ac:dyDescent="0.2">
      <c r="C84" s="1" t="s">
        <v>254</v>
      </c>
      <c r="D84" s="175" t="s">
        <v>254</v>
      </c>
      <c r="E84" s="175" t="s">
        <v>254</v>
      </c>
      <c r="F84" s="175" t="s">
        <v>254</v>
      </c>
    </row>
    <row r="85" spans="1:6" ht="10.5" customHeight="1" x14ac:dyDescent="0.2">
      <c r="C85" s="9" t="s">
        <v>276</v>
      </c>
      <c r="D85" s="9" t="s">
        <v>276</v>
      </c>
      <c r="E85" s="9" t="s">
        <v>276</v>
      </c>
    </row>
    <row r="86" spans="1:6" ht="10.5" customHeight="1" x14ac:dyDescent="0.2">
      <c r="D86" s="67"/>
      <c r="E86" s="10"/>
    </row>
    <row r="87" spans="1:6" ht="10.5" customHeight="1" x14ac:dyDescent="0.2">
      <c r="A87" s="134">
        <v>1</v>
      </c>
      <c r="B87" s="1" t="s">
        <v>18</v>
      </c>
    </row>
    <row r="88" spans="1:6" ht="10.5" customHeight="1" x14ac:dyDescent="0.2"/>
    <row r="89" spans="1:6" ht="10.5" customHeight="1" x14ac:dyDescent="0.2">
      <c r="A89" s="134">
        <f>A87+1</f>
        <v>2</v>
      </c>
      <c r="B89" s="6" t="s">
        <v>17</v>
      </c>
    </row>
    <row r="90" spans="1:6" ht="10.5" customHeight="1" x14ac:dyDescent="0.2">
      <c r="A90" s="134">
        <f>A89+1</f>
        <v>3</v>
      </c>
      <c r="B90" s="166" t="str">
        <f>'Sch3'!$B$14</f>
        <v>All Gas Consumed</v>
      </c>
      <c r="C90" s="32">
        <f>'Sch4-2'!S33</f>
        <v>241158</v>
      </c>
      <c r="D90" s="32">
        <f>D171</f>
        <v>-42557</v>
      </c>
      <c r="E90" s="71">
        <v>0</v>
      </c>
      <c r="F90" s="29">
        <f>SUM(C90:E90)</f>
        <v>198601</v>
      </c>
    </row>
    <row r="91" spans="1:6" ht="10.5" customHeight="1" x14ac:dyDescent="0.2">
      <c r="A91" s="134">
        <f>A90+1</f>
        <v>4</v>
      </c>
      <c r="B91" s="3" t="s">
        <v>20</v>
      </c>
      <c r="C91" s="11">
        <f>SUM(C90:C90)</f>
        <v>241158</v>
      </c>
      <c r="D91" s="11">
        <f>SUM(D90:D90)</f>
        <v>-42557</v>
      </c>
      <c r="E91" s="11">
        <f>SUM(E90:E90)</f>
        <v>0</v>
      </c>
      <c r="F91" s="11">
        <f>SUM(F90:F90)</f>
        <v>198601</v>
      </c>
    </row>
    <row r="92" spans="1:6" ht="10.5" customHeight="1" x14ac:dyDescent="0.2">
      <c r="B92" s="37"/>
      <c r="C92" s="11"/>
      <c r="D92" s="11"/>
      <c r="E92" s="11"/>
      <c r="F92" s="11"/>
    </row>
    <row r="93" spans="1:6" ht="10.5" customHeight="1" x14ac:dyDescent="0.2">
      <c r="A93" s="134">
        <f>A91+1</f>
        <v>5</v>
      </c>
      <c r="B93" s="1" t="s">
        <v>19</v>
      </c>
      <c r="C93" s="55"/>
      <c r="D93" s="55"/>
      <c r="E93" s="55"/>
      <c r="F93" s="11"/>
    </row>
    <row r="94" spans="1:6" ht="10.5" customHeight="1" x14ac:dyDescent="0.2">
      <c r="C94" s="55"/>
      <c r="D94" s="55"/>
      <c r="E94" s="55"/>
      <c r="F94" s="11"/>
    </row>
    <row r="95" spans="1:6" ht="10.5" customHeight="1" x14ac:dyDescent="0.2">
      <c r="A95" s="134">
        <f>A93+1</f>
        <v>6</v>
      </c>
      <c r="B95" s="6" t="s">
        <v>154</v>
      </c>
      <c r="C95" s="11"/>
      <c r="D95" s="11"/>
      <c r="E95" s="11"/>
      <c r="F95" s="11"/>
    </row>
    <row r="96" spans="1:6" ht="10.5" customHeight="1" x14ac:dyDescent="0.2">
      <c r="A96" s="134">
        <f>A95+1</f>
        <v>7</v>
      </c>
      <c r="B96" s="166" t="s">
        <v>348</v>
      </c>
      <c r="C96" s="11">
        <f>'Sch4-2'!S65</f>
        <v>219011</v>
      </c>
      <c r="D96" s="59">
        <f>F171+F177</f>
        <v>-119386</v>
      </c>
      <c r="E96" s="55">
        <v>0</v>
      </c>
      <c r="F96" s="11">
        <f>SUM(C96:E96)</f>
        <v>99625</v>
      </c>
    </row>
    <row r="97" spans="1:6" s="153" customFormat="1" ht="10.5" customHeight="1" x14ac:dyDescent="0.2">
      <c r="A97" s="134">
        <f>A96+1</f>
        <v>8</v>
      </c>
      <c r="B97" s="167" t="s">
        <v>482</v>
      </c>
      <c r="C97" s="204">
        <v>0</v>
      </c>
      <c r="D97" s="202">
        <v>0</v>
      </c>
      <c r="E97" s="202">
        <v>0</v>
      </c>
      <c r="F97" s="29">
        <f>SUM(C97:E97)</f>
        <v>0</v>
      </c>
    </row>
    <row r="98" spans="1:6" s="153" customFormat="1" ht="10.5" customHeight="1" x14ac:dyDescent="0.2">
      <c r="A98" s="134">
        <f>A97+1</f>
        <v>9</v>
      </c>
      <c r="B98" s="153" t="str">
        <f>$B$91</f>
        <v>Total</v>
      </c>
      <c r="C98" s="11">
        <f>C96+C97</f>
        <v>219011</v>
      </c>
      <c r="D98" s="11">
        <f>D96+D97</f>
        <v>-119386</v>
      </c>
      <c r="E98" s="11">
        <f>E96+E97</f>
        <v>0</v>
      </c>
      <c r="F98" s="11">
        <f>F96+F97</f>
        <v>99625</v>
      </c>
    </row>
    <row r="99" spans="1:6" ht="10.5" customHeight="1" x14ac:dyDescent="0.2">
      <c r="B99" s="69"/>
      <c r="C99" s="11"/>
      <c r="D99" s="11"/>
      <c r="E99" s="11"/>
      <c r="F99" s="11"/>
    </row>
    <row r="100" spans="1:6" ht="10.5" customHeight="1" x14ac:dyDescent="0.2">
      <c r="A100" s="134">
        <f>A98+1</f>
        <v>10</v>
      </c>
      <c r="B100" s="6" t="s">
        <v>156</v>
      </c>
    </row>
    <row r="101" spans="1:6" ht="10.5" customHeight="1" x14ac:dyDescent="0.2">
      <c r="A101" s="134">
        <f>A100+1</f>
        <v>11</v>
      </c>
      <c r="B101" s="169" t="s">
        <v>134</v>
      </c>
      <c r="C101" s="55">
        <v>0</v>
      </c>
      <c r="D101" s="55">
        <v>0</v>
      </c>
      <c r="E101" s="58">
        <v>0</v>
      </c>
      <c r="F101" s="11">
        <f>SUM(C101:E101)</f>
        <v>0</v>
      </c>
    </row>
    <row r="102" spans="1:6" s="153" customFormat="1" ht="10.5" customHeight="1" x14ac:dyDescent="0.2">
      <c r="A102" s="134">
        <f t="shared" ref="A102:A104" si="4">A101+1</f>
        <v>12</v>
      </c>
      <c r="B102" s="166" t="s">
        <v>348</v>
      </c>
      <c r="C102" s="71">
        <v>0</v>
      </c>
      <c r="D102" s="71">
        <v>0</v>
      </c>
      <c r="E102" s="65">
        <v>0</v>
      </c>
      <c r="F102" s="29">
        <f>SUM(C102:E102)</f>
        <v>0</v>
      </c>
    </row>
    <row r="103" spans="1:6" s="153" customFormat="1" ht="10.5" customHeight="1" x14ac:dyDescent="0.2">
      <c r="A103" s="134">
        <f t="shared" si="4"/>
        <v>13</v>
      </c>
      <c r="B103" s="167" t="s">
        <v>482</v>
      </c>
      <c r="C103" s="59">
        <f>C101+C102</f>
        <v>0</v>
      </c>
      <c r="D103" s="59">
        <f t="shared" ref="D103:F103" si="5">D101+D102</f>
        <v>0</v>
      </c>
      <c r="E103" s="59">
        <f t="shared" si="5"/>
        <v>0</v>
      </c>
      <c r="F103" s="59">
        <f t="shared" si="5"/>
        <v>0</v>
      </c>
    </row>
    <row r="104" spans="1:6" s="153" customFormat="1" ht="10.5" customHeight="1" x14ac:dyDescent="0.2">
      <c r="A104" s="134">
        <f t="shared" si="4"/>
        <v>14</v>
      </c>
      <c r="B104" s="153" t="s">
        <v>486</v>
      </c>
      <c r="C104" s="55"/>
      <c r="D104" s="55"/>
      <c r="E104" s="58"/>
      <c r="F104" s="11"/>
    </row>
    <row r="105" spans="1:6" s="153" customFormat="1" ht="10.5" customHeight="1" x14ac:dyDescent="0.2">
      <c r="A105" s="134"/>
      <c r="C105" s="55"/>
      <c r="D105" s="55"/>
      <c r="E105" s="58"/>
      <c r="F105" s="11"/>
    </row>
    <row r="106" spans="1:6" ht="10.5" customHeight="1" x14ac:dyDescent="0.2">
      <c r="A106" s="134">
        <f>A104+1</f>
        <v>15</v>
      </c>
      <c r="B106" s="169" t="s">
        <v>135</v>
      </c>
      <c r="C106" s="71"/>
      <c r="D106" s="71"/>
      <c r="E106" s="65"/>
      <c r="F106" s="29"/>
    </row>
    <row r="107" spans="1:6" s="153" customFormat="1" ht="10.5" customHeight="1" x14ac:dyDescent="0.2">
      <c r="A107" s="134">
        <f>A106+1</f>
        <v>16</v>
      </c>
      <c r="B107" s="166" t="s">
        <v>348</v>
      </c>
      <c r="C107" s="55">
        <v>0</v>
      </c>
      <c r="D107" s="55">
        <v>0</v>
      </c>
      <c r="E107" s="58">
        <v>0</v>
      </c>
      <c r="F107" s="11">
        <f>SUM(C107:E107)</f>
        <v>0</v>
      </c>
    </row>
    <row r="108" spans="1:6" s="153" customFormat="1" ht="10.5" customHeight="1" x14ac:dyDescent="0.2">
      <c r="A108" s="134">
        <f t="shared" ref="A108:A109" si="6">A107+1</f>
        <v>17</v>
      </c>
      <c r="B108" s="167" t="s">
        <v>482</v>
      </c>
      <c r="C108" s="71">
        <v>0</v>
      </c>
      <c r="D108" s="71">
        <v>0</v>
      </c>
      <c r="E108" s="65">
        <v>0</v>
      </c>
      <c r="F108" s="29">
        <f>SUM(C108:E108)</f>
        <v>0</v>
      </c>
    </row>
    <row r="109" spans="1:6" s="153" customFormat="1" ht="10.5" customHeight="1" x14ac:dyDescent="0.2">
      <c r="A109" s="134">
        <f t="shared" si="6"/>
        <v>18</v>
      </c>
      <c r="B109" s="153" t="s">
        <v>486</v>
      </c>
      <c r="C109" s="59">
        <f>C107+C108</f>
        <v>0</v>
      </c>
      <c r="D109" s="59">
        <f t="shared" ref="D109:F109" si="7">D107+D108</f>
        <v>0</v>
      </c>
      <c r="E109" s="59">
        <f t="shared" si="7"/>
        <v>0</v>
      </c>
      <c r="F109" s="59">
        <f t="shared" si="7"/>
        <v>0</v>
      </c>
    </row>
    <row r="110" spans="1:6" s="153" customFormat="1" ht="10.5" customHeight="1" x14ac:dyDescent="0.2">
      <c r="A110" s="134"/>
      <c r="C110" s="71"/>
      <c r="D110" s="71"/>
      <c r="E110" s="65"/>
      <c r="F110" s="29"/>
    </row>
    <row r="111" spans="1:6" ht="10.5" customHeight="1" x14ac:dyDescent="0.2">
      <c r="A111" s="134">
        <f>A109+1</f>
        <v>19</v>
      </c>
      <c r="B111" s="3" t="str">
        <f>$B$91</f>
        <v>Total</v>
      </c>
      <c r="C111" s="11">
        <f>C103+C109</f>
        <v>0</v>
      </c>
      <c r="D111" s="11">
        <f t="shared" ref="D111:F111" si="8">D103+D109</f>
        <v>0</v>
      </c>
      <c r="E111" s="11">
        <f t="shared" si="8"/>
        <v>0</v>
      </c>
      <c r="F111" s="11">
        <f t="shared" si="8"/>
        <v>0</v>
      </c>
    </row>
    <row r="112" spans="1:6" ht="10.5" customHeight="1" x14ac:dyDescent="0.2">
      <c r="C112" s="11"/>
      <c r="D112" s="11"/>
      <c r="E112" s="11"/>
      <c r="F112" s="11"/>
    </row>
    <row r="113" spans="1:6" ht="10.5" customHeight="1" x14ac:dyDescent="0.2">
      <c r="A113" s="134">
        <f>A111+1</f>
        <v>20</v>
      </c>
      <c r="B113" s="13" t="s">
        <v>115</v>
      </c>
    </row>
    <row r="114" spans="1:6" ht="10.5" customHeight="1" x14ac:dyDescent="0.2">
      <c r="A114" s="134">
        <f>A113+1</f>
        <v>21</v>
      </c>
      <c r="B114" s="167" t="s">
        <v>357</v>
      </c>
      <c r="C114" s="31">
        <v>0</v>
      </c>
      <c r="D114" s="31">
        <v>0</v>
      </c>
      <c r="E114" s="55">
        <v>0</v>
      </c>
      <c r="F114" s="11">
        <f>SUM(C114:E114)</f>
        <v>0</v>
      </c>
    </row>
    <row r="115" spans="1:6" ht="10.5" customHeight="1" x14ac:dyDescent="0.2">
      <c r="A115" s="134">
        <f>A114+1</f>
        <v>22</v>
      </c>
      <c r="B115" s="167" t="s">
        <v>358</v>
      </c>
      <c r="C115" s="31">
        <v>0</v>
      </c>
      <c r="D115" s="31">
        <v>0</v>
      </c>
      <c r="E115" s="58">
        <v>0</v>
      </c>
      <c r="F115" s="11">
        <f>SUM(C115:E115)</f>
        <v>0</v>
      </c>
    </row>
    <row r="116" spans="1:6" ht="10.5" customHeight="1" x14ac:dyDescent="0.2">
      <c r="A116" s="134">
        <f>A115+1</f>
        <v>23</v>
      </c>
      <c r="B116" s="169" t="s">
        <v>227</v>
      </c>
      <c r="C116" s="71">
        <v>0</v>
      </c>
      <c r="D116" s="71">
        <v>0</v>
      </c>
      <c r="E116" s="65">
        <v>0</v>
      </c>
      <c r="F116" s="29">
        <f>SUM(C116:E116)</f>
        <v>0</v>
      </c>
    </row>
    <row r="117" spans="1:6" ht="10.5" customHeight="1" x14ac:dyDescent="0.2">
      <c r="A117" s="134">
        <f>A116+1</f>
        <v>24</v>
      </c>
      <c r="B117" s="3" t="str">
        <f>$B$91</f>
        <v>Total</v>
      </c>
      <c r="C117" s="31">
        <f>SUM(C114:C116)</f>
        <v>0</v>
      </c>
      <c r="D117" s="31">
        <f>SUM(D114:D116)</f>
        <v>0</v>
      </c>
      <c r="E117" s="31">
        <f>SUM(E114:E116)</f>
        <v>0</v>
      </c>
      <c r="F117" s="31">
        <f>SUM(F114:F116)</f>
        <v>0</v>
      </c>
    </row>
    <row r="118" spans="1:6" ht="10.5" customHeight="1" x14ac:dyDescent="0.2">
      <c r="B118" s="42"/>
    </row>
    <row r="119" spans="1:6" ht="10.5" customHeight="1" x14ac:dyDescent="0.2">
      <c r="A119" s="134">
        <f>A117+1</f>
        <v>25</v>
      </c>
      <c r="B119" s="6" t="s">
        <v>157</v>
      </c>
      <c r="D119" s="67"/>
      <c r="E119" s="10"/>
    </row>
    <row r="120" spans="1:6" ht="10.5" customHeight="1" x14ac:dyDescent="0.2">
      <c r="A120" s="134">
        <f t="shared" ref="A120:A125" si="9">A119+1</f>
        <v>26</v>
      </c>
      <c r="B120" s="167" t="s">
        <v>285</v>
      </c>
      <c r="C120" s="55">
        <v>0</v>
      </c>
      <c r="D120" s="55">
        <v>0</v>
      </c>
      <c r="E120" s="55">
        <v>0</v>
      </c>
      <c r="F120" s="11">
        <f>SUM(C120:E120)</f>
        <v>0</v>
      </c>
    </row>
    <row r="121" spans="1:6" ht="10.5" customHeight="1" x14ac:dyDescent="0.2">
      <c r="A121" s="134">
        <f t="shared" si="9"/>
        <v>27</v>
      </c>
      <c r="B121" s="167" t="s">
        <v>282</v>
      </c>
      <c r="C121" s="55">
        <v>0</v>
      </c>
      <c r="D121" s="55">
        <v>0</v>
      </c>
      <c r="E121" s="55">
        <v>0</v>
      </c>
      <c r="F121" s="11">
        <f>SUM(C121:E121)</f>
        <v>0</v>
      </c>
    </row>
    <row r="122" spans="1:6" ht="10.5" customHeight="1" x14ac:dyDescent="0.2">
      <c r="A122" s="134">
        <f t="shared" si="9"/>
        <v>28</v>
      </c>
      <c r="B122" s="167" t="s">
        <v>283</v>
      </c>
      <c r="C122" s="55">
        <v>0</v>
      </c>
      <c r="D122" s="55">
        <v>0</v>
      </c>
      <c r="E122" s="55">
        <v>0</v>
      </c>
      <c r="F122" s="11">
        <f>SUM(C122:E122)</f>
        <v>0</v>
      </c>
    </row>
    <row r="123" spans="1:6" ht="10.5" customHeight="1" x14ac:dyDescent="0.2">
      <c r="A123" s="134">
        <f t="shared" si="9"/>
        <v>29</v>
      </c>
      <c r="B123" s="167" t="s">
        <v>286</v>
      </c>
      <c r="C123" s="55">
        <v>0</v>
      </c>
      <c r="D123" s="55">
        <v>0</v>
      </c>
      <c r="E123" s="55">
        <v>0</v>
      </c>
      <c r="F123" s="11">
        <f>SUM(C123:E123)</f>
        <v>0</v>
      </c>
    </row>
    <row r="124" spans="1:6" ht="10.5" customHeight="1" x14ac:dyDescent="0.2">
      <c r="A124" s="134">
        <f t="shared" si="9"/>
        <v>30</v>
      </c>
      <c r="B124" s="169" t="s">
        <v>227</v>
      </c>
      <c r="C124" s="71">
        <v>0</v>
      </c>
      <c r="D124" s="71">
        <v>0</v>
      </c>
      <c r="E124" s="71">
        <v>0</v>
      </c>
      <c r="F124" s="29">
        <f>SUM(C124:E124)</f>
        <v>0</v>
      </c>
    </row>
    <row r="125" spans="1:6" ht="10.5" customHeight="1" x14ac:dyDescent="0.2">
      <c r="A125" s="134">
        <f t="shared" si="9"/>
        <v>31</v>
      </c>
      <c r="B125" s="3" t="str">
        <f>$B$91</f>
        <v>Total</v>
      </c>
      <c r="C125" s="31">
        <f>SUM(C120:C124)</f>
        <v>0</v>
      </c>
      <c r="D125" s="31">
        <f>SUM(D120:D124)</f>
        <v>0</v>
      </c>
      <c r="E125" s="31">
        <f>SUM(E120:E124)</f>
        <v>0</v>
      </c>
      <c r="F125" s="31">
        <f>SUM(F120:F124)</f>
        <v>0</v>
      </c>
    </row>
    <row r="126" spans="1:6" ht="10.5" customHeight="1" x14ac:dyDescent="0.2">
      <c r="B126" s="1"/>
      <c r="D126" s="67"/>
      <c r="E126" s="10"/>
    </row>
    <row r="127" spans="1:6" ht="10.5" customHeight="1" x14ac:dyDescent="0.2">
      <c r="A127" s="134">
        <f>A125+1</f>
        <v>32</v>
      </c>
      <c r="B127" s="127" t="s">
        <v>21</v>
      </c>
      <c r="D127" s="67"/>
      <c r="E127" s="10"/>
    </row>
    <row r="128" spans="1:6" ht="10.5" customHeight="1" x14ac:dyDescent="0.2">
      <c r="B128" s="127"/>
      <c r="D128" s="67"/>
      <c r="E128" s="10"/>
    </row>
    <row r="129" spans="1:6" ht="10.5" customHeight="1" x14ac:dyDescent="0.2">
      <c r="A129" s="134">
        <f>A127+1</f>
        <v>33</v>
      </c>
      <c r="B129" s="6" t="s">
        <v>154</v>
      </c>
      <c r="C129" s="11"/>
      <c r="D129" s="11"/>
      <c r="E129" s="11"/>
      <c r="F129" s="11"/>
    </row>
    <row r="130" spans="1:6" ht="10.5" customHeight="1" x14ac:dyDescent="0.2">
      <c r="A130" s="134">
        <f>A129+1</f>
        <v>34</v>
      </c>
      <c r="B130" s="3" t="str">
        <f>$B$91</f>
        <v>Total</v>
      </c>
      <c r="C130" s="11">
        <v>0</v>
      </c>
      <c r="D130" s="59">
        <v>0</v>
      </c>
      <c r="E130" s="55">
        <v>0</v>
      </c>
      <c r="F130" s="11">
        <f>SUM(C130:E130)</f>
        <v>0</v>
      </c>
    </row>
    <row r="131" spans="1:6" ht="10.5" customHeight="1" x14ac:dyDescent="0.2">
      <c r="B131" s="1"/>
      <c r="D131" s="67"/>
      <c r="E131" s="10"/>
    </row>
    <row r="132" spans="1:6" ht="10.5" customHeight="1" x14ac:dyDescent="0.2">
      <c r="A132" s="134">
        <f>A130+1</f>
        <v>35</v>
      </c>
      <c r="B132" s="13" t="s">
        <v>115</v>
      </c>
      <c r="D132" s="67"/>
      <c r="E132" s="10"/>
    </row>
    <row r="133" spans="1:6" ht="10.5" customHeight="1" x14ac:dyDescent="0.2">
      <c r="A133" s="134">
        <f>A132+1</f>
        <v>36</v>
      </c>
      <c r="B133" s="167" t="s">
        <v>357</v>
      </c>
      <c r="C133" s="55">
        <v>0</v>
      </c>
      <c r="D133" s="55">
        <v>0</v>
      </c>
      <c r="E133" s="55">
        <v>0</v>
      </c>
      <c r="F133" s="11">
        <f>SUM(C133:E133)</f>
        <v>0</v>
      </c>
    </row>
    <row r="134" spans="1:6" ht="10.5" customHeight="1" x14ac:dyDescent="0.2">
      <c r="A134" s="134">
        <f>A133+1</f>
        <v>37</v>
      </c>
      <c r="B134" s="167" t="s">
        <v>358</v>
      </c>
      <c r="C134" s="55">
        <v>0</v>
      </c>
      <c r="D134" s="55">
        <v>0</v>
      </c>
      <c r="E134" s="55">
        <v>0</v>
      </c>
      <c r="F134" s="11">
        <f>SUM(C134:E134)</f>
        <v>0</v>
      </c>
    </row>
    <row r="135" spans="1:6" ht="10.5" customHeight="1" x14ac:dyDescent="0.2">
      <c r="A135" s="134">
        <f>A134+1</f>
        <v>38</v>
      </c>
      <c r="B135" s="169" t="s">
        <v>227</v>
      </c>
      <c r="C135" s="71">
        <v>0</v>
      </c>
      <c r="D135" s="71">
        <v>0</v>
      </c>
      <c r="E135" s="71">
        <v>0</v>
      </c>
      <c r="F135" s="29">
        <f>SUM(C135:E135)</f>
        <v>0</v>
      </c>
    </row>
    <row r="136" spans="1:6" ht="10.5" customHeight="1" x14ac:dyDescent="0.2">
      <c r="A136" s="134">
        <f>A135+1</f>
        <v>39</v>
      </c>
      <c r="B136" s="3" t="str">
        <f>$B$91</f>
        <v>Total</v>
      </c>
      <c r="C136" s="31">
        <f>SUM(C133:C135)</f>
        <v>0</v>
      </c>
      <c r="D136" s="31">
        <f>SUM(D133:D135)</f>
        <v>0</v>
      </c>
      <c r="E136" s="31">
        <f>SUM(E133:E135)</f>
        <v>0</v>
      </c>
      <c r="F136" s="31">
        <f>SUM(F133:F135)</f>
        <v>0</v>
      </c>
    </row>
    <row r="137" spans="1:6" ht="10.5" customHeight="1" x14ac:dyDescent="0.2">
      <c r="C137" s="31"/>
      <c r="D137" s="31"/>
      <c r="E137" s="31"/>
      <c r="F137" s="31"/>
    </row>
    <row r="138" spans="1:6" ht="10.5" customHeight="1" x14ac:dyDescent="0.2">
      <c r="A138" s="134">
        <f>A136+1</f>
        <v>40</v>
      </c>
      <c r="B138" s="6" t="s">
        <v>157</v>
      </c>
      <c r="D138" s="67"/>
      <c r="E138" s="10"/>
    </row>
    <row r="139" spans="1:6" ht="10.5" customHeight="1" x14ac:dyDescent="0.2">
      <c r="A139" s="134">
        <f t="shared" ref="A139:A144" si="10">A138+1</f>
        <v>41</v>
      </c>
      <c r="B139" s="167" t="s">
        <v>285</v>
      </c>
      <c r="C139" s="55">
        <v>0</v>
      </c>
      <c r="D139" s="55">
        <v>0</v>
      </c>
      <c r="E139" s="55">
        <v>0</v>
      </c>
      <c r="F139" s="11">
        <f>SUM(C139:E139)</f>
        <v>0</v>
      </c>
    </row>
    <row r="140" spans="1:6" ht="10.5" customHeight="1" x14ac:dyDescent="0.2">
      <c r="A140" s="134">
        <f t="shared" si="10"/>
        <v>42</v>
      </c>
      <c r="B140" s="167" t="s">
        <v>282</v>
      </c>
      <c r="C140" s="55">
        <v>0</v>
      </c>
      <c r="D140" s="55">
        <v>0</v>
      </c>
      <c r="E140" s="55">
        <v>0</v>
      </c>
      <c r="F140" s="11">
        <f>SUM(C140:E140)</f>
        <v>0</v>
      </c>
    </row>
    <row r="141" spans="1:6" ht="10.5" customHeight="1" x14ac:dyDescent="0.2">
      <c r="A141" s="134">
        <f t="shared" si="10"/>
        <v>43</v>
      </c>
      <c r="B141" s="167" t="s">
        <v>283</v>
      </c>
      <c r="C141" s="55">
        <v>0</v>
      </c>
      <c r="D141" s="55">
        <v>0</v>
      </c>
      <c r="E141" s="55">
        <v>0</v>
      </c>
      <c r="F141" s="11">
        <f>SUM(C141:E141)</f>
        <v>0</v>
      </c>
    </row>
    <row r="142" spans="1:6" ht="10.5" customHeight="1" x14ac:dyDescent="0.2">
      <c r="A142" s="134">
        <f t="shared" si="10"/>
        <v>44</v>
      </c>
      <c r="B142" s="167" t="s">
        <v>286</v>
      </c>
      <c r="C142" s="55">
        <v>0</v>
      </c>
      <c r="D142" s="55">
        <v>0</v>
      </c>
      <c r="E142" s="55">
        <v>0</v>
      </c>
      <c r="F142" s="11">
        <f>SUM(C142:E142)</f>
        <v>0</v>
      </c>
    </row>
    <row r="143" spans="1:6" ht="10.5" customHeight="1" x14ac:dyDescent="0.2">
      <c r="A143" s="134">
        <f t="shared" si="10"/>
        <v>45</v>
      </c>
      <c r="B143" s="169" t="s">
        <v>227</v>
      </c>
      <c r="C143" s="71">
        <v>0</v>
      </c>
      <c r="D143" s="71">
        <v>0</v>
      </c>
      <c r="E143" s="71">
        <v>0</v>
      </c>
      <c r="F143" s="29">
        <f>SUM(C143:E143)</f>
        <v>0</v>
      </c>
    </row>
    <row r="144" spans="1:6" ht="10.5" customHeight="1" x14ac:dyDescent="0.2">
      <c r="A144" s="134">
        <f t="shared" si="10"/>
        <v>46</v>
      </c>
      <c r="B144" s="3" t="str">
        <f>$B$91</f>
        <v>Total</v>
      </c>
      <c r="C144" s="31">
        <f>SUM(C139:C143)</f>
        <v>0</v>
      </c>
      <c r="D144" s="31">
        <f>SUM(D139:D143)</f>
        <v>0</v>
      </c>
      <c r="E144" s="31">
        <f>SUM(E139:E143)</f>
        <v>0</v>
      </c>
      <c r="F144" s="31">
        <f>SUM(F139:F143)</f>
        <v>0</v>
      </c>
    </row>
    <row r="145" spans="1:15" ht="10.5" customHeight="1" x14ac:dyDescent="0.2">
      <c r="C145" s="31"/>
      <c r="D145" s="31"/>
      <c r="E145" s="31"/>
      <c r="F145" s="31"/>
    </row>
    <row r="146" spans="1:15" s="153" customFormat="1" ht="10.5" customHeight="1" x14ac:dyDescent="0.2">
      <c r="A146" s="134">
        <f>A144+1</f>
        <v>47</v>
      </c>
      <c r="B146" s="6" t="s">
        <v>632</v>
      </c>
      <c r="C146" s="31"/>
      <c r="D146" s="31"/>
      <c r="E146" s="31"/>
      <c r="F146" s="31"/>
    </row>
    <row r="147" spans="1:15" s="153" customFormat="1" ht="10.5" customHeight="1" x14ac:dyDescent="0.2">
      <c r="A147" s="134">
        <f>A146+1</f>
        <v>48</v>
      </c>
      <c r="B147" s="169" t="s">
        <v>227</v>
      </c>
      <c r="C147" s="55">
        <v>0</v>
      </c>
      <c r="D147" s="55">
        <v>0</v>
      </c>
      <c r="E147" s="31">
        <f>'Sch4-3'!S20</f>
        <v>-502000</v>
      </c>
      <c r="F147" s="11">
        <f>SUM(C147:E147)</f>
        <v>-502000</v>
      </c>
    </row>
    <row r="148" spans="1:15" s="153" customFormat="1" ht="10.5" customHeight="1" x14ac:dyDescent="0.2">
      <c r="A148" s="134"/>
      <c r="C148" s="31"/>
      <c r="D148" s="31"/>
      <c r="E148" s="31"/>
      <c r="F148" s="31"/>
    </row>
    <row r="149" spans="1:15" ht="10.5" customHeight="1" x14ac:dyDescent="0.2">
      <c r="A149" s="134">
        <f>A147+1</f>
        <v>49</v>
      </c>
      <c r="B149" s="3" t="s">
        <v>20</v>
      </c>
      <c r="C149" s="31">
        <f>C91+C98+C111+C117+C125+C130+C136+C144+C103+C109+C147</f>
        <v>460169</v>
      </c>
      <c r="D149" s="31">
        <f t="shared" ref="D149" si="11">D91+D98+D111+D117+D125+D130+D136+D144+D103+D109+D147</f>
        <v>-161943</v>
      </c>
      <c r="E149" s="31">
        <f>E91+E98+E111+E117+E125+E130+E136+E144+E103+E109+E147</f>
        <v>-502000</v>
      </c>
      <c r="F149" s="31">
        <f>F91+F98+F111+F117+F125+F130+F136+F144+F103+F109+F147</f>
        <v>-203774</v>
      </c>
    </row>
    <row r="150" spans="1:15" ht="10.5" customHeight="1" x14ac:dyDescent="0.2">
      <c r="B150" s="6"/>
    </row>
    <row r="151" spans="1:15" ht="10.5" customHeight="1" x14ac:dyDescent="0.2">
      <c r="F151" s="2" t="str">
        <f>adjno</f>
        <v>Exhibit No. 103</v>
      </c>
    </row>
    <row r="152" spans="1:15" ht="10.5" customHeight="1" x14ac:dyDescent="0.2">
      <c r="A152" s="353" t="str">
        <f>coname</f>
        <v>Columbia Gas of Pennsylvania, Inc.</v>
      </c>
      <c r="B152" s="353"/>
      <c r="C152" s="353"/>
      <c r="D152" s="353"/>
      <c r="E152" s="353"/>
      <c r="F152" s="2" t="str">
        <f>F2</f>
        <v>Schedule No. 4</v>
      </c>
    </row>
    <row r="153" spans="1:15" ht="10.5" customHeight="1" x14ac:dyDescent="0.2">
      <c r="A153" s="353" t="s">
        <v>34</v>
      </c>
      <c r="B153" s="353"/>
      <c r="C153" s="353"/>
      <c r="D153" s="353"/>
      <c r="E153" s="353"/>
      <c r="F153" s="2" t="s">
        <v>586</v>
      </c>
    </row>
    <row r="154" spans="1:15" ht="10.5" customHeight="1" x14ac:dyDescent="0.2">
      <c r="A154" s="353" t="str">
        <f>TYDESC</f>
        <v>For the 12 Months Ended December 31, 2019</v>
      </c>
      <c r="B154" s="353"/>
      <c r="C154" s="353"/>
      <c r="D154" s="353"/>
      <c r="E154" s="353"/>
      <c r="F154" s="4" t="str">
        <f>'Sch1'!G4</f>
        <v>Witness: D. Joe Mays</v>
      </c>
    </row>
    <row r="155" spans="1:15" ht="10.5" customHeight="1" x14ac:dyDescent="0.2">
      <c r="A155" s="353" t="s">
        <v>158</v>
      </c>
      <c r="B155" s="353"/>
      <c r="C155" s="353"/>
      <c r="D155" s="353"/>
      <c r="E155" s="353"/>
      <c r="F155" s="13"/>
      <c r="G155" s="13"/>
      <c r="H155" s="13"/>
      <c r="I155" s="13"/>
      <c r="J155" s="13"/>
      <c r="K155" s="13"/>
      <c r="L155" s="13"/>
      <c r="M155" s="13"/>
    </row>
    <row r="156" spans="1:15" ht="10.5" customHeight="1" x14ac:dyDescent="0.2">
      <c r="A156" s="353"/>
      <c r="B156" s="353"/>
      <c r="C156" s="353"/>
      <c r="D156" s="353"/>
      <c r="E156" s="353"/>
      <c r="F156" s="4"/>
      <c r="G156" s="13"/>
      <c r="H156" s="13"/>
      <c r="I156" s="13"/>
      <c r="J156" s="13"/>
      <c r="K156" s="13"/>
      <c r="L156" s="13"/>
      <c r="M156" s="13"/>
      <c r="N156" s="57"/>
    </row>
    <row r="157" spans="1:15" ht="10.5" customHeight="1" x14ac:dyDescent="0.2"/>
    <row r="158" spans="1:15" ht="10.5" customHeight="1" x14ac:dyDescent="0.2">
      <c r="D158" s="1" t="s">
        <v>159</v>
      </c>
      <c r="F158" s="1" t="s">
        <v>160</v>
      </c>
      <c r="H158" s="6"/>
      <c r="I158" s="6"/>
      <c r="K158" s="6"/>
      <c r="M158" s="6"/>
    </row>
    <row r="159" spans="1:15" ht="10.5" customHeight="1" x14ac:dyDescent="0.2">
      <c r="B159" s="6"/>
      <c r="C159" s="6"/>
      <c r="D159" s="7" t="s">
        <v>166</v>
      </c>
      <c r="E159" s="34"/>
      <c r="F159" s="7" t="s">
        <v>167</v>
      </c>
      <c r="H159" s="34"/>
      <c r="I159" s="34"/>
      <c r="K159" s="34"/>
      <c r="L159" s="34"/>
      <c r="M159" s="34"/>
    </row>
    <row r="160" spans="1:15" ht="10.5" customHeight="1" x14ac:dyDescent="0.2">
      <c r="O160" s="37"/>
    </row>
    <row r="161" spans="1:13" ht="10.5" customHeight="1" x14ac:dyDescent="0.2">
      <c r="A161" s="134">
        <v>1</v>
      </c>
      <c r="B161" s="6" t="s">
        <v>164</v>
      </c>
      <c r="H161" s="36"/>
      <c r="I161" s="74"/>
      <c r="K161" s="75"/>
      <c r="L161" s="36"/>
      <c r="M161" s="75"/>
    </row>
    <row r="162" spans="1:13" ht="10.5" customHeight="1" x14ac:dyDescent="0.2">
      <c r="H162" s="36"/>
      <c r="I162" s="74"/>
      <c r="K162" s="75"/>
      <c r="L162" s="36"/>
      <c r="M162" s="75"/>
    </row>
    <row r="163" spans="1:13" ht="10.5" customHeight="1" x14ac:dyDescent="0.2">
      <c r="A163" s="134">
        <f>A161+1</f>
        <v>2</v>
      </c>
      <c r="B163" s="3" t="s">
        <v>161</v>
      </c>
      <c r="D163" s="121">
        <f>SUM('Sch4-2'!G11:R11)/2</f>
        <v>43.204999999999998</v>
      </c>
      <c r="E163" s="36"/>
      <c r="F163" s="121">
        <f>SUM('Sch4-2'!G43:R43)/2</f>
        <v>298.46500000000003</v>
      </c>
      <c r="H163" s="36"/>
      <c r="I163" s="74"/>
      <c r="K163" s="75"/>
      <c r="L163" s="36"/>
      <c r="M163" s="75"/>
    </row>
    <row r="164" spans="1:13" ht="10.5" customHeight="1" x14ac:dyDescent="0.2">
      <c r="A164" s="134">
        <f>A163+1</f>
        <v>3</v>
      </c>
      <c r="B164" s="3" t="s">
        <v>162</v>
      </c>
      <c r="D164" s="87">
        <v>6</v>
      </c>
      <c r="E164" s="130"/>
      <c r="F164" s="87">
        <v>6</v>
      </c>
      <c r="H164" s="36"/>
      <c r="I164" s="74"/>
      <c r="K164" s="75"/>
      <c r="L164" s="36"/>
      <c r="M164" s="75"/>
    </row>
    <row r="165" spans="1:13" ht="10.5" customHeight="1" x14ac:dyDescent="0.2">
      <c r="A165" s="134">
        <f>A164+1</f>
        <v>4</v>
      </c>
      <c r="B165" s="3" t="s">
        <v>250</v>
      </c>
      <c r="D165" s="64">
        <f>ROUND(D163/D164,8)</f>
        <v>7.20083333</v>
      </c>
      <c r="E165" s="36"/>
      <c r="F165" s="64">
        <f>ROUND(F163/F164,8)</f>
        <v>49.744166669999998</v>
      </c>
      <c r="H165" s="36"/>
      <c r="I165" s="74"/>
      <c r="K165" s="75"/>
      <c r="L165" s="36"/>
      <c r="M165" s="75"/>
    </row>
    <row r="166" spans="1:13" ht="10.5" customHeight="1" x14ac:dyDescent="0.2">
      <c r="D166" s="36"/>
      <c r="E166" s="36"/>
      <c r="F166" s="36"/>
      <c r="H166" s="36"/>
      <c r="I166" s="74"/>
      <c r="L166" s="36"/>
    </row>
    <row r="167" spans="1:13" ht="10.5" customHeight="1" x14ac:dyDescent="0.2">
      <c r="A167" s="134">
        <f>A165+1</f>
        <v>5</v>
      </c>
      <c r="B167" s="3" t="s">
        <v>251</v>
      </c>
      <c r="D167" s="36"/>
      <c r="E167" s="36"/>
      <c r="F167" s="36"/>
      <c r="I167" s="74"/>
    </row>
    <row r="168" spans="1:13" ht="10.5" customHeight="1" x14ac:dyDescent="0.2">
      <c r="A168" s="134">
        <f>A167+1</f>
        <v>6</v>
      </c>
      <c r="B168" s="3" t="s">
        <v>250</v>
      </c>
      <c r="D168" s="121">
        <f>D165</f>
        <v>7.20083333</v>
      </c>
      <c r="E168" s="58"/>
      <c r="F168" s="121">
        <f>F165</f>
        <v>49.744166669999998</v>
      </c>
      <c r="I168" s="74"/>
    </row>
    <row r="169" spans="1:13" ht="10.5" customHeight="1" x14ac:dyDescent="0.2">
      <c r="A169" s="134">
        <f>A168+1</f>
        <v>7</v>
      </c>
      <c r="B169" s="3" t="s">
        <v>43</v>
      </c>
      <c r="D169" s="35">
        <v>6</v>
      </c>
      <c r="E169" s="130"/>
      <c r="F169" s="35">
        <v>6</v>
      </c>
      <c r="I169" s="74"/>
    </row>
    <row r="170" spans="1:13" ht="10.5" customHeight="1" x14ac:dyDescent="0.2">
      <c r="A170" s="134">
        <f>A169+1</f>
        <v>8</v>
      </c>
      <c r="B170" s="3" t="s">
        <v>163</v>
      </c>
      <c r="D170" s="201">
        <v>-985</v>
      </c>
      <c r="E170" s="200"/>
      <c r="F170" s="201">
        <v>-400</v>
      </c>
      <c r="I170" s="74"/>
    </row>
    <row r="171" spans="1:13" x14ac:dyDescent="0.2">
      <c r="A171" s="134">
        <f>A170+1</f>
        <v>9</v>
      </c>
      <c r="B171" s="3" t="s">
        <v>251</v>
      </c>
      <c r="D171" s="75">
        <f>ROUND(D168*D170*D169,0)</f>
        <v>-42557</v>
      </c>
      <c r="E171" s="36"/>
      <c r="F171" s="75">
        <f>ROUND(F168*F170*F169,0)</f>
        <v>-119386</v>
      </c>
      <c r="I171" s="74"/>
    </row>
    <row r="172" spans="1:13" ht="10.5" customHeight="1" x14ac:dyDescent="0.2">
      <c r="E172" s="36"/>
      <c r="I172" s="74"/>
    </row>
    <row r="173" spans="1:13" ht="10.5" customHeight="1" x14ac:dyDescent="0.2">
      <c r="A173" s="134">
        <f>A171+1</f>
        <v>10</v>
      </c>
      <c r="B173" s="3" t="s">
        <v>252</v>
      </c>
      <c r="I173" s="74"/>
    </row>
    <row r="174" spans="1:13" ht="10.5" customHeight="1" x14ac:dyDescent="0.2">
      <c r="A174" s="134">
        <f>A173+1</f>
        <v>11</v>
      </c>
      <c r="B174" s="3" t="s">
        <v>250</v>
      </c>
      <c r="D174" s="64">
        <v>0</v>
      </c>
      <c r="E174" s="36"/>
      <c r="F174" s="64">
        <f>F165-F168</f>
        <v>0</v>
      </c>
      <c r="I174" s="74"/>
    </row>
    <row r="175" spans="1:13" ht="10.5" customHeight="1" x14ac:dyDescent="0.2">
      <c r="A175" s="134">
        <f>A174+1</f>
        <v>12</v>
      </c>
      <c r="B175" s="3" t="s">
        <v>43</v>
      </c>
      <c r="D175" s="35">
        <v>6</v>
      </c>
      <c r="E175" s="130"/>
      <c r="F175" s="35">
        <v>6</v>
      </c>
      <c r="I175" s="74"/>
    </row>
    <row r="176" spans="1:13" ht="10.5" customHeight="1" x14ac:dyDescent="0.2">
      <c r="A176" s="134">
        <f>A175+1</f>
        <v>13</v>
      </c>
      <c r="B176" s="3" t="s">
        <v>163</v>
      </c>
      <c r="D176" s="87">
        <v>0</v>
      </c>
      <c r="E176" s="36"/>
      <c r="F176" s="87">
        <v>0</v>
      </c>
      <c r="I176" s="74"/>
    </row>
    <row r="177" spans="1:9" ht="13.5" x14ac:dyDescent="0.35">
      <c r="A177" s="134">
        <f>A176+1</f>
        <v>14</v>
      </c>
      <c r="B177" s="3" t="s">
        <v>252</v>
      </c>
      <c r="D177" s="108">
        <f>ROUND(D174*D176*D175,0)</f>
        <v>0</v>
      </c>
      <c r="E177" s="36"/>
      <c r="F177" s="75">
        <f>ROUND(F174*F176*F175,0)</f>
        <v>0</v>
      </c>
      <c r="I177" s="74"/>
    </row>
  </sheetData>
  <customSheetViews>
    <customSheetView guid="{818D6814-8976-4390-B9DF-A301351E9DE9}" showPageBreaks="1" printArea="1" showRuler="0" topLeftCell="A100">
      <selection activeCell="A156" sqref="A156"/>
      <rowBreaks count="2" manualBreakCount="2">
        <brk id="60" max="16383" man="1"/>
        <brk id="129" max="16383" man="1"/>
      </rowBreaks>
      <pageMargins left="0.5" right="0.5" top="0.5" bottom="0.25" header="0" footer="0"/>
      <pageSetup scale="95" orientation="portrait" r:id="rId1"/>
      <headerFooter alignWithMargins="0"/>
    </customSheetView>
  </customSheetViews>
  <mergeCells count="11">
    <mergeCell ref="A154:E154"/>
    <mergeCell ref="A156:E156"/>
    <mergeCell ref="A155:E155"/>
    <mergeCell ref="A2:E2"/>
    <mergeCell ref="A3:E3"/>
    <mergeCell ref="A4:E4"/>
    <mergeCell ref="A153:E153"/>
    <mergeCell ref="A152:E152"/>
    <mergeCell ref="A78:E78"/>
    <mergeCell ref="A76:E76"/>
    <mergeCell ref="A77:E77"/>
  </mergeCells>
  <phoneticPr fontId="0" type="noConversion"/>
  <pageMargins left="0.75" right="0.5" top="0.5" bottom="0.25" header="0" footer="0"/>
  <pageSetup scale="81" orientation="portrait" r:id="rId2"/>
  <headerFooter alignWithMargins="0"/>
  <rowBreaks count="2" manualBreakCount="2">
    <brk id="74" max="16383" man="1"/>
    <brk id="1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6">
    <tabColor rgb="FF92D050"/>
  </sheetPr>
  <dimension ref="A4:T65"/>
  <sheetViews>
    <sheetView topLeftCell="A4" zoomScaleNormal="100" zoomScaleSheetLayoutView="100" workbookViewId="0">
      <selection activeCell="G22" sqref="G22"/>
    </sheetView>
  </sheetViews>
  <sheetFormatPr defaultColWidth="10" defaultRowHeight="11.25" x14ac:dyDescent="0.2"/>
  <cols>
    <col min="1" max="1" width="5.59765625" style="134" customWidth="1"/>
    <col min="2" max="2" width="3" style="3" customWidth="1"/>
    <col min="3" max="3" width="5.796875" style="3" customWidth="1"/>
    <col min="4" max="4" width="13.19921875" style="3" customWidth="1"/>
    <col min="5" max="5" width="12.796875" style="3" customWidth="1"/>
    <col min="6" max="6" width="14.59765625" style="3" customWidth="1"/>
    <col min="7" max="18" width="9" style="3" customWidth="1"/>
    <col min="19" max="19" width="18.3984375" style="3" customWidth="1"/>
    <col min="20" max="16384" width="10" style="3"/>
  </cols>
  <sheetData>
    <row r="4" spans="1:20" x14ac:dyDescent="0.2">
      <c r="R4" s="33"/>
      <c r="S4" s="2" t="str">
        <f>adjno</f>
        <v>Exhibit No. 103</v>
      </c>
    </row>
    <row r="5" spans="1:20" x14ac:dyDescent="0.2">
      <c r="A5" s="353" t="str">
        <f>coname</f>
        <v>Columbia Gas of Pennsylvania, Inc.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14"/>
      <c r="S5" s="137" t="s">
        <v>195</v>
      </c>
    </row>
    <row r="6" spans="1:20" x14ac:dyDescent="0.2">
      <c r="A6" s="353" t="s">
        <v>269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14"/>
      <c r="S6" s="2" t="s">
        <v>448</v>
      </c>
    </row>
    <row r="7" spans="1:20" x14ac:dyDescent="0.2">
      <c r="A7" s="353" t="str">
        <f>TYDESC</f>
        <v>For the 12 Months Ended December 31, 2019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27"/>
      <c r="S7" s="4" t="str">
        <f>'Sch1'!$G$4</f>
        <v>Witness: D. Joe Mays</v>
      </c>
    </row>
    <row r="8" spans="1:20" x14ac:dyDescent="0.2">
      <c r="A8" s="21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T8" s="6"/>
    </row>
    <row r="9" spans="1:20" x14ac:dyDescent="0.2">
      <c r="A9" s="219" t="s">
        <v>3</v>
      </c>
      <c r="B9" s="1"/>
      <c r="C9" s="6"/>
      <c r="D9" s="1" t="s">
        <v>42</v>
      </c>
      <c r="E9" s="1" t="s">
        <v>43</v>
      </c>
      <c r="F9" s="1" t="s">
        <v>42</v>
      </c>
      <c r="G9" s="60" t="s">
        <v>44</v>
      </c>
      <c r="H9" s="60" t="s">
        <v>45</v>
      </c>
      <c r="I9" s="60" t="s">
        <v>46</v>
      </c>
      <c r="J9" s="60" t="s">
        <v>47</v>
      </c>
      <c r="K9" s="60" t="s">
        <v>48</v>
      </c>
      <c r="L9" s="60" t="s">
        <v>422</v>
      </c>
      <c r="M9" s="60" t="s">
        <v>423</v>
      </c>
      <c r="N9" s="60" t="s">
        <v>51</v>
      </c>
      <c r="O9" s="60" t="s">
        <v>424</v>
      </c>
      <c r="P9" s="60" t="s">
        <v>53</v>
      </c>
      <c r="Q9" s="60" t="s">
        <v>54</v>
      </c>
      <c r="R9" s="60" t="s">
        <v>55</v>
      </c>
      <c r="S9" s="144" t="s">
        <v>42</v>
      </c>
      <c r="T9" s="6"/>
    </row>
    <row r="10" spans="1:20" x14ac:dyDescent="0.2">
      <c r="A10" s="172" t="s">
        <v>6</v>
      </c>
      <c r="B10" s="7"/>
      <c r="C10" s="7" t="s">
        <v>56</v>
      </c>
      <c r="D10" s="7" t="s">
        <v>8</v>
      </c>
      <c r="E10" s="7" t="s">
        <v>57</v>
      </c>
      <c r="F10" s="7" t="s">
        <v>35</v>
      </c>
      <c r="G10" s="61" t="s">
        <v>58</v>
      </c>
      <c r="H10" s="61" t="s">
        <v>58</v>
      </c>
      <c r="I10" s="62" t="s">
        <v>58</v>
      </c>
      <c r="J10" s="61" t="s">
        <v>58</v>
      </c>
      <c r="K10" s="61" t="s">
        <v>58</v>
      </c>
      <c r="L10" s="61" t="s">
        <v>58</v>
      </c>
      <c r="M10" s="61" t="s">
        <v>58</v>
      </c>
      <c r="N10" s="61" t="s">
        <v>58</v>
      </c>
      <c r="O10" s="61" t="s">
        <v>58</v>
      </c>
      <c r="P10" s="61" t="s">
        <v>58</v>
      </c>
      <c r="Q10" s="61" t="s">
        <v>58</v>
      </c>
      <c r="R10" s="63" t="s">
        <v>58</v>
      </c>
      <c r="S10" s="7" t="s">
        <v>40</v>
      </c>
      <c r="T10" s="34"/>
    </row>
    <row r="11" spans="1:20" x14ac:dyDescent="0.2">
      <c r="A11" s="219"/>
      <c r="B11" s="6"/>
      <c r="C11" s="6"/>
      <c r="D11" s="1" t="s">
        <v>12</v>
      </c>
      <c r="E11" s="1" t="s">
        <v>13</v>
      </c>
      <c r="F11" s="1" t="s">
        <v>59</v>
      </c>
      <c r="G11" s="341">
        <v>16.89</v>
      </c>
      <c r="H11" s="341">
        <v>16.37</v>
      </c>
      <c r="I11" s="342">
        <v>13.49</v>
      </c>
      <c r="J11" s="341">
        <v>9.11</v>
      </c>
      <c r="K11" s="341">
        <v>4.17</v>
      </c>
      <c r="L11" s="341">
        <v>2.2599999999999998</v>
      </c>
      <c r="M11" s="341">
        <v>1.36</v>
      </c>
      <c r="N11" s="341">
        <v>1.33</v>
      </c>
      <c r="O11" s="341">
        <v>1.41</v>
      </c>
      <c r="P11" s="341">
        <v>2.2799999999999998</v>
      </c>
      <c r="Q11" s="341">
        <v>5.86</v>
      </c>
      <c r="R11" s="343">
        <v>11.88</v>
      </c>
      <c r="S11" s="1" t="s">
        <v>14</v>
      </c>
      <c r="T11" s="6"/>
    </row>
    <row r="12" spans="1:20" x14ac:dyDescent="0.2">
      <c r="G12" s="114" t="s">
        <v>248</v>
      </c>
      <c r="H12" s="114" t="s">
        <v>248</v>
      </c>
      <c r="I12" s="114" t="s">
        <v>248</v>
      </c>
      <c r="J12" s="114" t="s">
        <v>248</v>
      </c>
      <c r="K12" s="114" t="s">
        <v>248</v>
      </c>
      <c r="L12" s="114" t="s">
        <v>248</v>
      </c>
      <c r="M12" s="114" t="s">
        <v>248</v>
      </c>
      <c r="N12" s="114" t="s">
        <v>248</v>
      </c>
      <c r="O12" s="114" t="s">
        <v>248</v>
      </c>
      <c r="P12" s="114" t="s">
        <v>248</v>
      </c>
      <c r="Q12" s="114" t="s">
        <v>248</v>
      </c>
      <c r="R12" s="114" t="s">
        <v>248</v>
      </c>
      <c r="S12" s="114" t="s">
        <v>248</v>
      </c>
    </row>
    <row r="14" spans="1:20" x14ac:dyDescent="0.2">
      <c r="A14" s="134">
        <v>1</v>
      </c>
      <c r="C14" s="6" t="s">
        <v>18</v>
      </c>
    </row>
    <row r="15" spans="1:20" x14ac:dyDescent="0.2">
      <c r="C15" s="6"/>
    </row>
    <row r="16" spans="1:20" x14ac:dyDescent="0.2">
      <c r="A16" s="134">
        <f>A14+1</f>
        <v>2</v>
      </c>
      <c r="C16" s="6" t="s">
        <v>153</v>
      </c>
    </row>
    <row r="18" spans="1:20" x14ac:dyDescent="0.2">
      <c r="A18" s="134">
        <f>A16+1</f>
        <v>3</v>
      </c>
      <c r="C18" s="6" t="s">
        <v>60</v>
      </c>
      <c r="G18" s="64">
        <f>G11</f>
        <v>16.89</v>
      </c>
      <c r="H18" s="64">
        <f t="shared" ref="H18:R18" si="0">H11</f>
        <v>16.37</v>
      </c>
      <c r="I18" s="64">
        <f t="shared" si="0"/>
        <v>13.49</v>
      </c>
      <c r="J18" s="64">
        <f t="shared" si="0"/>
        <v>9.11</v>
      </c>
      <c r="K18" s="64">
        <f t="shared" si="0"/>
        <v>4.17</v>
      </c>
      <c r="L18" s="64">
        <f t="shared" si="0"/>
        <v>2.2599999999999998</v>
      </c>
      <c r="M18" s="64">
        <f t="shared" si="0"/>
        <v>1.36</v>
      </c>
      <c r="N18" s="64">
        <f t="shared" si="0"/>
        <v>1.33</v>
      </c>
      <c r="O18" s="64">
        <f t="shared" si="0"/>
        <v>1.41</v>
      </c>
      <c r="P18" s="64">
        <f t="shared" si="0"/>
        <v>2.2799999999999998</v>
      </c>
      <c r="Q18" s="64">
        <f t="shared" si="0"/>
        <v>5.86</v>
      </c>
      <c r="R18" s="64">
        <f t="shared" si="0"/>
        <v>11.88</v>
      </c>
      <c r="T18" s="36"/>
    </row>
    <row r="19" spans="1:20" x14ac:dyDescent="0.2">
      <c r="A19" s="134">
        <f>A18+1</f>
        <v>4</v>
      </c>
      <c r="C19" s="6" t="s">
        <v>61</v>
      </c>
      <c r="G19" s="64">
        <f>G11/2</f>
        <v>8.4450000000000003</v>
      </c>
      <c r="H19" s="64">
        <f t="shared" ref="H19:R19" si="1">H11/2</f>
        <v>8.1850000000000005</v>
      </c>
      <c r="I19" s="64">
        <f t="shared" si="1"/>
        <v>6.7450000000000001</v>
      </c>
      <c r="J19" s="64">
        <f t="shared" si="1"/>
        <v>4.5549999999999997</v>
      </c>
      <c r="K19" s="64">
        <f t="shared" si="1"/>
        <v>2.085</v>
      </c>
      <c r="L19" s="64">
        <f t="shared" si="1"/>
        <v>1.1299999999999999</v>
      </c>
      <c r="M19" s="64">
        <f t="shared" si="1"/>
        <v>0.68</v>
      </c>
      <c r="N19" s="64">
        <f t="shared" si="1"/>
        <v>0.66500000000000004</v>
      </c>
      <c r="O19" s="64">
        <f t="shared" si="1"/>
        <v>0.70499999999999996</v>
      </c>
      <c r="P19" s="64">
        <f t="shared" si="1"/>
        <v>1.1399999999999999</v>
      </c>
      <c r="Q19" s="64">
        <f t="shared" si="1"/>
        <v>2.93</v>
      </c>
      <c r="R19" s="64">
        <f t="shared" si="1"/>
        <v>5.94</v>
      </c>
      <c r="T19" s="36"/>
    </row>
    <row r="20" spans="1:20" x14ac:dyDescent="0.2">
      <c r="T20" s="36"/>
    </row>
    <row r="21" spans="1:20" x14ac:dyDescent="0.2">
      <c r="A21" s="134">
        <f>A19+1</f>
        <v>5</v>
      </c>
      <c r="C21" s="3" t="s">
        <v>44</v>
      </c>
      <c r="D21" s="307">
        <v>343</v>
      </c>
      <c r="E21" s="36">
        <v>0</v>
      </c>
      <c r="F21" s="36">
        <v>0</v>
      </c>
      <c r="G21" s="36">
        <f>ROUND(G19*D21,0)</f>
        <v>2897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f t="shared" ref="S21:S33" si="2">SUM(G21:R21)</f>
        <v>2897</v>
      </c>
      <c r="T21" s="36"/>
    </row>
    <row r="22" spans="1:20" x14ac:dyDescent="0.2">
      <c r="A22" s="134">
        <f t="shared" ref="A22:A33" si="3">A21+1</f>
        <v>6</v>
      </c>
      <c r="C22" s="3" t="s">
        <v>45</v>
      </c>
      <c r="D22" s="307">
        <v>270</v>
      </c>
      <c r="E22" s="36">
        <v>1</v>
      </c>
      <c r="F22" s="36">
        <f t="shared" ref="F22:F32" si="4">ROUND($D22*$E22,0)</f>
        <v>270</v>
      </c>
      <c r="G22" s="36">
        <f>ROUND(G18*D22,0)</f>
        <v>4560</v>
      </c>
      <c r="H22" s="36">
        <f>ROUND(H19*D22,0)</f>
        <v>2210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f t="shared" si="2"/>
        <v>6770</v>
      </c>
      <c r="T22" s="36"/>
    </row>
    <row r="23" spans="1:20" x14ac:dyDescent="0.2">
      <c r="A23" s="134">
        <f t="shared" si="3"/>
        <v>7</v>
      </c>
      <c r="C23" s="3" t="s">
        <v>46</v>
      </c>
      <c r="D23" s="307">
        <v>265</v>
      </c>
      <c r="E23" s="36">
        <v>2</v>
      </c>
      <c r="F23" s="36">
        <f t="shared" si="4"/>
        <v>530</v>
      </c>
      <c r="G23" s="36">
        <f>ROUND(G18*D23,0)</f>
        <v>4476</v>
      </c>
      <c r="H23" s="36">
        <f>ROUND(H18*D23,0)</f>
        <v>4338</v>
      </c>
      <c r="I23" s="36">
        <f>ROUND(I19*D23,0)</f>
        <v>1787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f t="shared" si="2"/>
        <v>10601</v>
      </c>
      <c r="T23" s="36"/>
    </row>
    <row r="24" spans="1:20" x14ac:dyDescent="0.2">
      <c r="A24" s="134">
        <f t="shared" si="3"/>
        <v>8</v>
      </c>
      <c r="C24" s="3" t="s">
        <v>47</v>
      </c>
      <c r="D24" s="307">
        <v>242</v>
      </c>
      <c r="E24" s="36">
        <v>3</v>
      </c>
      <c r="F24" s="36">
        <f t="shared" si="4"/>
        <v>726</v>
      </c>
      <c r="G24" s="36">
        <f>ROUND(G18*D24,0)</f>
        <v>4087</v>
      </c>
      <c r="H24" s="36">
        <f>ROUND(H18*D24,0)</f>
        <v>3962</v>
      </c>
      <c r="I24" s="36">
        <f>ROUND(I18*D24,0)</f>
        <v>3265</v>
      </c>
      <c r="J24" s="36">
        <f>ROUND(J19*D24,0)</f>
        <v>1102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f t="shared" si="2"/>
        <v>12416</v>
      </c>
      <c r="T24" s="36"/>
    </row>
    <row r="25" spans="1:20" x14ac:dyDescent="0.2">
      <c r="A25" s="134">
        <f t="shared" si="3"/>
        <v>9</v>
      </c>
      <c r="C25" s="3" t="s">
        <v>48</v>
      </c>
      <c r="D25" s="307">
        <v>240</v>
      </c>
      <c r="E25" s="36">
        <v>4</v>
      </c>
      <c r="F25" s="36">
        <f t="shared" si="4"/>
        <v>960</v>
      </c>
      <c r="G25" s="36">
        <f>ROUND(G18*D25,0)</f>
        <v>4054</v>
      </c>
      <c r="H25" s="36">
        <f>ROUND(H18*D25,0)</f>
        <v>3929</v>
      </c>
      <c r="I25" s="36">
        <f>ROUND(I18*D25,0)</f>
        <v>3238</v>
      </c>
      <c r="J25" s="36">
        <f>ROUND(J18*D25,0)</f>
        <v>2186</v>
      </c>
      <c r="K25" s="36">
        <f>ROUND(K19*D25,0)</f>
        <v>500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f t="shared" si="2"/>
        <v>13907</v>
      </c>
      <c r="T25" s="36"/>
    </row>
    <row r="26" spans="1:20" x14ac:dyDescent="0.2">
      <c r="A26" s="134">
        <f t="shared" si="3"/>
        <v>10</v>
      </c>
      <c r="C26" s="3" t="s">
        <v>422</v>
      </c>
      <c r="D26" s="307">
        <v>284</v>
      </c>
      <c r="E26" s="36">
        <v>5</v>
      </c>
      <c r="F26" s="36">
        <f t="shared" si="4"/>
        <v>1420</v>
      </c>
      <c r="G26" s="36">
        <f>ROUND(G18*D26,0)</f>
        <v>4797</v>
      </c>
      <c r="H26" s="36">
        <f>ROUND(H18*D26,0)</f>
        <v>4649</v>
      </c>
      <c r="I26" s="36">
        <f>ROUND(I18*D26,0)</f>
        <v>3831</v>
      </c>
      <c r="J26" s="36">
        <f>ROUND(J18*D26,0)</f>
        <v>2587</v>
      </c>
      <c r="K26" s="36">
        <f>ROUND(K18*D26,0)</f>
        <v>1184</v>
      </c>
      <c r="L26" s="36">
        <f>ROUND(L19*D26,0)</f>
        <v>321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f t="shared" si="2"/>
        <v>17369</v>
      </c>
      <c r="T26" s="36"/>
    </row>
    <row r="27" spans="1:20" x14ac:dyDescent="0.2">
      <c r="A27" s="134">
        <f t="shared" si="3"/>
        <v>11</v>
      </c>
      <c r="C27" s="3" t="s">
        <v>423</v>
      </c>
      <c r="D27" s="307">
        <v>263</v>
      </c>
      <c r="E27" s="36">
        <v>6</v>
      </c>
      <c r="F27" s="36">
        <f t="shared" si="4"/>
        <v>1578</v>
      </c>
      <c r="G27" s="36">
        <f>ROUND(G18*D27,0)</f>
        <v>4442</v>
      </c>
      <c r="H27" s="36">
        <f>ROUND(H18*D27,0)</f>
        <v>4305</v>
      </c>
      <c r="I27" s="36">
        <f>ROUND(I18*D27,0)</f>
        <v>3548</v>
      </c>
      <c r="J27" s="36">
        <f>ROUND(J18*D27,0)</f>
        <v>2396</v>
      </c>
      <c r="K27" s="36">
        <f>ROUND(K18*D27,0)</f>
        <v>1097</v>
      </c>
      <c r="L27" s="36">
        <f>ROUND(L18*D27,0)</f>
        <v>594</v>
      </c>
      <c r="M27" s="36">
        <f>ROUND(M19*D27,0)</f>
        <v>179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f t="shared" si="2"/>
        <v>16561</v>
      </c>
      <c r="T27" s="36"/>
    </row>
    <row r="28" spans="1:20" x14ac:dyDescent="0.2">
      <c r="A28" s="134">
        <f t="shared" si="3"/>
        <v>12</v>
      </c>
      <c r="C28" s="3" t="s">
        <v>51</v>
      </c>
      <c r="D28" s="307">
        <v>319</v>
      </c>
      <c r="E28" s="36">
        <v>7</v>
      </c>
      <c r="F28" s="36">
        <f t="shared" si="4"/>
        <v>2233</v>
      </c>
      <c r="G28" s="36">
        <f>ROUND(G18*D28,0)</f>
        <v>5388</v>
      </c>
      <c r="H28" s="36">
        <f>ROUND(H18*D28,0)</f>
        <v>5222</v>
      </c>
      <c r="I28" s="36">
        <f>ROUND(I18*D28,0)</f>
        <v>4303</v>
      </c>
      <c r="J28" s="36">
        <f>ROUND(J18*D28,0)</f>
        <v>2906</v>
      </c>
      <c r="K28" s="36">
        <f>ROUND(K18*D28,0)</f>
        <v>1330</v>
      </c>
      <c r="L28" s="36">
        <f>ROUND(L18*D28,0)</f>
        <v>721</v>
      </c>
      <c r="M28" s="36">
        <f>ROUND(M18*D28,0)</f>
        <v>434</v>
      </c>
      <c r="N28" s="36">
        <f>ROUND(N19*D28,0)</f>
        <v>212</v>
      </c>
      <c r="O28" s="36">
        <v>0</v>
      </c>
      <c r="P28" s="36">
        <v>0</v>
      </c>
      <c r="Q28" s="36">
        <v>0</v>
      </c>
      <c r="R28" s="36">
        <v>0</v>
      </c>
      <c r="S28" s="36">
        <f t="shared" si="2"/>
        <v>20516</v>
      </c>
      <c r="T28" s="36"/>
    </row>
    <row r="29" spans="1:20" x14ac:dyDescent="0.2">
      <c r="A29" s="134">
        <f t="shared" si="3"/>
        <v>13</v>
      </c>
      <c r="C29" s="3" t="s">
        <v>424</v>
      </c>
      <c r="D29" s="307">
        <v>417</v>
      </c>
      <c r="E29" s="36">
        <v>8</v>
      </c>
      <c r="F29" s="36">
        <f t="shared" si="4"/>
        <v>3336</v>
      </c>
      <c r="G29" s="36">
        <f>ROUND(G18*D29,0)</f>
        <v>7043</v>
      </c>
      <c r="H29" s="36">
        <f>ROUND(H18*D29,0)</f>
        <v>6826</v>
      </c>
      <c r="I29" s="36">
        <f>ROUND(I18*D29,0)</f>
        <v>5625</v>
      </c>
      <c r="J29" s="36">
        <f>ROUND(J18*D29,0)</f>
        <v>3799</v>
      </c>
      <c r="K29" s="36">
        <f>ROUND(K18*D29,0)</f>
        <v>1739</v>
      </c>
      <c r="L29" s="36">
        <f>ROUND(L18*D29,0)</f>
        <v>942</v>
      </c>
      <c r="M29" s="36">
        <f>ROUND(M18*D29,0)</f>
        <v>567</v>
      </c>
      <c r="N29" s="36">
        <f>ROUND(N18*D29,0)</f>
        <v>555</v>
      </c>
      <c r="O29" s="36">
        <f>ROUND(O19*D29,0)</f>
        <v>294</v>
      </c>
      <c r="P29" s="36">
        <v>0</v>
      </c>
      <c r="Q29" s="36">
        <v>0</v>
      </c>
      <c r="R29" s="36">
        <v>0</v>
      </c>
      <c r="S29" s="36">
        <f t="shared" si="2"/>
        <v>27390</v>
      </c>
      <c r="T29" s="39"/>
    </row>
    <row r="30" spans="1:20" x14ac:dyDescent="0.2">
      <c r="A30" s="134">
        <f t="shared" si="3"/>
        <v>14</v>
      </c>
      <c r="C30" s="3" t="s">
        <v>53</v>
      </c>
      <c r="D30" s="307">
        <v>546</v>
      </c>
      <c r="E30" s="36">
        <v>9</v>
      </c>
      <c r="F30" s="36">
        <f t="shared" si="4"/>
        <v>4914</v>
      </c>
      <c r="G30" s="36">
        <f>ROUND(G18*D30,0)</f>
        <v>9222</v>
      </c>
      <c r="H30" s="36">
        <f>ROUND(H18*D30,0)</f>
        <v>8938</v>
      </c>
      <c r="I30" s="36">
        <f>ROUND(I18*D30,0)</f>
        <v>7366</v>
      </c>
      <c r="J30" s="36">
        <f>ROUND(J18*D30,0)</f>
        <v>4974</v>
      </c>
      <c r="K30" s="36">
        <f>ROUND(K18*D30,0)</f>
        <v>2277</v>
      </c>
      <c r="L30" s="36">
        <f>ROUND(L18*D30,0)</f>
        <v>1234</v>
      </c>
      <c r="M30" s="36">
        <f>ROUND(M18*D30,0)</f>
        <v>743</v>
      </c>
      <c r="N30" s="36">
        <f>ROUND(N18*D30,0)</f>
        <v>726</v>
      </c>
      <c r="O30" s="36">
        <f>ROUND(O18*D30,0)</f>
        <v>770</v>
      </c>
      <c r="P30" s="36">
        <f>ROUND(P19*D30,0)</f>
        <v>622</v>
      </c>
      <c r="Q30" s="36">
        <v>0</v>
      </c>
      <c r="R30" s="36">
        <v>0</v>
      </c>
      <c r="S30" s="36">
        <f t="shared" si="2"/>
        <v>36872</v>
      </c>
      <c r="T30" s="36"/>
    </row>
    <row r="31" spans="1:20" x14ac:dyDescent="0.2">
      <c r="A31" s="134">
        <f t="shared" si="3"/>
        <v>15</v>
      </c>
      <c r="C31" s="3" t="s">
        <v>54</v>
      </c>
      <c r="D31" s="307">
        <v>565</v>
      </c>
      <c r="E31" s="36">
        <v>10</v>
      </c>
      <c r="F31" s="36">
        <f t="shared" si="4"/>
        <v>5650</v>
      </c>
      <c r="G31" s="36">
        <f>ROUND(G18*D31,0)</f>
        <v>9543</v>
      </c>
      <c r="H31" s="36">
        <f>ROUND(H18*D31,0)</f>
        <v>9249</v>
      </c>
      <c r="I31" s="36">
        <f>ROUND(I18*D31,0)</f>
        <v>7622</v>
      </c>
      <c r="J31" s="36">
        <f>ROUND(J18*D31,0)</f>
        <v>5147</v>
      </c>
      <c r="K31" s="36">
        <f>ROUND(K18*D31,0)</f>
        <v>2356</v>
      </c>
      <c r="L31" s="36">
        <f>ROUND(L18*D31,0)</f>
        <v>1277</v>
      </c>
      <c r="M31" s="36">
        <f>ROUND(M18*D31,0)</f>
        <v>768</v>
      </c>
      <c r="N31" s="36">
        <f>ROUND(N18*D31,0)</f>
        <v>751</v>
      </c>
      <c r="O31" s="36">
        <f>ROUND(O18*D31,0)</f>
        <v>797</v>
      </c>
      <c r="P31" s="36">
        <f>ROUND(P18*D31,0)</f>
        <v>1288</v>
      </c>
      <c r="Q31" s="36">
        <f>ROUND(Q19*D31,0)</f>
        <v>1655</v>
      </c>
      <c r="R31" s="36">
        <v>0</v>
      </c>
      <c r="S31" s="36">
        <f t="shared" si="2"/>
        <v>40453</v>
      </c>
    </row>
    <row r="32" spans="1:20" x14ac:dyDescent="0.2">
      <c r="A32" s="134">
        <f t="shared" si="3"/>
        <v>16</v>
      </c>
      <c r="C32" s="3" t="s">
        <v>55</v>
      </c>
      <c r="D32" s="340">
        <v>440</v>
      </c>
      <c r="E32" s="36">
        <v>11</v>
      </c>
      <c r="F32" s="39">
        <f t="shared" si="4"/>
        <v>4840</v>
      </c>
      <c r="G32" s="39">
        <f>ROUND(G18*D32,0)</f>
        <v>7432</v>
      </c>
      <c r="H32" s="39">
        <f>ROUND(H18*D32,0)</f>
        <v>7203</v>
      </c>
      <c r="I32" s="39">
        <f>ROUND(I18*D32,0)</f>
        <v>5936</v>
      </c>
      <c r="J32" s="39">
        <f>ROUND(J18*D32,0)</f>
        <v>4008</v>
      </c>
      <c r="K32" s="39">
        <f>ROUND(K18*D32,0)</f>
        <v>1835</v>
      </c>
      <c r="L32" s="39">
        <f>ROUND(L18*D32,0)</f>
        <v>994</v>
      </c>
      <c r="M32" s="39">
        <f>ROUND(M18*D32,0)</f>
        <v>598</v>
      </c>
      <c r="N32" s="39">
        <f>ROUND(N18*D32,0)</f>
        <v>585</v>
      </c>
      <c r="O32" s="39">
        <f>ROUND(O18*D32,0)</f>
        <v>620</v>
      </c>
      <c r="P32" s="39">
        <f>ROUND(P18*D32,0)</f>
        <v>1003</v>
      </c>
      <c r="Q32" s="39">
        <f>ROUND(Q18*D32,0)</f>
        <v>2578</v>
      </c>
      <c r="R32" s="39">
        <f>ROUND(R19*D32,0)</f>
        <v>2614</v>
      </c>
      <c r="S32" s="39">
        <f t="shared" si="2"/>
        <v>35406</v>
      </c>
    </row>
    <row r="33" spans="1:19" x14ac:dyDescent="0.2">
      <c r="A33" s="134">
        <f t="shared" si="3"/>
        <v>17</v>
      </c>
      <c r="C33" s="3" t="s">
        <v>20</v>
      </c>
      <c r="D33" s="36">
        <f>SUM(D21:D32)</f>
        <v>4194</v>
      </c>
      <c r="F33" s="36">
        <f t="shared" ref="F33:R33" si="5">SUM(F21:F32)</f>
        <v>26457</v>
      </c>
      <c r="G33" s="36">
        <f t="shared" si="5"/>
        <v>67941</v>
      </c>
      <c r="H33" s="36">
        <f t="shared" si="5"/>
        <v>60831</v>
      </c>
      <c r="I33" s="36">
        <f t="shared" si="5"/>
        <v>46521</v>
      </c>
      <c r="J33" s="36">
        <f t="shared" si="5"/>
        <v>29105</v>
      </c>
      <c r="K33" s="36">
        <f t="shared" si="5"/>
        <v>12318</v>
      </c>
      <c r="L33" s="36">
        <f t="shared" si="5"/>
        <v>6083</v>
      </c>
      <c r="M33" s="36">
        <f t="shared" si="5"/>
        <v>3289</v>
      </c>
      <c r="N33" s="36">
        <f t="shared" si="5"/>
        <v>2829</v>
      </c>
      <c r="O33" s="36">
        <f t="shared" si="5"/>
        <v>2481</v>
      </c>
      <c r="P33" s="36">
        <f t="shared" si="5"/>
        <v>2913</v>
      </c>
      <c r="Q33" s="36">
        <f t="shared" si="5"/>
        <v>4233</v>
      </c>
      <c r="R33" s="36">
        <f t="shared" si="5"/>
        <v>2614</v>
      </c>
      <c r="S33" s="36">
        <f t="shared" si="2"/>
        <v>241158</v>
      </c>
    </row>
    <row r="34" spans="1:19" x14ac:dyDescent="0.2">
      <c r="D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  <row r="35" spans="1:19" x14ac:dyDescent="0.2">
      <c r="D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</row>
    <row r="36" spans="1:19" x14ac:dyDescent="0.2">
      <c r="A36" s="229"/>
      <c r="B36" s="64"/>
      <c r="C36" s="64"/>
      <c r="D36" s="64"/>
      <c r="E36" s="64"/>
      <c r="F36" s="64"/>
      <c r="G36" s="64"/>
      <c r="S36" s="2" t="str">
        <f>adjno</f>
        <v>Exhibit No. 103</v>
      </c>
    </row>
    <row r="37" spans="1:19" x14ac:dyDescent="0.2">
      <c r="A37" s="353" t="str">
        <f>coname</f>
        <v>Columbia Gas of Pennsylvania, Inc.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14"/>
      <c r="S37" s="2" t="str">
        <f>S5</f>
        <v>Schedule No. 4</v>
      </c>
    </row>
    <row r="38" spans="1:19" x14ac:dyDescent="0.2">
      <c r="A38" s="353" t="s">
        <v>270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3"/>
      <c r="R38" s="14"/>
      <c r="S38" s="2" t="s">
        <v>291</v>
      </c>
    </row>
    <row r="39" spans="1:19" x14ac:dyDescent="0.2">
      <c r="A39" s="353" t="str">
        <f>TYDESC</f>
        <v>For the 12 Months Ended December 31, 2019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27"/>
      <c r="S39" s="4" t="str">
        <f>'Sch1'!$G$4</f>
        <v>Witness: D. Joe Mays</v>
      </c>
    </row>
    <row r="40" spans="1:19" x14ac:dyDescent="0.2">
      <c r="A40" s="219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9" x14ac:dyDescent="0.2">
      <c r="A41" s="219" t="s">
        <v>3</v>
      </c>
      <c r="B41" s="1"/>
      <c r="C41" s="6"/>
      <c r="D41" s="1" t="s">
        <v>42</v>
      </c>
      <c r="E41" s="1" t="s">
        <v>43</v>
      </c>
      <c r="F41" s="1" t="s">
        <v>42</v>
      </c>
      <c r="G41" s="60" t="s">
        <v>44</v>
      </c>
      <c r="H41" s="60" t="s">
        <v>45</v>
      </c>
      <c r="I41" s="60" t="s">
        <v>46</v>
      </c>
      <c r="J41" s="60" t="s">
        <v>47</v>
      </c>
      <c r="K41" s="60" t="s">
        <v>48</v>
      </c>
      <c r="L41" s="60" t="s">
        <v>422</v>
      </c>
      <c r="M41" s="60" t="s">
        <v>423</v>
      </c>
      <c r="N41" s="60" t="s">
        <v>51</v>
      </c>
      <c r="O41" s="60" t="s">
        <v>424</v>
      </c>
      <c r="P41" s="60" t="s">
        <v>53</v>
      </c>
      <c r="Q41" s="60" t="s">
        <v>54</v>
      </c>
      <c r="R41" s="60" t="s">
        <v>55</v>
      </c>
      <c r="S41" s="144" t="s">
        <v>42</v>
      </c>
    </row>
    <row r="42" spans="1:19" x14ac:dyDescent="0.2">
      <c r="A42" s="172" t="s">
        <v>6</v>
      </c>
      <c r="B42" s="7"/>
      <c r="C42" s="7" t="s">
        <v>56</v>
      </c>
      <c r="D42" s="7" t="s">
        <v>8</v>
      </c>
      <c r="E42" s="7" t="s">
        <v>57</v>
      </c>
      <c r="F42" s="7" t="s">
        <v>35</v>
      </c>
      <c r="G42" s="61" t="s">
        <v>58</v>
      </c>
      <c r="H42" s="61" t="s">
        <v>58</v>
      </c>
      <c r="I42" s="62" t="s">
        <v>58</v>
      </c>
      <c r="J42" s="61" t="s">
        <v>58</v>
      </c>
      <c r="K42" s="61" t="s">
        <v>58</v>
      </c>
      <c r="L42" s="61" t="s">
        <v>58</v>
      </c>
      <c r="M42" s="61" t="s">
        <v>58</v>
      </c>
      <c r="N42" s="61" t="s">
        <v>58</v>
      </c>
      <c r="O42" s="61" t="s">
        <v>58</v>
      </c>
      <c r="P42" s="61" t="s">
        <v>58</v>
      </c>
      <c r="Q42" s="61" t="s">
        <v>58</v>
      </c>
      <c r="R42" s="63" t="s">
        <v>58</v>
      </c>
      <c r="S42" s="7" t="s">
        <v>40</v>
      </c>
    </row>
    <row r="43" spans="1:19" x14ac:dyDescent="0.2">
      <c r="A43" s="219"/>
      <c r="B43" s="6"/>
      <c r="C43" s="6"/>
      <c r="D43" s="1" t="s">
        <v>12</v>
      </c>
      <c r="E43" s="1" t="s">
        <v>13</v>
      </c>
      <c r="F43" s="1" t="s">
        <v>59</v>
      </c>
      <c r="G43" s="341">
        <v>103.66</v>
      </c>
      <c r="H43" s="341">
        <v>102.64</v>
      </c>
      <c r="I43" s="342">
        <v>83.31</v>
      </c>
      <c r="J43" s="341">
        <v>58.92</v>
      </c>
      <c r="K43" s="341">
        <v>31.99</v>
      </c>
      <c r="L43" s="341">
        <v>21.31</v>
      </c>
      <c r="M43" s="341">
        <v>16.97</v>
      </c>
      <c r="N43" s="341">
        <v>16.510000000000002</v>
      </c>
      <c r="O43" s="341">
        <v>17.53</v>
      </c>
      <c r="P43" s="341">
        <v>26.79</v>
      </c>
      <c r="Q43" s="341">
        <v>43.1</v>
      </c>
      <c r="R43" s="343">
        <v>74.2</v>
      </c>
      <c r="S43" s="1" t="s">
        <v>14</v>
      </c>
    </row>
    <row r="44" spans="1:19" x14ac:dyDescent="0.2">
      <c r="G44" s="114" t="s">
        <v>248</v>
      </c>
      <c r="H44" s="114" t="s">
        <v>248</v>
      </c>
      <c r="I44" s="114" t="s">
        <v>248</v>
      </c>
      <c r="J44" s="114" t="s">
        <v>248</v>
      </c>
      <c r="K44" s="114" t="s">
        <v>248</v>
      </c>
      <c r="L44" s="114" t="s">
        <v>248</v>
      </c>
      <c r="M44" s="114" t="s">
        <v>248</v>
      </c>
      <c r="N44" s="114" t="s">
        <v>248</v>
      </c>
      <c r="O44" s="114" t="s">
        <v>248</v>
      </c>
      <c r="P44" s="114" t="s">
        <v>248</v>
      </c>
      <c r="Q44" s="114" t="s">
        <v>248</v>
      </c>
      <c r="R44" s="114" t="s">
        <v>248</v>
      </c>
      <c r="S44" s="114" t="s">
        <v>248</v>
      </c>
    </row>
    <row r="45" spans="1:19" x14ac:dyDescent="0.2">
      <c r="R45" s="66"/>
    </row>
    <row r="46" spans="1:19" x14ac:dyDescent="0.2">
      <c r="A46" s="134">
        <v>1</v>
      </c>
      <c r="C46" s="6" t="s">
        <v>19</v>
      </c>
    </row>
    <row r="47" spans="1:19" x14ac:dyDescent="0.2">
      <c r="C47" s="6"/>
    </row>
    <row r="48" spans="1:19" x14ac:dyDescent="0.2">
      <c r="A48" s="134">
        <f>A46+1</f>
        <v>2</v>
      </c>
      <c r="C48" s="6" t="s">
        <v>571</v>
      </c>
    </row>
    <row r="50" spans="1:19" x14ac:dyDescent="0.2">
      <c r="A50" s="134">
        <f>A48+1</f>
        <v>3</v>
      </c>
      <c r="C50" s="6" t="s">
        <v>60</v>
      </c>
      <c r="G50" s="64">
        <f>G43</f>
        <v>103.66</v>
      </c>
      <c r="H50" s="64">
        <f t="shared" ref="H50:R50" si="6">H43</f>
        <v>102.64</v>
      </c>
      <c r="I50" s="64">
        <f t="shared" si="6"/>
        <v>83.31</v>
      </c>
      <c r="J50" s="64">
        <f t="shared" si="6"/>
        <v>58.92</v>
      </c>
      <c r="K50" s="64">
        <f t="shared" si="6"/>
        <v>31.99</v>
      </c>
      <c r="L50" s="64">
        <f t="shared" si="6"/>
        <v>21.31</v>
      </c>
      <c r="M50" s="64">
        <f t="shared" si="6"/>
        <v>16.97</v>
      </c>
      <c r="N50" s="64">
        <f t="shared" si="6"/>
        <v>16.510000000000002</v>
      </c>
      <c r="O50" s="64">
        <f t="shared" si="6"/>
        <v>17.53</v>
      </c>
      <c r="P50" s="64">
        <f t="shared" si="6"/>
        <v>26.79</v>
      </c>
      <c r="Q50" s="64">
        <f t="shared" si="6"/>
        <v>43.1</v>
      </c>
      <c r="R50" s="64">
        <f t="shared" si="6"/>
        <v>74.2</v>
      </c>
    </row>
    <row r="51" spans="1:19" x14ac:dyDescent="0.2">
      <c r="A51" s="134">
        <f>A50+1</f>
        <v>4</v>
      </c>
      <c r="C51" s="6" t="s">
        <v>61</v>
      </c>
      <c r="G51" s="64">
        <f>G43/2</f>
        <v>51.83</v>
      </c>
      <c r="H51" s="64">
        <f t="shared" ref="H51:R51" si="7">H43/2</f>
        <v>51.32</v>
      </c>
      <c r="I51" s="64">
        <f t="shared" si="7"/>
        <v>41.655000000000001</v>
      </c>
      <c r="J51" s="64">
        <f t="shared" si="7"/>
        <v>29.46</v>
      </c>
      <c r="K51" s="64">
        <f t="shared" si="7"/>
        <v>15.994999999999999</v>
      </c>
      <c r="L51" s="64">
        <f t="shared" si="7"/>
        <v>10.654999999999999</v>
      </c>
      <c r="M51" s="64">
        <f t="shared" si="7"/>
        <v>8.4849999999999994</v>
      </c>
      <c r="N51" s="64">
        <f t="shared" si="7"/>
        <v>8.2550000000000008</v>
      </c>
      <c r="O51" s="64">
        <f t="shared" si="7"/>
        <v>8.7650000000000006</v>
      </c>
      <c r="P51" s="64">
        <f t="shared" si="7"/>
        <v>13.395</v>
      </c>
      <c r="Q51" s="64">
        <f t="shared" si="7"/>
        <v>21.55</v>
      </c>
      <c r="R51" s="64">
        <f t="shared" si="7"/>
        <v>37.1</v>
      </c>
    </row>
    <row r="53" spans="1:19" x14ac:dyDescent="0.2">
      <c r="A53" s="134">
        <f>A51+1</f>
        <v>5</v>
      </c>
      <c r="C53" s="153" t="s">
        <v>44</v>
      </c>
      <c r="D53" s="200">
        <v>56</v>
      </c>
      <c r="E53" s="36">
        <v>0</v>
      </c>
      <c r="F53" s="36">
        <v>0</v>
      </c>
      <c r="G53" s="36">
        <f>ROUND(G51*D53,0)</f>
        <v>2902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f t="shared" ref="S53:S65" si="8">SUM(G53:R53)</f>
        <v>2902</v>
      </c>
    </row>
    <row r="54" spans="1:19" x14ac:dyDescent="0.2">
      <c r="A54" s="134">
        <f t="shared" ref="A54:A65" si="9">A53+1</f>
        <v>6</v>
      </c>
      <c r="C54" s="153" t="s">
        <v>45</v>
      </c>
      <c r="D54" s="200">
        <v>43</v>
      </c>
      <c r="E54" s="36">
        <v>1</v>
      </c>
      <c r="F54" s="36">
        <f t="shared" ref="F54:F64" si="10">ROUND($D54*$E54,0)</f>
        <v>43</v>
      </c>
      <c r="G54" s="36">
        <f>ROUND(G50*D54,0)</f>
        <v>4457</v>
      </c>
      <c r="H54" s="36">
        <f>ROUND(H51*D54,0)</f>
        <v>2207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f t="shared" si="8"/>
        <v>6664</v>
      </c>
    </row>
    <row r="55" spans="1:19" x14ac:dyDescent="0.2">
      <c r="A55" s="134">
        <f t="shared" si="9"/>
        <v>7</v>
      </c>
      <c r="C55" s="153" t="s">
        <v>46</v>
      </c>
      <c r="D55" s="200">
        <v>41</v>
      </c>
      <c r="E55" s="36">
        <v>2</v>
      </c>
      <c r="F55" s="36">
        <f>ROUND($D55*$E55,0)</f>
        <v>82</v>
      </c>
      <c r="G55" s="36">
        <f>ROUND(G50*D55,0)</f>
        <v>4250</v>
      </c>
      <c r="H55" s="36">
        <f>ROUND(H50*D55,0)</f>
        <v>4208</v>
      </c>
      <c r="I55" s="36">
        <f>ROUND(I51*D55,0)</f>
        <v>1708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f t="shared" si="8"/>
        <v>10166</v>
      </c>
    </row>
    <row r="56" spans="1:19" x14ac:dyDescent="0.2">
      <c r="A56" s="134">
        <f t="shared" si="9"/>
        <v>8</v>
      </c>
      <c r="C56" s="153" t="s">
        <v>47</v>
      </c>
      <c r="D56" s="200">
        <v>29</v>
      </c>
      <c r="E56" s="36">
        <v>3</v>
      </c>
      <c r="F56" s="36">
        <f t="shared" si="10"/>
        <v>87</v>
      </c>
      <c r="G56" s="36">
        <f>ROUND(G50*D56,0)</f>
        <v>3006</v>
      </c>
      <c r="H56" s="36">
        <f>ROUND(H50*D56,0)</f>
        <v>2977</v>
      </c>
      <c r="I56" s="36">
        <f>ROUND(I50*D56,0)</f>
        <v>2416</v>
      </c>
      <c r="J56" s="36">
        <f>ROUND(J51*D56,0)</f>
        <v>854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f t="shared" si="8"/>
        <v>9253</v>
      </c>
    </row>
    <row r="57" spans="1:19" x14ac:dyDescent="0.2">
      <c r="A57" s="134">
        <f t="shared" si="9"/>
        <v>9</v>
      </c>
      <c r="C57" s="153" t="s">
        <v>48</v>
      </c>
      <c r="D57" s="200">
        <v>35</v>
      </c>
      <c r="E57" s="36">
        <v>4</v>
      </c>
      <c r="F57" s="36">
        <f t="shared" si="10"/>
        <v>140</v>
      </c>
      <c r="G57" s="36">
        <f>ROUND(G50*D57,0)</f>
        <v>3628</v>
      </c>
      <c r="H57" s="36">
        <f>ROUND(H50*D57,0)</f>
        <v>3592</v>
      </c>
      <c r="I57" s="36">
        <f>ROUND(I50*D57,0)</f>
        <v>2916</v>
      </c>
      <c r="J57" s="36">
        <f>ROUND(J50*D57,0)</f>
        <v>2062</v>
      </c>
      <c r="K57" s="36">
        <f>ROUND(K51*D57,0)</f>
        <v>560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f t="shared" si="8"/>
        <v>12758</v>
      </c>
    </row>
    <row r="58" spans="1:19" x14ac:dyDescent="0.2">
      <c r="A58" s="134">
        <f t="shared" si="9"/>
        <v>10</v>
      </c>
      <c r="C58" s="153" t="s">
        <v>422</v>
      </c>
      <c r="D58" s="200">
        <v>23</v>
      </c>
      <c r="E58" s="36">
        <v>5</v>
      </c>
      <c r="F58" s="36">
        <f t="shared" si="10"/>
        <v>115</v>
      </c>
      <c r="G58" s="36">
        <f>ROUND(G50*D58,0)</f>
        <v>2384</v>
      </c>
      <c r="H58" s="36">
        <f>ROUND(H50*D58,0)</f>
        <v>2361</v>
      </c>
      <c r="I58" s="36">
        <f>ROUND(I50*D58,0)</f>
        <v>1916</v>
      </c>
      <c r="J58" s="36">
        <f>ROUND(J50*D58,0)</f>
        <v>1355</v>
      </c>
      <c r="K58" s="36">
        <f>ROUND(K50*D58,0)</f>
        <v>736</v>
      </c>
      <c r="L58" s="36">
        <f>ROUND(L51*D58,0)</f>
        <v>245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f t="shared" si="8"/>
        <v>8997</v>
      </c>
    </row>
    <row r="59" spans="1:19" x14ac:dyDescent="0.2">
      <c r="A59" s="134">
        <f t="shared" si="9"/>
        <v>11</v>
      </c>
      <c r="C59" s="153" t="s">
        <v>423</v>
      </c>
      <c r="D59" s="200">
        <v>28</v>
      </c>
      <c r="E59" s="36">
        <v>6</v>
      </c>
      <c r="F59" s="36">
        <f t="shared" si="10"/>
        <v>168</v>
      </c>
      <c r="G59" s="36">
        <f>ROUND(G50*D59,0)</f>
        <v>2902</v>
      </c>
      <c r="H59" s="36">
        <f>ROUND(H50*D59,0)</f>
        <v>2874</v>
      </c>
      <c r="I59" s="36">
        <f>ROUND(I50*D59,0)</f>
        <v>2333</v>
      </c>
      <c r="J59" s="36">
        <f>ROUND(J50*D59,0)</f>
        <v>1650</v>
      </c>
      <c r="K59" s="36">
        <f>ROUND(K50*D59,0)</f>
        <v>896</v>
      </c>
      <c r="L59" s="36">
        <f>ROUND(L50*D59,0)</f>
        <v>597</v>
      </c>
      <c r="M59" s="36">
        <f>ROUND(M51*D59,0)</f>
        <v>238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f t="shared" si="8"/>
        <v>11490</v>
      </c>
    </row>
    <row r="60" spans="1:19" x14ac:dyDescent="0.2">
      <c r="A60" s="134">
        <f t="shared" si="9"/>
        <v>12</v>
      </c>
      <c r="C60" s="153" t="s">
        <v>51</v>
      </c>
      <c r="D60" s="200">
        <v>32</v>
      </c>
      <c r="E60" s="36">
        <v>7</v>
      </c>
      <c r="F60" s="36">
        <f t="shared" si="10"/>
        <v>224</v>
      </c>
      <c r="G60" s="36">
        <f>ROUND(G50*D60,0)</f>
        <v>3317</v>
      </c>
      <c r="H60" s="36">
        <f>ROUND(H50*D60,0)</f>
        <v>3284</v>
      </c>
      <c r="I60" s="36">
        <f>ROUND(I50*D60,0)</f>
        <v>2666</v>
      </c>
      <c r="J60" s="36">
        <f>ROUND(J50*D60,0)</f>
        <v>1885</v>
      </c>
      <c r="K60" s="36">
        <f>ROUND(K50*D60,0)</f>
        <v>1024</v>
      </c>
      <c r="L60" s="36">
        <f>ROUND(L50*D60,0)</f>
        <v>682</v>
      </c>
      <c r="M60" s="36">
        <f>ROUND(M50*D60,0)</f>
        <v>543</v>
      </c>
      <c r="N60" s="36">
        <f>ROUND(N51*D60,0)</f>
        <v>264</v>
      </c>
      <c r="O60" s="36">
        <v>0</v>
      </c>
      <c r="P60" s="36">
        <v>0</v>
      </c>
      <c r="Q60" s="36">
        <v>0</v>
      </c>
      <c r="R60" s="36">
        <v>0</v>
      </c>
      <c r="S60" s="36">
        <f t="shared" si="8"/>
        <v>13665</v>
      </c>
    </row>
    <row r="61" spans="1:19" x14ac:dyDescent="0.2">
      <c r="A61" s="134">
        <f t="shared" si="9"/>
        <v>13</v>
      </c>
      <c r="C61" s="153" t="s">
        <v>424</v>
      </c>
      <c r="D61" s="200">
        <v>46</v>
      </c>
      <c r="E61" s="36">
        <v>8</v>
      </c>
      <c r="F61" s="36">
        <f t="shared" si="10"/>
        <v>368</v>
      </c>
      <c r="G61" s="36">
        <f>ROUND(G50*D61,0)</f>
        <v>4768</v>
      </c>
      <c r="H61" s="36">
        <f>ROUND(H50*D61,0)</f>
        <v>4721</v>
      </c>
      <c r="I61" s="36">
        <f>ROUND(I50*D61,0)</f>
        <v>3832</v>
      </c>
      <c r="J61" s="36">
        <f>ROUND(J50*D61,0)</f>
        <v>2710</v>
      </c>
      <c r="K61" s="36">
        <f>ROUND(K50*D61,0)</f>
        <v>1472</v>
      </c>
      <c r="L61" s="36">
        <f>ROUND(L50*D61,0)</f>
        <v>980</v>
      </c>
      <c r="M61" s="36">
        <f>ROUND(M50*D61,0)</f>
        <v>781</v>
      </c>
      <c r="N61" s="36">
        <f>ROUND(N50*D61,0)</f>
        <v>759</v>
      </c>
      <c r="O61" s="36">
        <f>ROUND(O51*D61,0)</f>
        <v>403</v>
      </c>
      <c r="P61" s="36">
        <v>0</v>
      </c>
      <c r="Q61" s="36">
        <v>0</v>
      </c>
      <c r="R61" s="36">
        <v>0</v>
      </c>
      <c r="S61" s="36">
        <f t="shared" si="8"/>
        <v>20426</v>
      </c>
    </row>
    <row r="62" spans="1:19" x14ac:dyDescent="0.2">
      <c r="A62" s="134">
        <f t="shared" si="9"/>
        <v>14</v>
      </c>
      <c r="C62" s="153" t="s">
        <v>53</v>
      </c>
      <c r="D62" s="200">
        <v>72</v>
      </c>
      <c r="E62" s="36">
        <v>9</v>
      </c>
      <c r="F62" s="36">
        <f t="shared" si="10"/>
        <v>648</v>
      </c>
      <c r="G62" s="36">
        <f>ROUND(G50*D62,0)</f>
        <v>7464</v>
      </c>
      <c r="H62" s="36">
        <f>ROUND(H50*D62,0)</f>
        <v>7390</v>
      </c>
      <c r="I62" s="36">
        <f>ROUND(I50*D62,0)</f>
        <v>5998</v>
      </c>
      <c r="J62" s="36">
        <f>ROUND(J50*D62,0)</f>
        <v>4242</v>
      </c>
      <c r="K62" s="36">
        <f>ROUND(K50*D62,0)</f>
        <v>2303</v>
      </c>
      <c r="L62" s="36">
        <f>ROUND(L50*D62,0)</f>
        <v>1534</v>
      </c>
      <c r="M62" s="36">
        <f>ROUND(M50*D62,0)</f>
        <v>1222</v>
      </c>
      <c r="N62" s="36">
        <f>ROUND(N50*D62,0)</f>
        <v>1189</v>
      </c>
      <c r="O62" s="36">
        <f>ROUND(O50*D62,0)</f>
        <v>1262</v>
      </c>
      <c r="P62" s="36">
        <f>ROUND(P51*D62,0)</f>
        <v>964</v>
      </c>
      <c r="Q62" s="36">
        <v>0</v>
      </c>
      <c r="R62" s="36">
        <v>0</v>
      </c>
      <c r="S62" s="36">
        <f t="shared" si="8"/>
        <v>33568</v>
      </c>
    </row>
    <row r="63" spans="1:19" x14ac:dyDescent="0.2">
      <c r="A63" s="134">
        <f t="shared" si="9"/>
        <v>15</v>
      </c>
      <c r="C63" s="153" t="s">
        <v>54</v>
      </c>
      <c r="D63" s="200">
        <v>84</v>
      </c>
      <c r="E63" s="36">
        <v>10</v>
      </c>
      <c r="F63" s="36">
        <f t="shared" si="10"/>
        <v>840</v>
      </c>
      <c r="G63" s="36">
        <f>ROUND(G50*D63,0)</f>
        <v>8707</v>
      </c>
      <c r="H63" s="36">
        <f>ROUND(H50*D63,0)</f>
        <v>8622</v>
      </c>
      <c r="I63" s="36">
        <f>ROUND(I50*D63,0)</f>
        <v>6998</v>
      </c>
      <c r="J63" s="36">
        <f>ROUND(J50*D63,0)</f>
        <v>4949</v>
      </c>
      <c r="K63" s="36">
        <f>ROUND(K50*D63,0)</f>
        <v>2687</v>
      </c>
      <c r="L63" s="36">
        <f>ROUND(L50*D63,0)</f>
        <v>1790</v>
      </c>
      <c r="M63" s="36">
        <f>ROUND(M50*D63,0)</f>
        <v>1425</v>
      </c>
      <c r="N63" s="36">
        <f>ROUND(N50*D63,0)</f>
        <v>1387</v>
      </c>
      <c r="O63" s="36">
        <f>ROUND(O50*D63,0)</f>
        <v>1473</v>
      </c>
      <c r="P63" s="36">
        <f>ROUND(P50*D63,0)</f>
        <v>2250</v>
      </c>
      <c r="Q63" s="36">
        <f>ROUND(Q51*D63,0)</f>
        <v>1810</v>
      </c>
      <c r="R63" s="36">
        <v>0</v>
      </c>
      <c r="S63" s="36">
        <f t="shared" si="8"/>
        <v>42098</v>
      </c>
    </row>
    <row r="64" spans="1:19" x14ac:dyDescent="0.2">
      <c r="A64" s="134">
        <f t="shared" si="9"/>
        <v>16</v>
      </c>
      <c r="C64" s="153" t="s">
        <v>55</v>
      </c>
      <c r="D64" s="201">
        <v>84</v>
      </c>
      <c r="E64" s="36">
        <v>11</v>
      </c>
      <c r="F64" s="39">
        <f t="shared" si="10"/>
        <v>924</v>
      </c>
      <c r="G64" s="39">
        <f>ROUND(G50*D64,0)</f>
        <v>8707</v>
      </c>
      <c r="H64" s="39">
        <f>ROUND(H50*D64,0)</f>
        <v>8622</v>
      </c>
      <c r="I64" s="39">
        <f>ROUND(I50*D64,0)</f>
        <v>6998</v>
      </c>
      <c r="J64" s="39">
        <f>ROUND(J50*D64,0)</f>
        <v>4949</v>
      </c>
      <c r="K64" s="39">
        <f>ROUND(K50*D64,0)</f>
        <v>2687</v>
      </c>
      <c r="L64" s="39">
        <f>ROUND(L50*D64,0)</f>
        <v>1790</v>
      </c>
      <c r="M64" s="39">
        <f>ROUND(M50*D64,0)</f>
        <v>1425</v>
      </c>
      <c r="N64" s="39">
        <f>ROUND(N50*D64,0)</f>
        <v>1387</v>
      </c>
      <c r="O64" s="39">
        <f>ROUND(O50*D64,0)</f>
        <v>1473</v>
      </c>
      <c r="P64" s="39">
        <f>ROUND(P50*D64,0)</f>
        <v>2250</v>
      </c>
      <c r="Q64" s="39">
        <f>ROUND(Q50*D64,0)</f>
        <v>3620</v>
      </c>
      <c r="R64" s="39">
        <f>ROUND(R51*D64,0)</f>
        <v>3116</v>
      </c>
      <c r="S64" s="39">
        <f t="shared" si="8"/>
        <v>47024</v>
      </c>
    </row>
    <row r="65" spans="1:19" x14ac:dyDescent="0.2">
      <c r="A65" s="134">
        <f t="shared" si="9"/>
        <v>17</v>
      </c>
      <c r="C65" s="3" t="s">
        <v>20</v>
      </c>
      <c r="D65" s="36">
        <f>SUM(D53:D64)</f>
        <v>573</v>
      </c>
      <c r="F65" s="36">
        <f t="shared" ref="F65:R65" si="11">SUM(F53:F64)</f>
        <v>3639</v>
      </c>
      <c r="G65" s="36">
        <f t="shared" si="11"/>
        <v>56492</v>
      </c>
      <c r="H65" s="36">
        <f t="shared" si="11"/>
        <v>50858</v>
      </c>
      <c r="I65" s="36">
        <f t="shared" si="11"/>
        <v>37781</v>
      </c>
      <c r="J65" s="36">
        <f t="shared" si="11"/>
        <v>24656</v>
      </c>
      <c r="K65" s="36">
        <f t="shared" si="11"/>
        <v>12365</v>
      </c>
      <c r="L65" s="36">
        <f t="shared" si="11"/>
        <v>7618</v>
      </c>
      <c r="M65" s="36">
        <f t="shared" si="11"/>
        <v>5634</v>
      </c>
      <c r="N65" s="36">
        <f t="shared" si="11"/>
        <v>4986</v>
      </c>
      <c r="O65" s="36">
        <f t="shared" si="11"/>
        <v>4611</v>
      </c>
      <c r="P65" s="36">
        <f t="shared" si="11"/>
        <v>5464</v>
      </c>
      <c r="Q65" s="36">
        <f t="shared" si="11"/>
        <v>5430</v>
      </c>
      <c r="R65" s="36">
        <f t="shared" si="11"/>
        <v>3116</v>
      </c>
      <c r="S65" s="36">
        <f t="shared" si="8"/>
        <v>219011</v>
      </c>
    </row>
  </sheetData>
  <customSheetViews>
    <customSheetView guid="{818D6814-8976-4390-B9DF-A301351E9DE9}" showPageBreaks="1" printArea="1" showRuler="0">
      <selection activeCell="H57" sqref="H57"/>
      <rowBreaks count="1" manualBreakCount="1">
        <brk id="30" max="18" man="1"/>
      </rowBreaks>
      <pageMargins left="0" right="0" top="0.25" bottom="0.25" header="0.5" footer="0.5"/>
      <printOptions horizontalCentered="1"/>
      <pageSetup orientation="landscape" r:id="rId1"/>
      <headerFooter alignWithMargins="0"/>
    </customSheetView>
  </customSheetViews>
  <mergeCells count="6">
    <mergeCell ref="A39:Q39"/>
    <mergeCell ref="A37:Q37"/>
    <mergeCell ref="A38:Q38"/>
    <mergeCell ref="A5:Q5"/>
    <mergeCell ref="A6:Q6"/>
    <mergeCell ref="A7:Q7"/>
  </mergeCells>
  <phoneticPr fontId="0" type="noConversion"/>
  <printOptions horizontalCentered="1"/>
  <pageMargins left="0" right="0" top="0.25" bottom="0.25" header="0.5" footer="0.5"/>
  <pageSetup orientation="landscape" r:id="rId2"/>
  <headerFooter alignWithMargins="0"/>
  <rowBreaks count="1" manualBreakCount="1">
    <brk id="33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15">
    <tabColor rgb="FF92D050"/>
  </sheetPr>
  <dimension ref="A1:T21"/>
  <sheetViews>
    <sheetView zoomScaleNormal="100" workbookViewId="0">
      <selection activeCell="G27" sqref="G27"/>
    </sheetView>
  </sheetViews>
  <sheetFormatPr defaultColWidth="7.3984375" defaultRowHeight="11.25" x14ac:dyDescent="0.2"/>
  <cols>
    <col min="1" max="1" width="3.796875" style="134" customWidth="1"/>
    <col min="2" max="2" width="3" style="3" customWidth="1"/>
    <col min="3" max="3" width="21" style="3" customWidth="1"/>
    <col min="4" max="4" width="17.3984375" style="3" customWidth="1"/>
    <col min="5" max="5" width="15" style="3" customWidth="1"/>
    <col min="6" max="6" width="6.796875" style="3" customWidth="1"/>
    <col min="7" max="12" width="12.59765625" style="3" bestFit="1" customWidth="1"/>
    <col min="13" max="13" width="12.19921875" style="3" customWidth="1"/>
    <col min="14" max="18" width="12.59765625" style="3" bestFit="1" customWidth="1"/>
    <col min="19" max="19" width="20" style="3" bestFit="1" customWidth="1"/>
    <col min="20" max="20" width="31.3984375" style="3" customWidth="1"/>
    <col min="21" max="21" width="7.3984375" style="3"/>
    <col min="22" max="23" width="2.3984375" style="3" customWidth="1"/>
    <col min="24" max="16384" width="7.3984375" style="3"/>
  </cols>
  <sheetData>
    <row r="1" spans="1:20" x14ac:dyDescent="0.2">
      <c r="F1" s="6"/>
      <c r="R1" s="33"/>
      <c r="S1" s="2" t="str">
        <f>adjno</f>
        <v>Exhibit No. 103</v>
      </c>
    </row>
    <row r="2" spans="1:20" x14ac:dyDescent="0.2">
      <c r="A2" s="353" t="str">
        <f>coname</f>
        <v>Columbia Gas of Pennsylvania, Inc.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2" t="s">
        <v>195</v>
      </c>
    </row>
    <row r="3" spans="1:20" x14ac:dyDescent="0.2">
      <c r="A3" s="353" t="s">
        <v>249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2" t="s">
        <v>449</v>
      </c>
    </row>
    <row r="4" spans="1:20" x14ac:dyDescent="0.2">
      <c r="A4" s="353" t="str">
        <f>TYDESC</f>
        <v>For the 12 Months Ended December 31, 2019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4" t="str">
        <f>'Sch1'!G4</f>
        <v>Witness: D. Joe Mays</v>
      </c>
    </row>
    <row r="5" spans="1:20" x14ac:dyDescent="0.2">
      <c r="A5" s="21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0" x14ac:dyDescent="0.2">
      <c r="A6" s="219"/>
      <c r="B6" s="6"/>
      <c r="C6" s="6"/>
      <c r="D6" s="6"/>
      <c r="E6" s="125" t="s">
        <v>176</v>
      </c>
      <c r="F6" s="6"/>
    </row>
    <row r="7" spans="1:20" x14ac:dyDescent="0.2">
      <c r="A7" s="219"/>
      <c r="B7" s="6"/>
      <c r="C7" s="6"/>
      <c r="D7" s="6"/>
      <c r="E7" s="125" t="s">
        <v>99</v>
      </c>
      <c r="F7" s="6"/>
      <c r="G7" s="358">
        <v>2015</v>
      </c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</row>
    <row r="8" spans="1:20" x14ac:dyDescent="0.2">
      <c r="A8" s="219" t="s">
        <v>3</v>
      </c>
      <c r="B8" s="125"/>
      <c r="C8" s="6"/>
      <c r="D8" s="125" t="s">
        <v>2</v>
      </c>
      <c r="E8" s="125" t="s">
        <v>100</v>
      </c>
      <c r="F8" s="51" t="s">
        <v>42</v>
      </c>
    </row>
    <row r="9" spans="1:20" x14ac:dyDescent="0.2">
      <c r="A9" s="172" t="s">
        <v>6</v>
      </c>
      <c r="B9" s="126"/>
      <c r="C9" s="126" t="s">
        <v>101</v>
      </c>
      <c r="D9" s="126" t="s">
        <v>5</v>
      </c>
      <c r="E9" s="126" t="s">
        <v>102</v>
      </c>
      <c r="F9" s="126" t="s">
        <v>35</v>
      </c>
      <c r="G9" s="126" t="s">
        <v>44</v>
      </c>
      <c r="H9" s="126" t="s">
        <v>45</v>
      </c>
      <c r="I9" s="126" t="s">
        <v>46</v>
      </c>
      <c r="J9" s="126" t="s">
        <v>47</v>
      </c>
      <c r="K9" s="126" t="s">
        <v>48</v>
      </c>
      <c r="L9" s="126" t="s">
        <v>49</v>
      </c>
      <c r="M9" s="126" t="s">
        <v>50</v>
      </c>
      <c r="N9" s="126" t="s">
        <v>51</v>
      </c>
      <c r="O9" s="126" t="s">
        <v>52</v>
      </c>
      <c r="P9" s="126" t="s">
        <v>53</v>
      </c>
      <c r="Q9" s="126" t="s">
        <v>54</v>
      </c>
      <c r="R9" s="126" t="s">
        <v>55</v>
      </c>
      <c r="S9" s="126" t="s">
        <v>20</v>
      </c>
    </row>
    <row r="10" spans="1:20" x14ac:dyDescent="0.2">
      <c r="A10" s="219"/>
      <c r="B10" s="6"/>
      <c r="C10" s="6"/>
      <c r="D10" s="6"/>
      <c r="E10" s="6"/>
      <c r="F10" s="6"/>
      <c r="G10" s="52" t="s">
        <v>248</v>
      </c>
      <c r="H10" s="52" t="s">
        <v>248</v>
      </c>
      <c r="I10" s="52" t="s">
        <v>248</v>
      </c>
      <c r="J10" s="52" t="s">
        <v>248</v>
      </c>
      <c r="K10" s="52" t="s">
        <v>248</v>
      </c>
      <c r="L10" s="52" t="s">
        <v>248</v>
      </c>
      <c r="M10" s="52" t="s">
        <v>248</v>
      </c>
      <c r="N10" s="52" t="s">
        <v>248</v>
      </c>
      <c r="O10" s="52" t="s">
        <v>248</v>
      </c>
      <c r="P10" s="52" t="s">
        <v>248</v>
      </c>
      <c r="Q10" s="52" t="s">
        <v>248</v>
      </c>
      <c r="R10" s="52" t="s">
        <v>248</v>
      </c>
      <c r="S10" s="52" t="s">
        <v>248</v>
      </c>
    </row>
    <row r="11" spans="1:20" x14ac:dyDescent="0.2"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</row>
    <row r="12" spans="1:20" x14ac:dyDescent="0.2">
      <c r="A12" s="134">
        <v>1</v>
      </c>
      <c r="B12" s="153"/>
      <c r="C12" s="53" t="s">
        <v>621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</row>
    <row r="13" spans="1:20" s="153" customFormat="1" x14ac:dyDescent="0.2">
      <c r="A13" s="134"/>
      <c r="C13" s="54"/>
      <c r="D13" s="54"/>
      <c r="E13" s="54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11"/>
    </row>
    <row r="14" spans="1:20" s="18" customFormat="1" x14ac:dyDescent="0.2">
      <c r="A14" s="134">
        <f>A12+1</f>
        <v>2</v>
      </c>
      <c r="B14" s="153"/>
      <c r="C14" s="53" t="s">
        <v>622</v>
      </c>
      <c r="D14" s="54"/>
      <c r="E14" s="54"/>
      <c r="F14" s="153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53"/>
    </row>
    <row r="15" spans="1:20" s="18" customFormat="1" x14ac:dyDescent="0.2">
      <c r="A15" s="77"/>
      <c r="C15" s="120"/>
      <c r="D15" s="139"/>
      <c r="E15" s="140"/>
      <c r="F15" s="141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20" s="18" customFormat="1" x14ac:dyDescent="0.2">
      <c r="A16" s="134">
        <f>A14+1</f>
        <v>3</v>
      </c>
      <c r="B16" s="153"/>
      <c r="C16" s="308" t="s">
        <v>624</v>
      </c>
      <c r="D16" s="335" t="s">
        <v>625</v>
      </c>
      <c r="E16" s="309" t="s">
        <v>626</v>
      </c>
      <c r="F16" s="153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11"/>
      <c r="T16" s="18" t="s">
        <v>623</v>
      </c>
    </row>
    <row r="17" spans="1:19" s="18" customFormat="1" x14ac:dyDescent="0.2">
      <c r="A17" s="134">
        <f>A16+1</f>
        <v>4</v>
      </c>
      <c r="B17" s="153"/>
      <c r="C17" s="54" t="s">
        <v>578</v>
      </c>
      <c r="D17" s="54"/>
      <c r="E17" s="54"/>
      <c r="F17" s="307">
        <v>12</v>
      </c>
      <c r="G17" s="203">
        <v>50000</v>
      </c>
      <c r="H17" s="203">
        <v>49000</v>
      </c>
      <c r="I17" s="203">
        <v>45000</v>
      </c>
      <c r="J17" s="203">
        <v>42000</v>
      </c>
      <c r="K17" s="203">
        <v>39000</v>
      </c>
      <c r="L17" s="203">
        <v>36000</v>
      </c>
      <c r="M17" s="203">
        <v>36000</v>
      </c>
      <c r="N17" s="203">
        <v>36000</v>
      </c>
      <c r="O17" s="203">
        <v>36000</v>
      </c>
      <c r="P17" s="203">
        <v>39000</v>
      </c>
      <c r="Q17" s="203">
        <v>46000</v>
      </c>
      <c r="R17" s="203">
        <v>48000</v>
      </c>
      <c r="S17" s="11">
        <f>SUM(G17:R17)</f>
        <v>502000</v>
      </c>
    </row>
    <row r="18" spans="1:19" s="18" customFormat="1" x14ac:dyDescent="0.2">
      <c r="A18" s="134">
        <f>A17+1</f>
        <v>5</v>
      </c>
      <c r="B18" s="153"/>
      <c r="C18" s="310" t="s">
        <v>41</v>
      </c>
      <c r="D18" s="54"/>
      <c r="E18" s="54"/>
      <c r="F18" s="68">
        <f>-F17</f>
        <v>-12</v>
      </c>
      <c r="G18" s="68">
        <f t="shared" ref="G18:R18" si="0">-G17</f>
        <v>-50000</v>
      </c>
      <c r="H18" s="68">
        <f t="shared" si="0"/>
        <v>-49000</v>
      </c>
      <c r="I18" s="68">
        <f t="shared" si="0"/>
        <v>-45000</v>
      </c>
      <c r="J18" s="68">
        <f t="shared" si="0"/>
        <v>-42000</v>
      </c>
      <c r="K18" s="68">
        <f t="shared" si="0"/>
        <v>-39000</v>
      </c>
      <c r="L18" s="68">
        <f t="shared" si="0"/>
        <v>-36000</v>
      </c>
      <c r="M18" s="68">
        <f t="shared" si="0"/>
        <v>-36000</v>
      </c>
      <c r="N18" s="68">
        <f t="shared" si="0"/>
        <v>-36000</v>
      </c>
      <c r="O18" s="68">
        <f t="shared" si="0"/>
        <v>-36000</v>
      </c>
      <c r="P18" s="68">
        <f t="shared" si="0"/>
        <v>-39000</v>
      </c>
      <c r="Q18" s="68">
        <f t="shared" si="0"/>
        <v>-46000</v>
      </c>
      <c r="R18" s="68">
        <f t="shared" si="0"/>
        <v>-48000</v>
      </c>
      <c r="S18" s="11">
        <f>SUM(G18:R18)</f>
        <v>-502000</v>
      </c>
    </row>
    <row r="19" spans="1:19" s="18" customFormat="1" ht="12" thickBot="1" x14ac:dyDescent="0.25">
      <c r="A19" s="77"/>
      <c r="C19" s="82"/>
      <c r="D19" s="79"/>
      <c r="E19" s="79"/>
      <c r="F19" s="20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</row>
    <row r="20" spans="1:19" ht="12" thickBot="1" x14ac:dyDescent="0.25">
      <c r="A20" s="224">
        <f>A18+1</f>
        <v>6</v>
      </c>
      <c r="B20" s="311"/>
      <c r="C20" s="336" t="s">
        <v>627</v>
      </c>
      <c r="D20" s="312"/>
      <c r="E20" s="312"/>
      <c r="F20" s="180">
        <f>F18</f>
        <v>-12</v>
      </c>
      <c r="G20" s="180">
        <f t="shared" ref="G20:R20" si="1">G18</f>
        <v>-50000</v>
      </c>
      <c r="H20" s="180">
        <f t="shared" si="1"/>
        <v>-49000</v>
      </c>
      <c r="I20" s="180">
        <f t="shared" si="1"/>
        <v>-45000</v>
      </c>
      <c r="J20" s="180">
        <f t="shared" si="1"/>
        <v>-42000</v>
      </c>
      <c r="K20" s="180">
        <f t="shared" si="1"/>
        <v>-39000</v>
      </c>
      <c r="L20" s="180">
        <f t="shared" si="1"/>
        <v>-36000</v>
      </c>
      <c r="M20" s="180">
        <f t="shared" si="1"/>
        <v>-36000</v>
      </c>
      <c r="N20" s="180">
        <f t="shared" si="1"/>
        <v>-36000</v>
      </c>
      <c r="O20" s="180">
        <f t="shared" si="1"/>
        <v>-36000</v>
      </c>
      <c r="P20" s="180">
        <f t="shared" si="1"/>
        <v>-39000</v>
      </c>
      <c r="Q20" s="180">
        <f t="shared" si="1"/>
        <v>-46000</v>
      </c>
      <c r="R20" s="180">
        <f t="shared" si="1"/>
        <v>-48000</v>
      </c>
      <c r="S20" s="313">
        <f>S18</f>
        <v>-502000</v>
      </c>
    </row>
    <row r="21" spans="1:19" x14ac:dyDescent="0.2">
      <c r="S21" s="31"/>
    </row>
  </sheetData>
  <mergeCells count="4">
    <mergeCell ref="G7:R7"/>
    <mergeCell ref="A2:R2"/>
    <mergeCell ref="A3:R3"/>
    <mergeCell ref="A4:R4"/>
  </mergeCells>
  <phoneticPr fontId="0" type="noConversion"/>
  <printOptions horizontalCentered="1"/>
  <pageMargins left="0" right="0" top="0.75" bottom="0.25" header="0.5" footer="0.5"/>
  <pageSetup scale="80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1:G35"/>
  <sheetViews>
    <sheetView zoomScaleNormal="100" workbookViewId="0">
      <selection activeCell="D32" sqref="D32"/>
    </sheetView>
  </sheetViews>
  <sheetFormatPr defaultRowHeight="10.5" x14ac:dyDescent="0.15"/>
  <cols>
    <col min="1" max="1" width="6" customWidth="1"/>
    <col min="2" max="2" width="64.59765625" customWidth="1"/>
    <col min="3" max="3" width="21" customWidth="1"/>
    <col min="4" max="4" width="26.59765625" style="192" customWidth="1"/>
    <col min="255" max="255" width="6" customWidth="1"/>
    <col min="256" max="256" width="4" customWidth="1"/>
    <col min="257" max="257" width="6" customWidth="1"/>
    <col min="258" max="258" width="36" customWidth="1"/>
    <col min="259" max="259" width="21" customWidth="1"/>
    <col min="260" max="260" width="26.59765625" customWidth="1"/>
    <col min="511" max="511" width="6" customWidth="1"/>
    <col min="512" max="512" width="4" customWidth="1"/>
    <col min="513" max="513" width="6" customWidth="1"/>
    <col min="514" max="514" width="36" customWidth="1"/>
    <col min="515" max="515" width="21" customWidth="1"/>
    <col min="516" max="516" width="26.59765625" customWidth="1"/>
    <col min="767" max="767" width="6" customWidth="1"/>
    <col min="768" max="768" width="4" customWidth="1"/>
    <col min="769" max="769" width="6" customWidth="1"/>
    <col min="770" max="770" width="36" customWidth="1"/>
    <col min="771" max="771" width="21" customWidth="1"/>
    <col min="772" max="772" width="26.59765625" customWidth="1"/>
    <col min="1023" max="1023" width="6" customWidth="1"/>
    <col min="1024" max="1024" width="4" customWidth="1"/>
    <col min="1025" max="1025" width="6" customWidth="1"/>
    <col min="1026" max="1026" width="36" customWidth="1"/>
    <col min="1027" max="1027" width="21" customWidth="1"/>
    <col min="1028" max="1028" width="26.59765625" customWidth="1"/>
    <col min="1279" max="1279" width="6" customWidth="1"/>
    <col min="1280" max="1280" width="4" customWidth="1"/>
    <col min="1281" max="1281" width="6" customWidth="1"/>
    <col min="1282" max="1282" width="36" customWidth="1"/>
    <col min="1283" max="1283" width="21" customWidth="1"/>
    <col min="1284" max="1284" width="26.59765625" customWidth="1"/>
    <col min="1535" max="1535" width="6" customWidth="1"/>
    <col min="1536" max="1536" width="4" customWidth="1"/>
    <col min="1537" max="1537" width="6" customWidth="1"/>
    <col min="1538" max="1538" width="36" customWidth="1"/>
    <col min="1539" max="1539" width="21" customWidth="1"/>
    <col min="1540" max="1540" width="26.59765625" customWidth="1"/>
    <col min="1791" max="1791" width="6" customWidth="1"/>
    <col min="1792" max="1792" width="4" customWidth="1"/>
    <col min="1793" max="1793" width="6" customWidth="1"/>
    <col min="1794" max="1794" width="36" customWidth="1"/>
    <col min="1795" max="1795" width="21" customWidth="1"/>
    <col min="1796" max="1796" width="26.59765625" customWidth="1"/>
    <col min="2047" max="2047" width="6" customWidth="1"/>
    <col min="2048" max="2048" width="4" customWidth="1"/>
    <col min="2049" max="2049" width="6" customWidth="1"/>
    <col min="2050" max="2050" width="36" customWidth="1"/>
    <col min="2051" max="2051" width="21" customWidth="1"/>
    <col min="2052" max="2052" width="26.59765625" customWidth="1"/>
    <col min="2303" max="2303" width="6" customWidth="1"/>
    <col min="2304" max="2304" width="4" customWidth="1"/>
    <col min="2305" max="2305" width="6" customWidth="1"/>
    <col min="2306" max="2306" width="36" customWidth="1"/>
    <col min="2307" max="2307" width="21" customWidth="1"/>
    <col min="2308" max="2308" width="26.59765625" customWidth="1"/>
    <col min="2559" max="2559" width="6" customWidth="1"/>
    <col min="2560" max="2560" width="4" customWidth="1"/>
    <col min="2561" max="2561" width="6" customWidth="1"/>
    <col min="2562" max="2562" width="36" customWidth="1"/>
    <col min="2563" max="2563" width="21" customWidth="1"/>
    <col min="2564" max="2564" width="26.59765625" customWidth="1"/>
    <col min="2815" max="2815" width="6" customWidth="1"/>
    <col min="2816" max="2816" width="4" customWidth="1"/>
    <col min="2817" max="2817" width="6" customWidth="1"/>
    <col min="2818" max="2818" width="36" customWidth="1"/>
    <col min="2819" max="2819" width="21" customWidth="1"/>
    <col min="2820" max="2820" width="26.59765625" customWidth="1"/>
    <col min="3071" max="3071" width="6" customWidth="1"/>
    <col min="3072" max="3072" width="4" customWidth="1"/>
    <col min="3073" max="3073" width="6" customWidth="1"/>
    <col min="3074" max="3074" width="36" customWidth="1"/>
    <col min="3075" max="3075" width="21" customWidth="1"/>
    <col min="3076" max="3076" width="26.59765625" customWidth="1"/>
    <col min="3327" max="3327" width="6" customWidth="1"/>
    <col min="3328" max="3328" width="4" customWidth="1"/>
    <col min="3329" max="3329" width="6" customWidth="1"/>
    <col min="3330" max="3330" width="36" customWidth="1"/>
    <col min="3331" max="3331" width="21" customWidth="1"/>
    <col min="3332" max="3332" width="26.59765625" customWidth="1"/>
    <col min="3583" max="3583" width="6" customWidth="1"/>
    <col min="3584" max="3584" width="4" customWidth="1"/>
    <col min="3585" max="3585" width="6" customWidth="1"/>
    <col min="3586" max="3586" width="36" customWidth="1"/>
    <col min="3587" max="3587" width="21" customWidth="1"/>
    <col min="3588" max="3588" width="26.59765625" customWidth="1"/>
    <col min="3839" max="3839" width="6" customWidth="1"/>
    <col min="3840" max="3840" width="4" customWidth="1"/>
    <col min="3841" max="3841" width="6" customWidth="1"/>
    <col min="3842" max="3842" width="36" customWidth="1"/>
    <col min="3843" max="3843" width="21" customWidth="1"/>
    <col min="3844" max="3844" width="26.59765625" customWidth="1"/>
    <col min="4095" max="4095" width="6" customWidth="1"/>
    <col min="4096" max="4096" width="4" customWidth="1"/>
    <col min="4097" max="4097" width="6" customWidth="1"/>
    <col min="4098" max="4098" width="36" customWidth="1"/>
    <col min="4099" max="4099" width="21" customWidth="1"/>
    <col min="4100" max="4100" width="26.59765625" customWidth="1"/>
    <col min="4351" max="4351" width="6" customWidth="1"/>
    <col min="4352" max="4352" width="4" customWidth="1"/>
    <col min="4353" max="4353" width="6" customWidth="1"/>
    <col min="4354" max="4354" width="36" customWidth="1"/>
    <col min="4355" max="4355" width="21" customWidth="1"/>
    <col min="4356" max="4356" width="26.59765625" customWidth="1"/>
    <col min="4607" max="4607" width="6" customWidth="1"/>
    <col min="4608" max="4608" width="4" customWidth="1"/>
    <col min="4609" max="4609" width="6" customWidth="1"/>
    <col min="4610" max="4610" width="36" customWidth="1"/>
    <col min="4611" max="4611" width="21" customWidth="1"/>
    <col min="4612" max="4612" width="26.59765625" customWidth="1"/>
    <col min="4863" max="4863" width="6" customWidth="1"/>
    <col min="4864" max="4864" width="4" customWidth="1"/>
    <col min="4865" max="4865" width="6" customWidth="1"/>
    <col min="4866" max="4866" width="36" customWidth="1"/>
    <col min="4867" max="4867" width="21" customWidth="1"/>
    <col min="4868" max="4868" width="26.59765625" customWidth="1"/>
    <col min="5119" max="5119" width="6" customWidth="1"/>
    <col min="5120" max="5120" width="4" customWidth="1"/>
    <col min="5121" max="5121" width="6" customWidth="1"/>
    <col min="5122" max="5122" width="36" customWidth="1"/>
    <col min="5123" max="5123" width="21" customWidth="1"/>
    <col min="5124" max="5124" width="26.59765625" customWidth="1"/>
    <col min="5375" max="5375" width="6" customWidth="1"/>
    <col min="5376" max="5376" width="4" customWidth="1"/>
    <col min="5377" max="5377" width="6" customWidth="1"/>
    <col min="5378" max="5378" width="36" customWidth="1"/>
    <col min="5379" max="5379" width="21" customWidth="1"/>
    <col min="5380" max="5380" width="26.59765625" customWidth="1"/>
    <col min="5631" max="5631" width="6" customWidth="1"/>
    <col min="5632" max="5632" width="4" customWidth="1"/>
    <col min="5633" max="5633" width="6" customWidth="1"/>
    <col min="5634" max="5634" width="36" customWidth="1"/>
    <col min="5635" max="5635" width="21" customWidth="1"/>
    <col min="5636" max="5636" width="26.59765625" customWidth="1"/>
    <col min="5887" max="5887" width="6" customWidth="1"/>
    <col min="5888" max="5888" width="4" customWidth="1"/>
    <col min="5889" max="5889" width="6" customWidth="1"/>
    <col min="5890" max="5890" width="36" customWidth="1"/>
    <col min="5891" max="5891" width="21" customWidth="1"/>
    <col min="5892" max="5892" width="26.59765625" customWidth="1"/>
    <col min="6143" max="6143" width="6" customWidth="1"/>
    <col min="6144" max="6144" width="4" customWidth="1"/>
    <col min="6145" max="6145" width="6" customWidth="1"/>
    <col min="6146" max="6146" width="36" customWidth="1"/>
    <col min="6147" max="6147" width="21" customWidth="1"/>
    <col min="6148" max="6148" width="26.59765625" customWidth="1"/>
    <col min="6399" max="6399" width="6" customWidth="1"/>
    <col min="6400" max="6400" width="4" customWidth="1"/>
    <col min="6401" max="6401" width="6" customWidth="1"/>
    <col min="6402" max="6402" width="36" customWidth="1"/>
    <col min="6403" max="6403" width="21" customWidth="1"/>
    <col min="6404" max="6404" width="26.59765625" customWidth="1"/>
    <col min="6655" max="6655" width="6" customWidth="1"/>
    <col min="6656" max="6656" width="4" customWidth="1"/>
    <col min="6657" max="6657" width="6" customWidth="1"/>
    <col min="6658" max="6658" width="36" customWidth="1"/>
    <col min="6659" max="6659" width="21" customWidth="1"/>
    <col min="6660" max="6660" width="26.59765625" customWidth="1"/>
    <col min="6911" max="6911" width="6" customWidth="1"/>
    <col min="6912" max="6912" width="4" customWidth="1"/>
    <col min="6913" max="6913" width="6" customWidth="1"/>
    <col min="6914" max="6914" width="36" customWidth="1"/>
    <col min="6915" max="6915" width="21" customWidth="1"/>
    <col min="6916" max="6916" width="26.59765625" customWidth="1"/>
    <col min="7167" max="7167" width="6" customWidth="1"/>
    <col min="7168" max="7168" width="4" customWidth="1"/>
    <col min="7169" max="7169" width="6" customWidth="1"/>
    <col min="7170" max="7170" width="36" customWidth="1"/>
    <col min="7171" max="7171" width="21" customWidth="1"/>
    <col min="7172" max="7172" width="26.59765625" customWidth="1"/>
    <col min="7423" max="7423" width="6" customWidth="1"/>
    <col min="7424" max="7424" width="4" customWidth="1"/>
    <col min="7425" max="7425" width="6" customWidth="1"/>
    <col min="7426" max="7426" width="36" customWidth="1"/>
    <col min="7427" max="7427" width="21" customWidth="1"/>
    <col min="7428" max="7428" width="26.59765625" customWidth="1"/>
    <col min="7679" max="7679" width="6" customWidth="1"/>
    <col min="7680" max="7680" width="4" customWidth="1"/>
    <col min="7681" max="7681" width="6" customWidth="1"/>
    <col min="7682" max="7682" width="36" customWidth="1"/>
    <col min="7683" max="7683" width="21" customWidth="1"/>
    <col min="7684" max="7684" width="26.59765625" customWidth="1"/>
    <col min="7935" max="7935" width="6" customWidth="1"/>
    <col min="7936" max="7936" width="4" customWidth="1"/>
    <col min="7937" max="7937" width="6" customWidth="1"/>
    <col min="7938" max="7938" width="36" customWidth="1"/>
    <col min="7939" max="7939" width="21" customWidth="1"/>
    <col min="7940" max="7940" width="26.59765625" customWidth="1"/>
    <col min="8191" max="8191" width="6" customWidth="1"/>
    <col min="8192" max="8192" width="4" customWidth="1"/>
    <col min="8193" max="8193" width="6" customWidth="1"/>
    <col min="8194" max="8194" width="36" customWidth="1"/>
    <col min="8195" max="8195" width="21" customWidth="1"/>
    <col min="8196" max="8196" width="26.59765625" customWidth="1"/>
    <col min="8447" max="8447" width="6" customWidth="1"/>
    <col min="8448" max="8448" width="4" customWidth="1"/>
    <col min="8449" max="8449" width="6" customWidth="1"/>
    <col min="8450" max="8450" width="36" customWidth="1"/>
    <col min="8451" max="8451" width="21" customWidth="1"/>
    <col min="8452" max="8452" width="26.59765625" customWidth="1"/>
    <col min="8703" max="8703" width="6" customWidth="1"/>
    <col min="8704" max="8704" width="4" customWidth="1"/>
    <col min="8705" max="8705" width="6" customWidth="1"/>
    <col min="8706" max="8706" width="36" customWidth="1"/>
    <col min="8707" max="8707" width="21" customWidth="1"/>
    <col min="8708" max="8708" width="26.59765625" customWidth="1"/>
    <col min="8959" max="8959" width="6" customWidth="1"/>
    <col min="8960" max="8960" width="4" customWidth="1"/>
    <col min="8961" max="8961" width="6" customWidth="1"/>
    <col min="8962" max="8962" width="36" customWidth="1"/>
    <col min="8963" max="8963" width="21" customWidth="1"/>
    <col min="8964" max="8964" width="26.59765625" customWidth="1"/>
    <col min="9215" max="9215" width="6" customWidth="1"/>
    <col min="9216" max="9216" width="4" customWidth="1"/>
    <col min="9217" max="9217" width="6" customWidth="1"/>
    <col min="9218" max="9218" width="36" customWidth="1"/>
    <col min="9219" max="9219" width="21" customWidth="1"/>
    <col min="9220" max="9220" width="26.59765625" customWidth="1"/>
    <col min="9471" max="9471" width="6" customWidth="1"/>
    <col min="9472" max="9472" width="4" customWidth="1"/>
    <col min="9473" max="9473" width="6" customWidth="1"/>
    <col min="9474" max="9474" width="36" customWidth="1"/>
    <col min="9475" max="9475" width="21" customWidth="1"/>
    <col min="9476" max="9476" width="26.59765625" customWidth="1"/>
    <col min="9727" max="9727" width="6" customWidth="1"/>
    <col min="9728" max="9728" width="4" customWidth="1"/>
    <col min="9729" max="9729" width="6" customWidth="1"/>
    <col min="9730" max="9730" width="36" customWidth="1"/>
    <col min="9731" max="9731" width="21" customWidth="1"/>
    <col min="9732" max="9732" width="26.59765625" customWidth="1"/>
    <col min="9983" max="9983" width="6" customWidth="1"/>
    <col min="9984" max="9984" width="4" customWidth="1"/>
    <col min="9985" max="9985" width="6" customWidth="1"/>
    <col min="9986" max="9986" width="36" customWidth="1"/>
    <col min="9987" max="9987" width="21" customWidth="1"/>
    <col min="9988" max="9988" width="26.59765625" customWidth="1"/>
    <col min="10239" max="10239" width="6" customWidth="1"/>
    <col min="10240" max="10240" width="4" customWidth="1"/>
    <col min="10241" max="10241" width="6" customWidth="1"/>
    <col min="10242" max="10242" width="36" customWidth="1"/>
    <col min="10243" max="10243" width="21" customWidth="1"/>
    <col min="10244" max="10244" width="26.59765625" customWidth="1"/>
    <col min="10495" max="10495" width="6" customWidth="1"/>
    <col min="10496" max="10496" width="4" customWidth="1"/>
    <col min="10497" max="10497" width="6" customWidth="1"/>
    <col min="10498" max="10498" width="36" customWidth="1"/>
    <col min="10499" max="10499" width="21" customWidth="1"/>
    <col min="10500" max="10500" width="26.59765625" customWidth="1"/>
    <col min="10751" max="10751" width="6" customWidth="1"/>
    <col min="10752" max="10752" width="4" customWidth="1"/>
    <col min="10753" max="10753" width="6" customWidth="1"/>
    <col min="10754" max="10754" width="36" customWidth="1"/>
    <col min="10755" max="10755" width="21" customWidth="1"/>
    <col min="10756" max="10756" width="26.59765625" customWidth="1"/>
    <col min="11007" max="11007" width="6" customWidth="1"/>
    <col min="11008" max="11008" width="4" customWidth="1"/>
    <col min="11009" max="11009" width="6" customWidth="1"/>
    <col min="11010" max="11010" width="36" customWidth="1"/>
    <col min="11011" max="11011" width="21" customWidth="1"/>
    <col min="11012" max="11012" width="26.59765625" customWidth="1"/>
    <col min="11263" max="11263" width="6" customWidth="1"/>
    <col min="11264" max="11264" width="4" customWidth="1"/>
    <col min="11265" max="11265" width="6" customWidth="1"/>
    <col min="11266" max="11266" width="36" customWidth="1"/>
    <col min="11267" max="11267" width="21" customWidth="1"/>
    <col min="11268" max="11268" width="26.59765625" customWidth="1"/>
    <col min="11519" max="11519" width="6" customWidth="1"/>
    <col min="11520" max="11520" width="4" customWidth="1"/>
    <col min="11521" max="11521" width="6" customWidth="1"/>
    <col min="11522" max="11522" width="36" customWidth="1"/>
    <col min="11523" max="11523" width="21" customWidth="1"/>
    <col min="11524" max="11524" width="26.59765625" customWidth="1"/>
    <col min="11775" max="11775" width="6" customWidth="1"/>
    <col min="11776" max="11776" width="4" customWidth="1"/>
    <col min="11777" max="11777" width="6" customWidth="1"/>
    <col min="11778" max="11778" width="36" customWidth="1"/>
    <col min="11779" max="11779" width="21" customWidth="1"/>
    <col min="11780" max="11780" width="26.59765625" customWidth="1"/>
    <col min="12031" max="12031" width="6" customWidth="1"/>
    <col min="12032" max="12032" width="4" customWidth="1"/>
    <col min="12033" max="12033" width="6" customWidth="1"/>
    <col min="12034" max="12034" width="36" customWidth="1"/>
    <col min="12035" max="12035" width="21" customWidth="1"/>
    <col min="12036" max="12036" width="26.59765625" customWidth="1"/>
    <col min="12287" max="12287" width="6" customWidth="1"/>
    <col min="12288" max="12288" width="4" customWidth="1"/>
    <col min="12289" max="12289" width="6" customWidth="1"/>
    <col min="12290" max="12290" width="36" customWidth="1"/>
    <col min="12291" max="12291" width="21" customWidth="1"/>
    <col min="12292" max="12292" width="26.59765625" customWidth="1"/>
    <col min="12543" max="12543" width="6" customWidth="1"/>
    <col min="12544" max="12544" width="4" customWidth="1"/>
    <col min="12545" max="12545" width="6" customWidth="1"/>
    <col min="12546" max="12546" width="36" customWidth="1"/>
    <col min="12547" max="12547" width="21" customWidth="1"/>
    <col min="12548" max="12548" width="26.59765625" customWidth="1"/>
    <col min="12799" max="12799" width="6" customWidth="1"/>
    <col min="12800" max="12800" width="4" customWidth="1"/>
    <col min="12801" max="12801" width="6" customWidth="1"/>
    <col min="12802" max="12802" width="36" customWidth="1"/>
    <col min="12803" max="12803" width="21" customWidth="1"/>
    <col min="12804" max="12804" width="26.59765625" customWidth="1"/>
    <col min="13055" max="13055" width="6" customWidth="1"/>
    <col min="13056" max="13056" width="4" customWidth="1"/>
    <col min="13057" max="13057" width="6" customWidth="1"/>
    <col min="13058" max="13058" width="36" customWidth="1"/>
    <col min="13059" max="13059" width="21" customWidth="1"/>
    <col min="13060" max="13060" width="26.59765625" customWidth="1"/>
    <col min="13311" max="13311" width="6" customWidth="1"/>
    <col min="13312" max="13312" width="4" customWidth="1"/>
    <col min="13313" max="13313" width="6" customWidth="1"/>
    <col min="13314" max="13314" width="36" customWidth="1"/>
    <col min="13315" max="13315" width="21" customWidth="1"/>
    <col min="13316" max="13316" width="26.59765625" customWidth="1"/>
    <col min="13567" max="13567" width="6" customWidth="1"/>
    <col min="13568" max="13568" width="4" customWidth="1"/>
    <col min="13569" max="13569" width="6" customWidth="1"/>
    <col min="13570" max="13570" width="36" customWidth="1"/>
    <col min="13571" max="13571" width="21" customWidth="1"/>
    <col min="13572" max="13572" width="26.59765625" customWidth="1"/>
    <col min="13823" max="13823" width="6" customWidth="1"/>
    <col min="13824" max="13824" width="4" customWidth="1"/>
    <col min="13825" max="13825" width="6" customWidth="1"/>
    <col min="13826" max="13826" width="36" customWidth="1"/>
    <col min="13827" max="13827" width="21" customWidth="1"/>
    <col min="13828" max="13828" width="26.59765625" customWidth="1"/>
    <col min="14079" max="14079" width="6" customWidth="1"/>
    <col min="14080" max="14080" width="4" customWidth="1"/>
    <col min="14081" max="14081" width="6" customWidth="1"/>
    <col min="14082" max="14082" width="36" customWidth="1"/>
    <col min="14083" max="14083" width="21" customWidth="1"/>
    <col min="14084" max="14084" width="26.59765625" customWidth="1"/>
    <col min="14335" max="14335" width="6" customWidth="1"/>
    <col min="14336" max="14336" width="4" customWidth="1"/>
    <col min="14337" max="14337" width="6" customWidth="1"/>
    <col min="14338" max="14338" width="36" customWidth="1"/>
    <col min="14339" max="14339" width="21" customWidth="1"/>
    <col min="14340" max="14340" width="26.59765625" customWidth="1"/>
    <col min="14591" max="14591" width="6" customWidth="1"/>
    <col min="14592" max="14592" width="4" customWidth="1"/>
    <col min="14593" max="14593" width="6" customWidth="1"/>
    <col min="14594" max="14594" width="36" customWidth="1"/>
    <col min="14595" max="14595" width="21" customWidth="1"/>
    <col min="14596" max="14596" width="26.59765625" customWidth="1"/>
    <col min="14847" max="14847" width="6" customWidth="1"/>
    <col min="14848" max="14848" width="4" customWidth="1"/>
    <col min="14849" max="14849" width="6" customWidth="1"/>
    <col min="14850" max="14850" width="36" customWidth="1"/>
    <col min="14851" max="14851" width="21" customWidth="1"/>
    <col min="14852" max="14852" width="26.59765625" customWidth="1"/>
    <col min="15103" max="15103" width="6" customWidth="1"/>
    <col min="15104" max="15104" width="4" customWidth="1"/>
    <col min="15105" max="15105" width="6" customWidth="1"/>
    <col min="15106" max="15106" width="36" customWidth="1"/>
    <col min="15107" max="15107" width="21" customWidth="1"/>
    <col min="15108" max="15108" width="26.59765625" customWidth="1"/>
    <col min="15359" max="15359" width="6" customWidth="1"/>
    <col min="15360" max="15360" width="4" customWidth="1"/>
    <col min="15361" max="15361" width="6" customWidth="1"/>
    <col min="15362" max="15362" width="36" customWidth="1"/>
    <col min="15363" max="15363" width="21" customWidth="1"/>
    <col min="15364" max="15364" width="26.59765625" customWidth="1"/>
    <col min="15615" max="15615" width="6" customWidth="1"/>
    <col min="15616" max="15616" width="4" customWidth="1"/>
    <col min="15617" max="15617" width="6" customWidth="1"/>
    <col min="15618" max="15618" width="36" customWidth="1"/>
    <col min="15619" max="15619" width="21" customWidth="1"/>
    <col min="15620" max="15620" width="26.59765625" customWidth="1"/>
    <col min="15871" max="15871" width="6" customWidth="1"/>
    <col min="15872" max="15872" width="4" customWidth="1"/>
    <col min="15873" max="15873" width="6" customWidth="1"/>
    <col min="15874" max="15874" width="36" customWidth="1"/>
    <col min="15875" max="15875" width="21" customWidth="1"/>
    <col min="15876" max="15876" width="26.59765625" customWidth="1"/>
    <col min="16127" max="16127" width="6" customWidth="1"/>
    <col min="16128" max="16128" width="4" customWidth="1"/>
    <col min="16129" max="16129" width="6" customWidth="1"/>
    <col min="16130" max="16130" width="36" customWidth="1"/>
    <col min="16131" max="16131" width="21" customWidth="1"/>
    <col min="16132" max="16132" width="26.59765625" customWidth="1"/>
  </cols>
  <sheetData>
    <row r="1" spans="1:6" ht="11.25" x14ac:dyDescent="0.2">
      <c r="A1" s="3"/>
      <c r="B1" s="3"/>
      <c r="C1" s="2" t="str">
        <f>adjno</f>
        <v>Exhibit No. 103</v>
      </c>
    </row>
    <row r="2" spans="1:6" ht="11.25" x14ac:dyDescent="0.2">
      <c r="A2" s="353" t="str">
        <f>coname</f>
        <v>Columbia Gas of Pennsylvania, Inc.</v>
      </c>
      <c r="B2" s="353"/>
      <c r="C2" s="137" t="s">
        <v>196</v>
      </c>
    </row>
    <row r="3" spans="1:6" ht="11.25" x14ac:dyDescent="0.2">
      <c r="A3" s="353" t="s">
        <v>530</v>
      </c>
      <c r="B3" s="353"/>
      <c r="C3" s="2" t="s">
        <v>290</v>
      </c>
    </row>
    <row r="4" spans="1:6" ht="11.25" x14ac:dyDescent="0.2">
      <c r="A4" s="353" t="str">
        <f>'Sch1'!A4:F4</f>
        <v>For the 12 Months Ended December 31, 2019</v>
      </c>
      <c r="B4" s="353"/>
      <c r="C4" s="4" t="str">
        <f>Witness</f>
        <v>Witness: D. Joe Mays</v>
      </c>
    </row>
    <row r="5" spans="1:6" ht="11.25" x14ac:dyDescent="0.2">
      <c r="A5" s="131"/>
      <c r="B5" s="131"/>
      <c r="C5" s="3"/>
      <c r="D5" s="155"/>
    </row>
    <row r="6" spans="1:6" ht="11.25" x14ac:dyDescent="0.2">
      <c r="A6" s="131" t="s">
        <v>3</v>
      </c>
      <c r="B6" s="131"/>
      <c r="C6" s="131"/>
      <c r="D6" s="155"/>
    </row>
    <row r="7" spans="1:6" ht="11.25" x14ac:dyDescent="0.2">
      <c r="A7" s="132" t="s">
        <v>6</v>
      </c>
      <c r="B7" s="3"/>
      <c r="C7" s="132" t="s">
        <v>258</v>
      </c>
      <c r="D7" s="155"/>
    </row>
    <row r="8" spans="1:6" ht="11.25" x14ac:dyDescent="0.2">
      <c r="A8" s="6"/>
      <c r="B8" s="6"/>
      <c r="C8" s="131" t="s">
        <v>33</v>
      </c>
      <c r="D8" s="155"/>
    </row>
    <row r="9" spans="1:6" ht="11.25" x14ac:dyDescent="0.2">
      <c r="A9" s="134"/>
      <c r="B9" s="3"/>
      <c r="C9" s="86"/>
      <c r="D9" s="155"/>
    </row>
    <row r="10" spans="1:6" ht="11.25" x14ac:dyDescent="0.2">
      <c r="A10" s="77"/>
      <c r="B10" s="155"/>
      <c r="C10" s="20"/>
      <c r="D10" s="155"/>
    </row>
    <row r="11" spans="1:6" ht="11.25" x14ac:dyDescent="0.2">
      <c r="A11" s="77">
        <v>1</v>
      </c>
      <c r="B11" s="19" t="s">
        <v>377</v>
      </c>
      <c r="C11" s="20"/>
      <c r="D11" s="155"/>
    </row>
    <row r="12" spans="1:6" ht="11.25" x14ac:dyDescent="0.2">
      <c r="A12" s="77"/>
      <c r="B12" s="155"/>
      <c r="C12" s="20"/>
      <c r="D12" s="155"/>
    </row>
    <row r="13" spans="1:6" ht="11.25" x14ac:dyDescent="0.2">
      <c r="A13" s="77">
        <f>A11+1</f>
        <v>2</v>
      </c>
      <c r="B13" s="155" t="s">
        <v>24</v>
      </c>
      <c r="C13" s="152">
        <v>113274221</v>
      </c>
      <c r="D13" s="155"/>
      <c r="F13" s="143"/>
    </row>
    <row r="14" spans="1:6" ht="11.25" x14ac:dyDescent="0.2">
      <c r="A14" s="77"/>
      <c r="B14" s="155"/>
      <c r="C14" s="152"/>
      <c r="D14" s="155"/>
    </row>
    <row r="15" spans="1:6" ht="11.25" x14ac:dyDescent="0.2">
      <c r="A15" s="77">
        <f>A13+1</f>
        <v>3</v>
      </c>
      <c r="B15" s="155" t="s">
        <v>378</v>
      </c>
      <c r="C15" s="344">
        <v>39082365</v>
      </c>
      <c r="D15" s="155"/>
    </row>
    <row r="16" spans="1:6" ht="11.25" x14ac:dyDescent="0.2">
      <c r="A16" s="77"/>
      <c r="B16" s="155"/>
      <c r="C16" s="152"/>
      <c r="D16" s="155"/>
    </row>
    <row r="17" spans="1:7" ht="11.25" x14ac:dyDescent="0.2">
      <c r="A17" s="77">
        <f>A15+1</f>
        <v>4</v>
      </c>
      <c r="B17" s="155" t="s">
        <v>190</v>
      </c>
      <c r="C17" s="20">
        <f>SUM(C13:C16)</f>
        <v>152356586</v>
      </c>
      <c r="D17" s="155"/>
    </row>
    <row r="18" spans="1:7" ht="11.25" x14ac:dyDescent="0.2">
      <c r="A18" s="77"/>
      <c r="B18" s="155"/>
      <c r="C18" s="193"/>
      <c r="D18" s="155"/>
    </row>
    <row r="19" spans="1:7" ht="11.25" x14ac:dyDescent="0.2">
      <c r="A19" s="77"/>
      <c r="B19" s="155"/>
      <c r="C19" s="20"/>
      <c r="D19" s="155"/>
    </row>
    <row r="20" spans="1:7" ht="11.25" x14ac:dyDescent="0.2">
      <c r="A20" s="77"/>
      <c r="B20" s="155"/>
      <c r="C20" s="155"/>
      <c r="D20" s="155"/>
    </row>
    <row r="21" spans="1:7" ht="11.25" x14ac:dyDescent="0.2">
      <c r="A21" s="77">
        <f>A17+1</f>
        <v>5</v>
      </c>
      <c r="B21" s="19" t="s">
        <v>382</v>
      </c>
      <c r="C21" s="155"/>
      <c r="D21" s="155"/>
    </row>
    <row r="22" spans="1:7" ht="11.25" x14ac:dyDescent="0.2">
      <c r="A22" s="77"/>
      <c r="B22" s="155"/>
      <c r="C22" s="155"/>
      <c r="D22" s="155"/>
    </row>
    <row r="23" spans="1:7" ht="11.25" x14ac:dyDescent="0.2">
      <c r="A23" s="77">
        <f>A21+1</f>
        <v>6</v>
      </c>
      <c r="B23" s="155" t="s">
        <v>380</v>
      </c>
      <c r="C23" s="152">
        <v>6387054</v>
      </c>
      <c r="D23" s="155"/>
    </row>
    <row r="24" spans="1:7" ht="11.25" x14ac:dyDescent="0.2">
      <c r="A24" s="77"/>
      <c r="B24" s="155"/>
      <c r="C24" s="152"/>
      <c r="D24" s="155"/>
      <c r="G24" s="135"/>
    </row>
    <row r="25" spans="1:7" ht="11.25" x14ac:dyDescent="0.2">
      <c r="A25" s="77">
        <f>A23+1</f>
        <v>7</v>
      </c>
      <c r="B25" s="155" t="s">
        <v>379</v>
      </c>
      <c r="C25" s="152">
        <v>2159903</v>
      </c>
      <c r="D25" s="155"/>
    </row>
    <row r="26" spans="1:7" ht="11.25" x14ac:dyDescent="0.2">
      <c r="A26" s="77"/>
      <c r="B26" s="155"/>
      <c r="C26" s="152"/>
      <c r="D26" s="155"/>
    </row>
    <row r="27" spans="1:7" ht="11.25" x14ac:dyDescent="0.2">
      <c r="A27" s="77">
        <f>A25+1</f>
        <v>8</v>
      </c>
      <c r="B27" s="155" t="s">
        <v>381</v>
      </c>
      <c r="C27" s="344">
        <v>1010397</v>
      </c>
      <c r="D27" s="155"/>
    </row>
    <row r="28" spans="1:7" ht="11.25" x14ac:dyDescent="0.2">
      <c r="A28" s="77"/>
      <c r="B28" s="155"/>
      <c r="C28" s="152"/>
      <c r="D28" s="155"/>
    </row>
    <row r="29" spans="1:7" ht="11.25" x14ac:dyDescent="0.2">
      <c r="A29" s="77">
        <f>A27+1</f>
        <v>9</v>
      </c>
      <c r="B29" s="155" t="s">
        <v>383</v>
      </c>
      <c r="C29" s="20">
        <f>SUM(C23:C28)</f>
        <v>9557354</v>
      </c>
      <c r="D29" s="155"/>
    </row>
    <row r="30" spans="1:7" ht="11.25" x14ac:dyDescent="0.2">
      <c r="A30" s="77"/>
      <c r="B30" s="155"/>
      <c r="C30" s="20"/>
      <c r="D30" s="155"/>
    </row>
    <row r="31" spans="1:7" ht="11.25" x14ac:dyDescent="0.2">
      <c r="A31" s="77"/>
      <c r="B31" s="155"/>
      <c r="C31" s="20"/>
      <c r="D31" s="155"/>
    </row>
    <row r="32" spans="1:7" ht="11.25" x14ac:dyDescent="0.2">
      <c r="A32" s="77"/>
      <c r="B32" s="155"/>
      <c r="C32" s="20"/>
      <c r="D32" s="155"/>
    </row>
    <row r="33" spans="1:4" ht="11.25" x14ac:dyDescent="0.2">
      <c r="A33" s="77">
        <f>A29+1</f>
        <v>10</v>
      </c>
      <c r="B33" s="19" t="s">
        <v>259</v>
      </c>
      <c r="C33" s="20">
        <f>C17+C29</f>
        <v>161913940</v>
      </c>
      <c r="D33" s="155"/>
    </row>
    <row r="34" spans="1:4" ht="11.25" x14ac:dyDescent="0.2">
      <c r="A34" s="77"/>
      <c r="B34" s="155"/>
      <c r="C34" s="20"/>
      <c r="D34" s="155"/>
    </row>
    <row r="35" spans="1:4" ht="11.25" x14ac:dyDescent="0.2">
      <c r="A35" s="134"/>
      <c r="B35" s="3"/>
      <c r="C35" s="3"/>
      <c r="D35" s="155"/>
    </row>
  </sheetData>
  <mergeCells count="3">
    <mergeCell ref="A2:B2"/>
    <mergeCell ref="A3:B3"/>
    <mergeCell ref="A4:B4"/>
  </mergeCells>
  <printOptions horizontalCentered="1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26</vt:i4>
      </vt:variant>
    </vt:vector>
  </HeadingPairs>
  <TitlesOfParts>
    <vt:vector size="38" baseType="lpstr">
      <vt:lpstr>Ex 103, Pg 8-9</vt:lpstr>
      <vt:lpstr>Ex 103, Pg 14-15</vt:lpstr>
      <vt:lpstr>Sch1</vt:lpstr>
      <vt:lpstr>Sch2</vt:lpstr>
      <vt:lpstr>Sch3</vt:lpstr>
      <vt:lpstr>Sch4</vt:lpstr>
      <vt:lpstr>Sch4-2</vt:lpstr>
      <vt:lpstr>Sch4-3</vt:lpstr>
      <vt:lpstr>Sch5</vt:lpstr>
      <vt:lpstr>Sch6</vt:lpstr>
      <vt:lpstr>Sch 7</vt:lpstr>
      <vt:lpstr> SCH 8 - Rate Design</vt:lpstr>
      <vt:lpstr>_adj4</vt:lpstr>
      <vt:lpstr>_sch17</vt:lpstr>
      <vt:lpstr>'Ex 103, Pg 8-9'!adj4a</vt:lpstr>
      <vt:lpstr>'Sch 7'!adj4a</vt:lpstr>
      <vt:lpstr>adj4a</vt:lpstr>
      <vt:lpstr>adj4b</vt:lpstr>
      <vt:lpstr>adj4c</vt:lpstr>
      <vt:lpstr>adj4e2</vt:lpstr>
      <vt:lpstr>'Sch4-3'!adj4e3</vt:lpstr>
      <vt:lpstr>adjno</vt:lpstr>
      <vt:lpstr>coname</vt:lpstr>
      <vt:lpstr>For_the_12_Months_Ended_May_31__2012</vt:lpstr>
      <vt:lpstr>' SCH 8 - Rate Design'!Print_Area</vt:lpstr>
      <vt:lpstr>'Ex 103, Pg 14-15'!Print_Area</vt:lpstr>
      <vt:lpstr>'Ex 103, Pg 8-9'!Print_Area</vt:lpstr>
      <vt:lpstr>'Sch 7'!Print_Area</vt:lpstr>
      <vt:lpstr>'Sch1'!Print_Area</vt:lpstr>
      <vt:lpstr>'Sch2'!Print_Area</vt:lpstr>
      <vt:lpstr>'Sch3'!Print_Area</vt:lpstr>
      <vt:lpstr>'Sch4'!Print_Area</vt:lpstr>
      <vt:lpstr>'Sch4-2'!Print_Area</vt:lpstr>
      <vt:lpstr>'Sch4-3'!Print_Area</vt:lpstr>
      <vt:lpstr>'Sch5'!Print_Area</vt:lpstr>
      <vt:lpstr>'Sch6'!Print_Area</vt:lpstr>
      <vt:lpstr>TYDESC</vt:lpstr>
      <vt:lpstr>Witness</vt:lpstr>
    </vt:vector>
  </TitlesOfParts>
  <Company>Columbia Gas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Columbia Gas</dc:creator>
  <cp:lastModifiedBy>Strauss \ Paula \ A</cp:lastModifiedBy>
  <cp:lastPrinted>2018-03-05T17:16:25Z</cp:lastPrinted>
  <dcterms:created xsi:type="dcterms:W3CDTF">1997-11-13T15:08:18Z</dcterms:created>
  <dcterms:modified xsi:type="dcterms:W3CDTF">2018-03-05T17:20:55Z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4XLRetrievePerWS">
    <vt:lpwstr>Y</vt:lpwstr>
  </property>
  <property fmtid="{D5CDD505-2E9C-101B-9397-08002B2CF9AE}" pid="3" name="K4XLScatterRefresh">
    <vt:lpwstr>N</vt:lpwstr>
  </property>
  <property fmtid="{D5CDD505-2E9C-101B-9397-08002B2CF9AE}" pid="4" name="K4XLVersion">
    <vt:lpwstr>7.1.4.2171.12</vt:lpwstr>
  </property>
  <property fmtid="{D5CDD505-2E9C-101B-9397-08002B2CF9AE}" pid="5" name="K4XL KID">
    <vt:lpwstr/>
  </property>
  <property fmtid="{D5CDD505-2E9C-101B-9397-08002B2CF9AE}" pid="6" name="K4XL DBKID">
    <vt:lpwstr/>
  </property>
  <property fmtid="{D5CDD505-2E9C-101B-9397-08002B2CF9AE}" pid="7" name="SV_QUERY_LIST_4F35BF76-6C0D-4D9B-82B2-816C12CF3733">
    <vt:lpwstr>empty_477D106A-C0D6-4607-AEBD-E2C9D60EA279</vt:lpwstr>
  </property>
</Properties>
</file>