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3"/>
  </bookViews>
  <sheets>
    <sheet name="Sheet1" sheetId="1" r:id="rId1"/>
    <sheet name="Industry Statistics" sheetId="8" r:id="rId2"/>
    <sheet name="Aqua America" sheetId="2" r:id="rId3"/>
    <sheet name="American Water" sheetId="3" r:id="rId4"/>
    <sheet name="American Acquistions" sheetId="7" r:id="rId5"/>
    <sheet name="Aqua Acquistions" sheetId="4" r:id="rId6"/>
    <sheet name="Aqua's Acq of American Ohio" sheetId="5" r:id="rId7"/>
    <sheet name="Sheet6" sheetId="6" r:id="rId8"/>
  </sheets>
  <definedNames>
    <definedName name="AmericanBalance">'American Water'!$A$47:$J$121</definedName>
    <definedName name="AmericanIncome">'American Water'!$A$6:$J$45</definedName>
    <definedName name="AmericanOperating_Statistics">'American Water'!$A$124:$J$204</definedName>
    <definedName name="AquaBalance">'Aqua America'!$A$47:$J$126</definedName>
    <definedName name="AquaIncome">'Aqua America'!$A$6:$J$46</definedName>
    <definedName name="AquaOperating">'Aqua America'!$A$128:$J$162</definedName>
    <definedName name="Balance_Sheet">'Industry Statistics'!$A$50:$E$115</definedName>
    <definedName name="Income_Statement">'Industry Statistics'!$A$4:$E$48</definedName>
    <definedName name="_xlnm.Print_Titles" localSheetId="3">'American Water'!$1:$5</definedName>
    <definedName name="_xlnm.Print_Titles" localSheetId="2">'Aqua America'!$1:$5</definedName>
    <definedName name="_xlnm.Print_Titles" localSheetId="1">'Industry Statistics'!$1:$3</definedName>
  </definedNames>
  <calcPr calcId="125725"/>
</workbook>
</file>

<file path=xl/calcChain.xml><?xml version="1.0" encoding="utf-8"?>
<calcChain xmlns="http://schemas.openxmlformats.org/spreadsheetml/2006/main">
  <c r="E218" i="3"/>
  <c r="E222"/>
  <c r="E221"/>
  <c r="E219"/>
  <c r="E217"/>
  <c r="E216"/>
  <c r="E211"/>
  <c r="J204" l="1"/>
  <c r="I204"/>
  <c r="H204"/>
  <c r="G204"/>
  <c r="F204"/>
  <c r="E204"/>
  <c r="D204"/>
  <c r="J193"/>
  <c r="I193"/>
  <c r="H193"/>
  <c r="G193"/>
  <c r="F193"/>
  <c r="E193"/>
  <c r="D202"/>
  <c r="C202"/>
  <c r="D201"/>
  <c r="C201"/>
  <c r="D199"/>
  <c r="C199"/>
  <c r="D198"/>
  <c r="C198"/>
  <c r="D197"/>
  <c r="C197"/>
  <c r="D196"/>
  <c r="C196"/>
  <c r="J202"/>
  <c r="I202"/>
  <c r="H202"/>
  <c r="J201"/>
  <c r="I201"/>
  <c r="H201"/>
  <c r="J199"/>
  <c r="I199"/>
  <c r="H199"/>
  <c r="J198"/>
  <c r="I198"/>
  <c r="H198"/>
  <c r="J197"/>
  <c r="I197"/>
  <c r="H197"/>
  <c r="J196"/>
  <c r="I196"/>
  <c r="H196"/>
  <c r="E202"/>
  <c r="E201"/>
  <c r="E199"/>
  <c r="E198"/>
  <c r="E197"/>
  <c r="E196"/>
  <c r="E190"/>
  <c r="G202"/>
  <c r="G201"/>
  <c r="G199"/>
  <c r="G198"/>
  <c r="G197"/>
  <c r="G196"/>
  <c r="F202"/>
  <c r="F201"/>
  <c r="F199"/>
  <c r="F198"/>
  <c r="F197"/>
  <c r="F196"/>
  <c r="J180"/>
  <c r="I180"/>
  <c r="H180"/>
  <c r="G180"/>
  <c r="E180"/>
  <c r="F180"/>
  <c r="C115" i="8"/>
  <c r="C107"/>
  <c r="C104"/>
  <c r="C103"/>
  <c r="C101"/>
  <c r="C100"/>
  <c r="C95"/>
  <c r="C93"/>
  <c r="C88"/>
  <c r="C86"/>
  <c r="D107" i="2"/>
  <c r="C107"/>
  <c r="J107"/>
  <c r="I107"/>
  <c r="H107"/>
  <c r="G107"/>
  <c r="F107"/>
  <c r="E107"/>
  <c r="C85" i="8"/>
  <c r="B103"/>
  <c r="B104"/>
  <c r="B101"/>
  <c r="B100"/>
  <c r="B95"/>
  <c r="J108" i="3"/>
  <c r="I108"/>
  <c r="H108"/>
  <c r="G108"/>
  <c r="C75" i="8"/>
  <c r="D71" i="2"/>
  <c r="C71"/>
  <c r="J71"/>
  <c r="I71"/>
  <c r="H71"/>
  <c r="G71"/>
  <c r="F71"/>
  <c r="E71"/>
  <c r="C81" i="8"/>
  <c r="C79"/>
  <c r="C78"/>
  <c r="C77"/>
  <c r="C74"/>
  <c r="B79"/>
  <c r="B78"/>
  <c r="B77"/>
  <c r="D59"/>
  <c r="D69"/>
  <c r="C72"/>
  <c r="C67"/>
  <c r="C65"/>
  <c r="C66"/>
  <c r="C64"/>
  <c r="C63"/>
  <c r="C57"/>
  <c r="C56"/>
  <c r="C55"/>
  <c r="C54"/>
  <c r="C53"/>
  <c r="B63"/>
  <c r="B53"/>
  <c r="C46"/>
  <c r="C43"/>
  <c r="B43"/>
  <c r="C44"/>
  <c r="C41"/>
  <c r="C39"/>
  <c r="C38"/>
  <c r="B38"/>
  <c r="C35"/>
  <c r="C33"/>
  <c r="C31"/>
  <c r="C30"/>
  <c r="B30"/>
  <c r="C28"/>
  <c r="C27"/>
  <c r="B27"/>
  <c r="C25"/>
  <c r="C24"/>
  <c r="B24"/>
  <c r="C15"/>
  <c r="C18"/>
  <c r="C17"/>
  <c r="C16"/>
  <c r="C14"/>
  <c r="C10"/>
  <c r="C9"/>
  <c r="C8"/>
  <c r="C7"/>
  <c r="C21" s="1"/>
  <c r="C6"/>
  <c r="I161" i="2"/>
  <c r="H161"/>
  <c r="G161"/>
  <c r="F161"/>
  <c r="E161"/>
  <c r="D161"/>
  <c r="I160"/>
  <c r="I162" s="1"/>
  <c r="H160"/>
  <c r="H162" s="1"/>
  <c r="G160"/>
  <c r="G162" s="1"/>
  <c r="F160"/>
  <c r="F162" s="1"/>
  <c r="E160"/>
  <c r="E162" s="1"/>
  <c r="D160"/>
  <c r="D162" s="1"/>
  <c r="I157"/>
  <c r="H157"/>
  <c r="G157"/>
  <c r="F157"/>
  <c r="E157"/>
  <c r="D157"/>
  <c r="I156"/>
  <c r="I158" s="1"/>
  <c r="H156"/>
  <c r="H158" s="1"/>
  <c r="G156"/>
  <c r="G158" s="1"/>
  <c r="F156"/>
  <c r="F158" s="1"/>
  <c r="E156"/>
  <c r="E158" s="1"/>
  <c r="D156"/>
  <c r="D158" s="1"/>
  <c r="C162"/>
  <c r="C161"/>
  <c r="C160"/>
  <c r="C158"/>
  <c r="C157"/>
  <c r="C156"/>
  <c r="I148"/>
  <c r="H148"/>
  <c r="G148"/>
  <c r="F148"/>
  <c r="C148" s="1"/>
  <c r="E148"/>
  <c r="D148"/>
  <c r="I146"/>
  <c r="H146"/>
  <c r="G146"/>
  <c r="F146"/>
  <c r="C146" s="1"/>
  <c r="E146"/>
  <c r="D146"/>
  <c r="J150"/>
  <c r="I150"/>
  <c r="H150"/>
  <c r="G150"/>
  <c r="F150"/>
  <c r="F151" s="1"/>
  <c r="E150"/>
  <c r="J145"/>
  <c r="I145"/>
  <c r="H145"/>
  <c r="G145"/>
  <c r="F145"/>
  <c r="E145"/>
  <c r="I136"/>
  <c r="H136"/>
  <c r="G136"/>
  <c r="F136"/>
  <c r="C136" s="1"/>
  <c r="E136"/>
  <c r="D136"/>
  <c r="I134"/>
  <c r="H134"/>
  <c r="G134"/>
  <c r="F134"/>
  <c r="C134" s="1"/>
  <c r="E134"/>
  <c r="D134"/>
  <c r="J137"/>
  <c r="I137"/>
  <c r="H137"/>
  <c r="G137"/>
  <c r="G138" s="1"/>
  <c r="F137"/>
  <c r="E137"/>
  <c r="J133"/>
  <c r="I133"/>
  <c r="H133"/>
  <c r="G133"/>
  <c r="F133"/>
  <c r="E133"/>
  <c r="B15" i="8"/>
  <c r="I159" i="3"/>
  <c r="I167" s="1"/>
  <c r="H159"/>
  <c r="H167" s="1"/>
  <c r="H169" s="1"/>
  <c r="G159"/>
  <c r="G167" s="1"/>
  <c r="F159"/>
  <c r="E159"/>
  <c r="D159" s="1"/>
  <c r="D167" s="1"/>
  <c r="G157"/>
  <c r="G163" s="1"/>
  <c r="E155"/>
  <c r="F155"/>
  <c r="F156" s="1"/>
  <c r="F160" s="1"/>
  <c r="J156"/>
  <c r="J160" s="1"/>
  <c r="I156"/>
  <c r="I157" s="1"/>
  <c r="I163" s="1"/>
  <c r="G156"/>
  <c r="G160" s="1"/>
  <c r="E156"/>
  <c r="E160" s="1"/>
  <c r="H156"/>
  <c r="H160" s="1"/>
  <c r="J148"/>
  <c r="I148"/>
  <c r="G148"/>
  <c r="G149" s="1"/>
  <c r="G168" s="1"/>
  <c r="F148"/>
  <c r="E148"/>
  <c r="E149" s="1"/>
  <c r="E168" s="1"/>
  <c r="H148"/>
  <c r="H149" s="1"/>
  <c r="H168" s="1"/>
  <c r="G138"/>
  <c r="G139" s="1"/>
  <c r="G164" s="1"/>
  <c r="F138"/>
  <c r="E138"/>
  <c r="E139" s="1"/>
  <c r="E164" s="1"/>
  <c r="J138"/>
  <c r="I138"/>
  <c r="I139" s="1"/>
  <c r="I164" s="1"/>
  <c r="H138"/>
  <c r="C126" i="2"/>
  <c r="C54"/>
  <c r="C52"/>
  <c r="C34"/>
  <c r="C32"/>
  <c r="C25"/>
  <c r="C18"/>
  <c r="C17"/>
  <c r="C15"/>
  <c r="C13"/>
  <c r="C11"/>
  <c r="C8"/>
  <c r="D126"/>
  <c r="D54"/>
  <c r="D52"/>
  <c r="D32"/>
  <c r="D34"/>
  <c r="D25"/>
  <c r="D18"/>
  <c r="D17"/>
  <c r="D15"/>
  <c r="D13"/>
  <c r="D8"/>
  <c r="D11"/>
  <c r="H151"/>
  <c r="E138"/>
  <c r="K17" i="7"/>
  <c r="K15"/>
  <c r="K13"/>
  <c r="D9"/>
  <c r="X9"/>
  <c r="F9"/>
  <c r="K11"/>
  <c r="K9"/>
  <c r="K5"/>
  <c r="K3"/>
  <c r="N5"/>
  <c r="B44" i="5"/>
  <c r="B40"/>
  <c r="B26"/>
  <c r="B30"/>
  <c r="C30"/>
  <c r="C26"/>
  <c r="C8"/>
  <c r="E29"/>
  <c r="E25"/>
  <c r="D29"/>
  <c r="D25"/>
  <c r="C32"/>
  <c r="C31"/>
  <c r="C21"/>
  <c r="C20"/>
  <c r="C16"/>
  <c r="H10" i="4"/>
  <c r="F24"/>
  <c r="F22"/>
  <c r="F17"/>
  <c r="F14"/>
  <c r="F10"/>
  <c r="D10"/>
  <c r="H14"/>
  <c r="D22"/>
  <c r="H22" s="1"/>
  <c r="F19"/>
  <c r="C113" i="8" l="1"/>
  <c r="C97"/>
  <c r="C204" i="3"/>
  <c r="B16" i="8"/>
  <c r="D16" s="1"/>
  <c r="I165" i="3"/>
  <c r="G165"/>
  <c r="G169"/>
  <c r="I160"/>
  <c r="E157"/>
  <c r="E167"/>
  <c r="E169" s="1"/>
  <c r="B6" i="8"/>
  <c r="H139" i="3"/>
  <c r="H164" s="1"/>
  <c r="F139"/>
  <c r="F149"/>
  <c r="I149"/>
  <c r="I168" s="1"/>
  <c r="I169" s="1"/>
  <c r="H161"/>
  <c r="F161"/>
  <c r="F157"/>
  <c r="H157"/>
  <c r="H163" s="1"/>
  <c r="H165" s="1"/>
  <c r="C159"/>
  <c r="C167" s="1"/>
  <c r="F167"/>
  <c r="B14" i="8"/>
  <c r="B7"/>
  <c r="B11" s="1"/>
  <c r="B102"/>
  <c r="C48"/>
  <c r="B19"/>
  <c r="C19"/>
  <c r="C11"/>
  <c r="B21"/>
  <c r="E151" i="2"/>
  <c r="C151" s="1"/>
  <c r="G151"/>
  <c r="F138"/>
  <c r="C138" s="1"/>
  <c r="H138"/>
  <c r="D138" s="1"/>
  <c r="G161" i="3"/>
  <c r="C161"/>
  <c r="D149"/>
  <c r="D168" s="1"/>
  <c r="B17" i="8" s="1"/>
  <c r="D17" s="1"/>
  <c r="E161" i="3"/>
  <c r="I161"/>
  <c r="G153" i="2"/>
  <c r="H153"/>
  <c r="I138"/>
  <c r="I151"/>
  <c r="I153" s="1"/>
  <c r="H8" i="3"/>
  <c r="G8"/>
  <c r="F8"/>
  <c r="E8"/>
  <c r="I8"/>
  <c r="J127"/>
  <c r="I127"/>
  <c r="H127"/>
  <c r="G127"/>
  <c r="I57"/>
  <c r="H57"/>
  <c r="G57"/>
  <c r="F57"/>
  <c r="E57"/>
  <c r="B64" i="8" s="1"/>
  <c r="E56" i="3"/>
  <c r="E58" s="1"/>
  <c r="E50"/>
  <c r="G25"/>
  <c r="F13"/>
  <c r="E13"/>
  <c r="I17"/>
  <c r="H17"/>
  <c r="G17"/>
  <c r="J17"/>
  <c r="I16"/>
  <c r="H16"/>
  <c r="G16"/>
  <c r="F16"/>
  <c r="E16"/>
  <c r="J16"/>
  <c r="J17" i="2"/>
  <c r="I124"/>
  <c r="G124"/>
  <c r="J123"/>
  <c r="E124"/>
  <c r="H57"/>
  <c r="G57"/>
  <c r="G58" s="1"/>
  <c r="G51" s="1"/>
  <c r="G52" s="1"/>
  <c r="F57"/>
  <c r="E57"/>
  <c r="E58" s="1"/>
  <c r="E51" s="1"/>
  <c r="E52" s="1"/>
  <c r="I57"/>
  <c r="H56"/>
  <c r="H58" s="1"/>
  <c r="H51" s="1"/>
  <c r="H52" s="1"/>
  <c r="G56"/>
  <c r="F56"/>
  <c r="F58" s="1"/>
  <c r="F51" s="1"/>
  <c r="F52" s="1"/>
  <c r="E56"/>
  <c r="I56"/>
  <c r="I58" s="1"/>
  <c r="I51" s="1"/>
  <c r="H50"/>
  <c r="H53" s="1"/>
  <c r="H54" s="1"/>
  <c r="G50"/>
  <c r="G53" s="1"/>
  <c r="G54" s="1"/>
  <c r="F50"/>
  <c r="F53" s="1"/>
  <c r="F54" s="1"/>
  <c r="E50"/>
  <c r="E53" s="1"/>
  <c r="E54" s="1"/>
  <c r="I50"/>
  <c r="I25"/>
  <c r="H25"/>
  <c r="G25"/>
  <c r="F25"/>
  <c r="E25"/>
  <c r="J25"/>
  <c r="I15"/>
  <c r="H15"/>
  <c r="G15"/>
  <c r="F15"/>
  <c r="E15"/>
  <c r="J15"/>
  <c r="I13"/>
  <c r="H13"/>
  <c r="G13"/>
  <c r="F13"/>
  <c r="E13"/>
  <c r="J13"/>
  <c r="H8"/>
  <c r="G8"/>
  <c r="F8"/>
  <c r="E8"/>
  <c r="I8"/>
  <c r="J90" i="3"/>
  <c r="J92" s="1"/>
  <c r="J94" s="1"/>
  <c r="J64"/>
  <c r="J55"/>
  <c r="G89"/>
  <c r="G92" s="1"/>
  <c r="G94" s="1"/>
  <c r="G65"/>
  <c r="G64"/>
  <c r="G55"/>
  <c r="G56" s="1"/>
  <c r="G58" s="1"/>
  <c r="G51" s="1"/>
  <c r="I11"/>
  <c r="H11"/>
  <c r="G11"/>
  <c r="F11"/>
  <c r="E11"/>
  <c r="J11"/>
  <c r="I64"/>
  <c r="I70" s="1"/>
  <c r="I71" s="1"/>
  <c r="H64"/>
  <c r="H70" s="1"/>
  <c r="I55"/>
  <c r="I49" s="1"/>
  <c r="H55"/>
  <c r="H49" s="1"/>
  <c r="H50" s="1"/>
  <c r="J24"/>
  <c r="J25" s="1"/>
  <c r="I24"/>
  <c r="I25" s="1"/>
  <c r="H24"/>
  <c r="H25" s="1"/>
  <c r="J26"/>
  <c r="I26"/>
  <c r="H26"/>
  <c r="J19"/>
  <c r="I19"/>
  <c r="H19"/>
  <c r="G19"/>
  <c r="F19"/>
  <c r="E19"/>
  <c r="B33" i="8" s="1"/>
  <c r="F105" i="3"/>
  <c r="F107" s="1"/>
  <c r="F100"/>
  <c r="F96"/>
  <c r="F25" s="1"/>
  <c r="F89"/>
  <c r="F92" s="1"/>
  <c r="F94" s="1"/>
  <c r="F64"/>
  <c r="F70" s="1"/>
  <c r="E105"/>
  <c r="E100"/>
  <c r="E96"/>
  <c r="E89"/>
  <c r="E64"/>
  <c r="I17" i="2"/>
  <c r="H17"/>
  <c r="G17"/>
  <c r="F17"/>
  <c r="E17"/>
  <c r="I11"/>
  <c r="H11"/>
  <c r="G11"/>
  <c r="F11"/>
  <c r="E11"/>
  <c r="J11"/>
  <c r="J70" i="3"/>
  <c r="E70"/>
  <c r="F115"/>
  <c r="E115"/>
  <c r="B93" i="8" s="1"/>
  <c r="I92" i="3"/>
  <c r="I94" s="1"/>
  <c r="H92"/>
  <c r="H94" s="1"/>
  <c r="F59"/>
  <c r="F17" s="1"/>
  <c r="E59"/>
  <c r="J38"/>
  <c r="I38"/>
  <c r="H38"/>
  <c r="G38"/>
  <c r="F38"/>
  <c r="E38"/>
  <c r="J21"/>
  <c r="I21"/>
  <c r="H21"/>
  <c r="G21"/>
  <c r="G30" s="1"/>
  <c r="G33" s="1"/>
  <c r="G39" s="1"/>
  <c r="F21"/>
  <c r="F30" s="1"/>
  <c r="F33" s="1"/>
  <c r="F39" s="1"/>
  <c r="E21"/>
  <c r="J114" i="2"/>
  <c r="J118" s="1"/>
  <c r="J120" s="1"/>
  <c r="J106"/>
  <c r="J124" s="1"/>
  <c r="J93"/>
  <c r="J91"/>
  <c r="J70"/>
  <c r="I114"/>
  <c r="H114"/>
  <c r="G114"/>
  <c r="F114"/>
  <c r="I106"/>
  <c r="H106"/>
  <c r="G106"/>
  <c r="F106"/>
  <c r="F124" s="1"/>
  <c r="E106"/>
  <c r="I93"/>
  <c r="I118" s="1"/>
  <c r="I120" s="1"/>
  <c r="I91"/>
  <c r="H91"/>
  <c r="H93" s="1"/>
  <c r="G91"/>
  <c r="G93" s="1"/>
  <c r="G118" s="1"/>
  <c r="G120" s="1"/>
  <c r="F91"/>
  <c r="F93" s="1"/>
  <c r="I70"/>
  <c r="I123" s="1"/>
  <c r="I125" s="1"/>
  <c r="I126" s="1"/>
  <c r="H70"/>
  <c r="H123" s="1"/>
  <c r="G70"/>
  <c r="G123" s="1"/>
  <c r="G125" s="1"/>
  <c r="G126" s="1"/>
  <c r="F70"/>
  <c r="F123" s="1"/>
  <c r="F125" s="1"/>
  <c r="F126" s="1"/>
  <c r="E70"/>
  <c r="E123" s="1"/>
  <c r="E125" s="1"/>
  <c r="E126" s="1"/>
  <c r="J60"/>
  <c r="J18" s="1"/>
  <c r="I60"/>
  <c r="I18" s="1"/>
  <c r="H60"/>
  <c r="H78" s="1"/>
  <c r="H80" s="1"/>
  <c r="G60"/>
  <c r="G78" s="1"/>
  <c r="G80" s="1"/>
  <c r="F60"/>
  <c r="F18" s="1"/>
  <c r="J38"/>
  <c r="I38"/>
  <c r="H38"/>
  <c r="I21"/>
  <c r="I30" s="1"/>
  <c r="J19"/>
  <c r="J21" s="1"/>
  <c r="J30" s="1"/>
  <c r="I19"/>
  <c r="H19"/>
  <c r="H21" s="1"/>
  <c r="H30" s="1"/>
  <c r="E114"/>
  <c r="E93"/>
  <c r="E91"/>
  <c r="E78"/>
  <c r="E80" s="1"/>
  <c r="E60"/>
  <c r="E18" s="1"/>
  <c r="G38"/>
  <c r="E38"/>
  <c r="F38"/>
  <c r="G21"/>
  <c r="G30" s="1"/>
  <c r="E21"/>
  <c r="E30" s="1"/>
  <c r="G19"/>
  <c r="F19"/>
  <c r="F21" s="1"/>
  <c r="F30" s="1"/>
  <c r="E19"/>
  <c r="H79" i="3" l="1"/>
  <c r="H71"/>
  <c r="E51"/>
  <c r="B66" i="8"/>
  <c r="F71" i="3"/>
  <c r="F126"/>
  <c r="F127"/>
  <c r="F108"/>
  <c r="E126"/>
  <c r="E71"/>
  <c r="B74" i="8"/>
  <c r="J126" i="3"/>
  <c r="J128" s="1"/>
  <c r="J129" s="1"/>
  <c r="J71"/>
  <c r="B107" i="8"/>
  <c r="E92" i="3"/>
  <c r="E94" s="1"/>
  <c r="B113" i="8" s="1"/>
  <c r="C139" i="3"/>
  <c r="C164" s="1"/>
  <c r="F164"/>
  <c r="E163"/>
  <c r="E165" s="1"/>
  <c r="D157"/>
  <c r="D163" s="1"/>
  <c r="E30"/>
  <c r="B35" i="8"/>
  <c r="E17" i="3"/>
  <c r="D17" s="1"/>
  <c r="B31" i="8" s="1"/>
  <c r="D31" s="1"/>
  <c r="B72"/>
  <c r="E25" i="3"/>
  <c r="D25" s="1"/>
  <c r="B39" i="8" s="1"/>
  <c r="D39" s="1"/>
  <c r="B88"/>
  <c r="C157" i="3"/>
  <c r="C163" s="1"/>
  <c r="C165" s="1"/>
  <c r="F163"/>
  <c r="F165" s="1"/>
  <c r="C149"/>
  <c r="C168" s="1"/>
  <c r="F168"/>
  <c r="G52"/>
  <c r="F169"/>
  <c r="I30"/>
  <c r="I33" s="1"/>
  <c r="I39" s="1"/>
  <c r="E107"/>
  <c r="G70"/>
  <c r="G71" s="1"/>
  <c r="E53"/>
  <c r="F32"/>
  <c r="D139"/>
  <c r="D164" s="1"/>
  <c r="B9" i="8" s="1"/>
  <c r="D9" s="1"/>
  <c r="C169" i="3"/>
  <c r="D169"/>
  <c r="B18" i="8" s="1"/>
  <c r="D18" s="1"/>
  <c r="D151" i="2"/>
  <c r="E153"/>
  <c r="F153"/>
  <c r="C153" s="1"/>
  <c r="C17" i="3"/>
  <c r="C25"/>
  <c r="I126"/>
  <c r="I128" s="1"/>
  <c r="I129" s="1"/>
  <c r="I79"/>
  <c r="I81" s="1"/>
  <c r="G79"/>
  <c r="G81" s="1"/>
  <c r="I13"/>
  <c r="D16"/>
  <c r="C16"/>
  <c r="D11"/>
  <c r="B25" i="8" s="1"/>
  <c r="D25" s="1"/>
  <c r="C11" i="3"/>
  <c r="C8"/>
  <c r="D8"/>
  <c r="I56"/>
  <c r="I58" s="1"/>
  <c r="I51" s="1"/>
  <c r="F56"/>
  <c r="F58" s="1"/>
  <c r="F51" s="1"/>
  <c r="H56"/>
  <c r="H58" s="1"/>
  <c r="H51" s="1"/>
  <c r="H52" s="1"/>
  <c r="F128"/>
  <c r="F129" s="1"/>
  <c r="H126"/>
  <c r="H128" s="1"/>
  <c r="H129" s="1"/>
  <c r="H30"/>
  <c r="J30"/>
  <c r="I43"/>
  <c r="I45" s="1"/>
  <c r="G49"/>
  <c r="H13"/>
  <c r="G32"/>
  <c r="D161"/>
  <c r="G32" i="2"/>
  <c r="G33"/>
  <c r="I32"/>
  <c r="I33"/>
  <c r="F32"/>
  <c r="F33"/>
  <c r="E32"/>
  <c r="E33"/>
  <c r="H32"/>
  <c r="H33"/>
  <c r="H34" s="1"/>
  <c r="J32"/>
  <c r="J33"/>
  <c r="J34" s="1"/>
  <c r="I52"/>
  <c r="I53"/>
  <c r="I54" s="1"/>
  <c r="F118"/>
  <c r="F120" s="1"/>
  <c r="H39"/>
  <c r="H43" s="1"/>
  <c r="H45" s="1"/>
  <c r="J39"/>
  <c r="J43" s="1"/>
  <c r="J45" s="1"/>
  <c r="F78"/>
  <c r="F80" s="1"/>
  <c r="H118"/>
  <c r="H120" s="1"/>
  <c r="J78"/>
  <c r="J80" s="1"/>
  <c r="H18"/>
  <c r="J125"/>
  <c r="J126" s="1"/>
  <c r="E118"/>
  <c r="E120" s="1"/>
  <c r="I78"/>
  <c r="I80" s="1"/>
  <c r="G18"/>
  <c r="H124"/>
  <c r="H125" s="1"/>
  <c r="H126" s="1"/>
  <c r="F79" i="3"/>
  <c r="F81" s="1"/>
  <c r="E119"/>
  <c r="E79"/>
  <c r="H81"/>
  <c r="G43"/>
  <c r="G45" s="1"/>
  <c r="F43"/>
  <c r="F45" s="1"/>
  <c r="F119"/>
  <c r="F121" s="1"/>
  <c r="H119"/>
  <c r="H121" s="1"/>
  <c r="J119"/>
  <c r="J121" s="1"/>
  <c r="G119"/>
  <c r="G121" s="1"/>
  <c r="I119"/>
  <c r="I121" s="1"/>
  <c r="E20" i="1"/>
  <c r="J49" i="3"/>
  <c r="J13" s="1"/>
  <c r="J79"/>
  <c r="J81" s="1"/>
  <c r="E121" l="1"/>
  <c r="B97" i="8"/>
  <c r="B115"/>
  <c r="E33" i="3"/>
  <c r="B41" i="8"/>
  <c r="D71" i="3"/>
  <c r="B75" i="8" s="1"/>
  <c r="D75" s="1"/>
  <c r="C71" i="3"/>
  <c r="E81"/>
  <c r="B81" i="8"/>
  <c r="E54" i="3"/>
  <c r="B54" i="8"/>
  <c r="E127" i="3"/>
  <c r="E128" s="1"/>
  <c r="E129" s="1"/>
  <c r="D129" s="1"/>
  <c r="B85" i="8"/>
  <c r="E108" i="3"/>
  <c r="D165"/>
  <c r="B10" i="8" s="1"/>
  <c r="D10" s="1"/>
  <c r="B8"/>
  <c r="D8" s="1"/>
  <c r="E52" i="3"/>
  <c r="B56" i="8"/>
  <c r="I32" i="3"/>
  <c r="E32"/>
  <c r="C32" s="1"/>
  <c r="G126"/>
  <c r="G128" s="1"/>
  <c r="G129" s="1"/>
  <c r="D153" i="2"/>
  <c r="F50" i="3"/>
  <c r="F53" s="1"/>
  <c r="F54" s="1"/>
  <c r="G50"/>
  <c r="G53" s="1"/>
  <c r="G54" s="1"/>
  <c r="G13"/>
  <c r="J33"/>
  <c r="J39" s="1"/>
  <c r="J32"/>
  <c r="C129"/>
  <c r="H33"/>
  <c r="H39" s="1"/>
  <c r="H32"/>
  <c r="D32" s="1"/>
  <c r="B44" i="8" s="1"/>
  <c r="D44" s="1"/>
  <c r="I52" i="3"/>
  <c r="F52"/>
  <c r="H53"/>
  <c r="H54" s="1"/>
  <c r="I50"/>
  <c r="I53" s="1"/>
  <c r="I54" s="1"/>
  <c r="E34" i="2"/>
  <c r="E39"/>
  <c r="E43" s="1"/>
  <c r="E45" s="1"/>
  <c r="F39"/>
  <c r="F43" s="1"/>
  <c r="F45" s="1"/>
  <c r="F34"/>
  <c r="I34"/>
  <c r="I39"/>
  <c r="I43" s="1"/>
  <c r="I45" s="1"/>
  <c r="G34"/>
  <c r="G39"/>
  <c r="G43" s="1"/>
  <c r="G45" s="1"/>
  <c r="D108" i="3" l="1"/>
  <c r="B86" i="8" s="1"/>
  <c r="D86" s="1"/>
  <c r="C108" i="3"/>
  <c r="E39"/>
  <c r="E43" s="1"/>
  <c r="E45" s="1"/>
  <c r="B46" i="8"/>
  <c r="B48" s="1"/>
  <c r="H43" i="3"/>
  <c r="H45" s="1"/>
  <c r="J43"/>
  <c r="J45" s="1"/>
  <c r="D52"/>
  <c r="C52"/>
  <c r="D13"/>
  <c r="C13"/>
  <c r="D54"/>
  <c r="B55" i="8" s="1"/>
  <c r="D55" s="1"/>
  <c r="C54" i="3"/>
  <c r="B65" i="8" l="1"/>
  <c r="D65" s="1"/>
  <c r="B28"/>
  <c r="D28" s="1"/>
  <c r="B67"/>
  <c r="D67" s="1"/>
  <c r="B57"/>
  <c r="D57" s="1"/>
</calcChain>
</file>

<file path=xl/sharedStrings.xml><?xml version="1.0" encoding="utf-8"?>
<sst xmlns="http://schemas.openxmlformats.org/spreadsheetml/2006/main" count="565" uniqueCount="342">
  <si>
    <t>American States Water Co.</t>
  </si>
  <si>
    <t>NYSE</t>
  </si>
  <si>
    <t>AWR</t>
  </si>
  <si>
    <t>American Water Works Co. Inc.</t>
  </si>
  <si>
    <t>AWK</t>
  </si>
  <si>
    <t>Aqua America Inc.</t>
  </si>
  <si>
    <t>WTR</t>
  </si>
  <si>
    <t>Artesian Resources Corp</t>
  </si>
  <si>
    <t>NDQ</t>
  </si>
  <si>
    <t>ARTNA</t>
  </si>
  <si>
    <t>California Water Service Group</t>
  </si>
  <si>
    <t>CWT</t>
  </si>
  <si>
    <t>Connecticut Water Service, Inc.</t>
  </si>
  <si>
    <t>CTWS</t>
  </si>
  <si>
    <t>Middlesex Water Company</t>
  </si>
  <si>
    <t>MSEX</t>
  </si>
  <si>
    <t>SJW Corporation</t>
  </si>
  <si>
    <t>SJW</t>
  </si>
  <si>
    <t>York Water Company</t>
  </si>
  <si>
    <t>YORW</t>
  </si>
  <si>
    <t>Company</t>
  </si>
  <si>
    <t>Stock Exchange</t>
  </si>
  <si>
    <t>Ticker</t>
  </si>
  <si>
    <t>AEP</t>
  </si>
  <si>
    <t>AES</t>
  </si>
  <si>
    <t>CNP</t>
  </si>
  <si>
    <t>D</t>
  </si>
  <si>
    <t>DUK</t>
  </si>
  <si>
    <t>ED</t>
  </si>
  <si>
    <t>EIX</t>
  </si>
  <si>
    <t>EXC</t>
  </si>
  <si>
    <t>FE</t>
  </si>
  <si>
    <t>NEE</t>
  </si>
  <si>
    <t>NI</t>
  </si>
  <si>
    <t>PCG</t>
  </si>
  <si>
    <t>PEG</t>
  </si>
  <si>
    <t>SO</t>
  </si>
  <si>
    <t>Operating Revenues</t>
  </si>
  <si>
    <t>Operating Costs and Expenses</t>
  </si>
  <si>
    <t>Operations and maintenance</t>
  </si>
  <si>
    <t>Depreciation</t>
  </si>
  <si>
    <t>Amortizations</t>
  </si>
  <si>
    <t>Taxes other than income taxes</t>
  </si>
  <si>
    <t>Total Operating Expeses</t>
  </si>
  <si>
    <t>Aqua America, Inc. and Subsidaries</t>
  </si>
  <si>
    <t>In thousands, except per share amounts</t>
  </si>
  <si>
    <t>Operating Income</t>
  </si>
  <si>
    <t>Other expense (income)</t>
  </si>
  <si>
    <t>Interest expense, net</t>
  </si>
  <si>
    <t>Allowance for funds used during construction</t>
  </si>
  <si>
    <t>(Gains) loss on sale of other assets</t>
  </si>
  <si>
    <t>Gain on extinguishment of debt</t>
  </si>
  <si>
    <t>Equity loss in in joint venture</t>
  </si>
  <si>
    <t>Income from continuing operations before income taxes</t>
  </si>
  <si>
    <t>Provision for income taxes</t>
  </si>
  <si>
    <t>Oncome from continuing operations</t>
  </si>
  <si>
    <t>Discontinued operations:</t>
  </si>
  <si>
    <t>Income from discontinued operations before income taxes</t>
  </si>
  <si>
    <t>Net income attributable to common shareholders</t>
  </si>
  <si>
    <t>Income Statement</t>
  </si>
  <si>
    <t>Balance Sheet</t>
  </si>
  <si>
    <t>Assets</t>
  </si>
  <si>
    <t>Property, Plant and Equipment at cost</t>
  </si>
  <si>
    <t>Less: accumulated depreciation</t>
  </si>
  <si>
    <t>Current Assets:</t>
  </si>
  <si>
    <t>Account receivable and unbilled revenues, net</t>
  </si>
  <si>
    <t>Deferred income taxes</t>
  </si>
  <si>
    <t>Inventory, material and supplies</t>
  </si>
  <si>
    <t>Prepayment and other current assets</t>
  </si>
  <si>
    <t>Assets held for sale</t>
  </si>
  <si>
    <t>Total Current assets</t>
  </si>
  <si>
    <t>Regulatory Assets</t>
  </si>
  <si>
    <t>deferred charges and other assets, net</t>
  </si>
  <si>
    <t>Investment in joint venture</t>
  </si>
  <si>
    <t>Funds restricted for construction activity</t>
  </si>
  <si>
    <t>Goodwill</t>
  </si>
  <si>
    <t>Total Assets</t>
  </si>
  <si>
    <t>Net Property, Plant and Equipment</t>
  </si>
  <si>
    <t>Cash and cash equivalents</t>
  </si>
  <si>
    <t>Aqua America stockholders' equity</t>
  </si>
  <si>
    <t>Common stock</t>
  </si>
  <si>
    <t>Retained earnings</t>
  </si>
  <si>
    <t>Treasury Stock</t>
  </si>
  <si>
    <t>Accumulated other comprehensive income</t>
  </si>
  <si>
    <t>Total Aqua America equity</t>
  </si>
  <si>
    <t>Authorized</t>
  </si>
  <si>
    <t>Issued</t>
  </si>
  <si>
    <t>Common Stock @$50 par value</t>
  </si>
  <si>
    <t>Capital in excess of Par value</t>
  </si>
  <si>
    <t>Noncontrolling interest</t>
  </si>
  <si>
    <t>Total Equity</t>
  </si>
  <si>
    <t>Current liabilities</t>
  </si>
  <si>
    <t>Current portion of long-term debt</t>
  </si>
  <si>
    <t>Loans Payable</t>
  </si>
  <si>
    <t>Accrued interest</t>
  </si>
  <si>
    <t>Accrued taxes</t>
  </si>
  <si>
    <t>Other accrued liabilities</t>
  </si>
  <si>
    <t>Total Current Liabilities</t>
  </si>
  <si>
    <t>Accounts payable</t>
  </si>
  <si>
    <t>Deferred credits and other liabilities:</t>
  </si>
  <si>
    <t>Deferred income taxes and investments tax credits</t>
  </si>
  <si>
    <t>Customers' advances for construction</t>
  </si>
  <si>
    <t>Regulatory Liabilities</t>
  </si>
  <si>
    <t>Other</t>
  </si>
  <si>
    <t>Total Deferred credits and other liabilities</t>
  </si>
  <si>
    <t>Contributions in aid of construction</t>
  </si>
  <si>
    <t>Total liabilities and equity</t>
  </si>
  <si>
    <t>Income tax receivable</t>
  </si>
  <si>
    <t>Long-term debt, excluding current portion</t>
  </si>
  <si>
    <t>Commitment and contingencies (note 9)</t>
  </si>
  <si>
    <t>Liabilities of discountinued operations held for sale</t>
  </si>
  <si>
    <t>Checl</t>
  </si>
  <si>
    <t>Difference</t>
  </si>
  <si>
    <t>Assets Check</t>
  </si>
  <si>
    <t>Other comprehensive income, net of tax</t>
  </si>
  <si>
    <t>Unrealized holding gain (loss) on investment</t>
  </si>
  <si>
    <t>Reclassification adjustment for gain reported in net income</t>
  </si>
  <si>
    <t>Comprehensive income</t>
  </si>
  <si>
    <t>Income Check</t>
  </si>
  <si>
    <t>American Water Works Company, Inc. and Subsidaries</t>
  </si>
  <si>
    <t>Restricted Funds</t>
  </si>
  <si>
    <t>Other Assets</t>
  </si>
  <si>
    <t>(Gain) loss on asset dispositions and purchases</t>
  </si>
  <si>
    <t>Revenue Growth</t>
  </si>
  <si>
    <t>Revenue Growth % per year</t>
  </si>
  <si>
    <t>Op Ex as % of Revenues</t>
  </si>
  <si>
    <t>Depr as % of Gross Book</t>
  </si>
  <si>
    <t>Amortization as % of Goodwill</t>
  </si>
  <si>
    <t>General Tax as % of Revenues</t>
  </si>
  <si>
    <t>Interest Exp as % of Debt</t>
  </si>
  <si>
    <t>Net Additions</t>
  </si>
  <si>
    <t>Retirements</t>
  </si>
  <si>
    <t>Additions</t>
  </si>
  <si>
    <t>Net Depreciation</t>
  </si>
  <si>
    <t>Adds as % of Begin Balance</t>
  </si>
  <si>
    <t>Retirements as % of Begin Balance</t>
  </si>
  <si>
    <t>Working Capital</t>
  </si>
  <si>
    <t>Current Assets</t>
  </si>
  <si>
    <t>Current Liabilities</t>
  </si>
  <si>
    <t>Working capital</t>
  </si>
  <si>
    <t>General Taxes as % of Revenues</t>
  </si>
  <si>
    <t>General Tax as % of Net Plant</t>
  </si>
  <si>
    <t>General Taxes as % of Net Plant</t>
  </si>
  <si>
    <t>Depr Exp as % of Gross Plant</t>
  </si>
  <si>
    <t>Adds</t>
  </si>
  <si>
    <t>Deprecition Exp</t>
  </si>
  <si>
    <t>Adds as % of Begin Bal</t>
  </si>
  <si>
    <t>Retirement as % of Begin Balance</t>
  </si>
  <si>
    <t>Income taxes as % of Income before tax</t>
  </si>
  <si>
    <t>Income Taxes as % of Income Before Taxes</t>
  </si>
  <si>
    <t>Working capital as % of Revenues</t>
  </si>
  <si>
    <t>North Maine Utilities</t>
  </si>
  <si>
    <t>Seller</t>
  </si>
  <si>
    <t>Property</t>
  </si>
  <si>
    <t>Date</t>
  </si>
  <si>
    <t>Purchase Price</t>
  </si>
  <si>
    <t>14 Systems water &amp; Wastewater system</t>
  </si>
  <si>
    <t>16 Systems water &amp; Wastewater system</t>
  </si>
  <si>
    <t>15 Systems water &amp; Wastewater system</t>
  </si>
  <si>
    <t>Customers</t>
  </si>
  <si>
    <t>Revenues</t>
  </si>
  <si>
    <t>Subtotal 2015</t>
  </si>
  <si>
    <t>PP/Customer</t>
  </si>
  <si>
    <t>PP/Revenues</t>
  </si>
  <si>
    <t>Superior Water Company, Inc</t>
  </si>
  <si>
    <t>Berks, Chester, and Montgomery counties, Pennsylvania</t>
  </si>
  <si>
    <t>American Ohio Water and Wastewater</t>
  </si>
  <si>
    <t>16 Systems water &amp; Wastewater system in six states</t>
  </si>
  <si>
    <t>Village of Glenview, Illinois Water &amp; Wastewater</t>
  </si>
  <si>
    <t>51 Systems water &amp; 5 Wastewater system</t>
  </si>
  <si>
    <t>15 Systems water &amp; Wastewater system in 3 states</t>
  </si>
  <si>
    <t>Subtotal 2012</t>
  </si>
  <si>
    <t>Subtotal 2013</t>
  </si>
  <si>
    <t>Galena waste water Floyd, Indiana</t>
  </si>
  <si>
    <t>Eastwood Manor Water Company &amp; Nunda Utility Company McHendry County, Illinois</t>
  </si>
  <si>
    <t>Golf Greenwood Gardens Water and Wastewater Cook County, Illinois</t>
  </si>
  <si>
    <t>Clear Meadow water Mecklenburg County, North Carolina</t>
  </si>
  <si>
    <t>Q1 2016</t>
  </si>
  <si>
    <t>Q2 2016</t>
  </si>
  <si>
    <t>Crystal Clear Water Company City of Crystal Lake, McHendry County, Illinois</t>
  </si>
  <si>
    <t>Byram Homeowners Association Water Company Byram Township, Sussex, New Jersey</t>
  </si>
  <si>
    <t>Twin Cedars water system Caroline County, Virginia</t>
  </si>
  <si>
    <t>Subtotal 2016</t>
  </si>
  <si>
    <t>Pops</t>
  </si>
  <si>
    <t>Illinois Water Systems Viability Act 98-0213</t>
  </si>
  <si>
    <t>Earnings</t>
  </si>
  <si>
    <t>American Water - Ohio</t>
  </si>
  <si>
    <t>PP&amp;E</t>
  </si>
  <si>
    <t>Other long-term assets</t>
  </si>
  <si>
    <t>Total assets acquired</t>
  </si>
  <si>
    <t>Long-term, excluding current portion</t>
  </si>
  <si>
    <t>Other long-term liabilities</t>
  </si>
  <si>
    <t>Total liabilities assumed</t>
  </si>
  <si>
    <t>Net assets acquired</t>
  </si>
  <si>
    <t>May 1, 2012</t>
  </si>
  <si>
    <t>Purchased Price</t>
  </si>
  <si>
    <t>PP/Rev</t>
  </si>
  <si>
    <t>Utility Plant</t>
  </si>
  <si>
    <t>Completed Not Classified</t>
  </si>
  <si>
    <t xml:space="preserve">Property Held </t>
  </si>
  <si>
    <t>CWIP</t>
  </si>
  <si>
    <t>Utility Plant Acq Zdjust</t>
  </si>
  <si>
    <t>Total Plant</t>
  </si>
  <si>
    <t>Accu Dep</t>
  </si>
  <si>
    <t>Net book</t>
  </si>
  <si>
    <t>Aqua America acquistions of American Water's Ohio Property</t>
  </si>
  <si>
    <t>Aqua's Purchase Price Allocation</t>
  </si>
  <si>
    <t>6 Systems water &amp; Wastewater system</t>
  </si>
  <si>
    <t>Plant</t>
  </si>
  <si>
    <t>Liabilities</t>
  </si>
  <si>
    <t>CIAC</t>
  </si>
  <si>
    <t>PPA</t>
  </si>
  <si>
    <t>9 Systems water &amp; Wastewater system</t>
  </si>
  <si>
    <t>Other Asets</t>
  </si>
  <si>
    <t>10 Systems water &amp; Wastewater system</t>
  </si>
  <si>
    <t>Aqua New York</t>
  </si>
  <si>
    <t>5/1/2012</t>
  </si>
  <si>
    <t>long term debt</t>
  </si>
  <si>
    <t>Deferred taxes</t>
  </si>
  <si>
    <t>Pension</t>
  </si>
  <si>
    <t>other liabilities</t>
  </si>
  <si>
    <t>Assumed liabilites</t>
  </si>
  <si>
    <t>Other 9 Systems water &amp; Wastewater system</t>
  </si>
  <si>
    <t>13 Systems water &amp; Wastewater system</t>
  </si>
  <si>
    <t>Residential Water</t>
  </si>
  <si>
    <t>Commerical Water</t>
  </si>
  <si>
    <t>Industrial Water</t>
  </si>
  <si>
    <t>Other Water</t>
  </si>
  <si>
    <t>Wastewater</t>
  </si>
  <si>
    <t>Total Utility Customers</t>
  </si>
  <si>
    <t>Other ytility</t>
  </si>
  <si>
    <t>Total Utility Revenues</t>
  </si>
  <si>
    <t>Customer Growth</t>
  </si>
  <si>
    <t>Tariff rate growth</t>
  </si>
  <si>
    <t>Average Statistics</t>
  </si>
  <si>
    <t>2010 through 2015</t>
  </si>
  <si>
    <t>2013 through 2015</t>
  </si>
  <si>
    <t>Residential</t>
  </si>
  <si>
    <t>Commerical</t>
  </si>
  <si>
    <t>Industrial</t>
  </si>
  <si>
    <t>Private fire</t>
  </si>
  <si>
    <t>Public Authority &amp; Other</t>
  </si>
  <si>
    <t>Total Water Customers</t>
  </si>
  <si>
    <t>Water</t>
  </si>
  <si>
    <t>Water Service</t>
  </si>
  <si>
    <t>Public &amp; other</t>
  </si>
  <si>
    <t>Total Water Service</t>
  </si>
  <si>
    <t>Wastewater Service</t>
  </si>
  <si>
    <t>Total Revenues</t>
  </si>
  <si>
    <t>Growth</t>
  </si>
  <si>
    <t>Water Revenue Growth</t>
  </si>
  <si>
    <t>Water Customer Growth</t>
  </si>
  <si>
    <t>Water Rate Growth</t>
  </si>
  <si>
    <t>Wastewater Revenue Growth</t>
  </si>
  <si>
    <t>Wastewater Customer Growth</t>
  </si>
  <si>
    <t>Wastewater Rate Growth</t>
  </si>
  <si>
    <t>American</t>
  </si>
  <si>
    <t>Aqua</t>
  </si>
  <si>
    <t>Revenue Growth Rates</t>
  </si>
  <si>
    <t>Annual Revenues per customer</t>
  </si>
  <si>
    <t>Total water</t>
  </si>
  <si>
    <t>Total Water</t>
  </si>
  <si>
    <t>Operating Expenses</t>
  </si>
  <si>
    <t>Operations &amp; Maintenance</t>
  </si>
  <si>
    <t>O&amp;M Exp as % of Rev.</t>
  </si>
  <si>
    <t>Depr as % of End Gross Plant</t>
  </si>
  <si>
    <t>Taxes Other than Income Taxes</t>
  </si>
  <si>
    <t>Other taxes as %  of Net Plant</t>
  </si>
  <si>
    <t>Other (Income) / Expense</t>
  </si>
  <si>
    <t>Interest Expense</t>
  </si>
  <si>
    <t>Interest Exp as % of Long-Term Debt</t>
  </si>
  <si>
    <t>Income Taxes as % of EBT</t>
  </si>
  <si>
    <t>Income Taxes</t>
  </si>
  <si>
    <t>Income after Income Taxes (calc'd)</t>
  </si>
  <si>
    <t>Total Operating Expenses (calc'd)</t>
  </si>
  <si>
    <t>Income before State and Federal Taxes (EBT) (calc'd)</t>
  </si>
  <si>
    <t>Operating Income (EBIT) (calc'd)</t>
  </si>
  <si>
    <t>Earnings before interest, depreciation &amp; Amortization, and Taxes (EBITDA) (calc'd)</t>
  </si>
  <si>
    <t>Average</t>
  </si>
  <si>
    <t>Use</t>
  </si>
  <si>
    <t>Property, Plant, and Equipment</t>
  </si>
  <si>
    <t>Begin Balance</t>
  </si>
  <si>
    <t>Accumulated Reserve for Depreciation</t>
  </si>
  <si>
    <t>Begin Reserve Balance</t>
  </si>
  <si>
    <t>Transfers &amp; Adjustments</t>
  </si>
  <si>
    <t>Net Plant Begin Balance (calc'd)</t>
  </si>
  <si>
    <t>Ending Balance (calc'd)</t>
  </si>
  <si>
    <t>Ending Reserve Balance (calc'd)</t>
  </si>
  <si>
    <t>Adds as % of Beg Plant Balance</t>
  </si>
  <si>
    <t>Rets as % of Beg Plant Balance</t>
  </si>
  <si>
    <t>Trnsf as % of Beg Plant Balance</t>
  </si>
  <si>
    <t>Depr as a % of Beg Plnt Bal</t>
  </si>
  <si>
    <t>CA as % of Rev</t>
  </si>
  <si>
    <t>Long Term Debt</t>
  </si>
  <si>
    <t>Contribution in Aid of Construction</t>
  </si>
  <si>
    <t>Total Liabilities</t>
  </si>
  <si>
    <t>Equity</t>
  </si>
  <si>
    <t>Authorized Shares</t>
  </si>
  <si>
    <t>Capital @ Par</t>
  </si>
  <si>
    <t>Capital in Excess of Par</t>
  </si>
  <si>
    <t>Retained Earnings</t>
  </si>
  <si>
    <t>Begin Year</t>
  </si>
  <si>
    <t>Income from Operations</t>
  </si>
  <si>
    <t xml:space="preserve">Dividends paid </t>
  </si>
  <si>
    <t>Other Retained earnings</t>
  </si>
  <si>
    <t>Ending Year</t>
  </si>
  <si>
    <t>Total Libilities and Stockholder equity</t>
  </si>
  <si>
    <t>Equity Par Value</t>
  </si>
  <si>
    <t>Begin Long term Debt</t>
  </si>
  <si>
    <t>Additional Debt</t>
  </si>
  <si>
    <t>Current Debt</t>
  </si>
  <si>
    <t>Ending Long term Debt</t>
  </si>
  <si>
    <t>CL as % of Rev</t>
  </si>
  <si>
    <t>Deferred Liabilities</t>
  </si>
  <si>
    <t>CapitalExpenditures</t>
  </si>
  <si>
    <t>Transmission &amp; Distribution</t>
  </si>
  <si>
    <t>Treatment &amp; Pumping</t>
  </si>
  <si>
    <t>Services, meter &amp; Fire hydrants</t>
  </si>
  <si>
    <t>General Structures &amp; Equipment</t>
  </si>
  <si>
    <t>Business transformation projects</t>
  </si>
  <si>
    <t>Sources of Supply</t>
  </si>
  <si>
    <t>Water Plant</t>
  </si>
  <si>
    <t>Land &amp; othe non-depreciable assets</t>
  </si>
  <si>
    <t>Source of Supply</t>
  </si>
  <si>
    <t>Treatment &amp; pumping facilities</t>
  </si>
  <si>
    <t>Treansmission &amp; Distribution facilities</t>
  </si>
  <si>
    <t>Services, meters, and fire hydrants</t>
  </si>
  <si>
    <t>General Structures &amp; equipment</t>
  </si>
  <si>
    <t>CapX Rate</t>
  </si>
  <si>
    <t>10 water &amp; 5 wastewater</t>
  </si>
  <si>
    <t>Watewater Treatment</t>
  </si>
  <si>
    <t>Waste Collection</t>
  </si>
  <si>
    <t>Total CapX</t>
  </si>
  <si>
    <t>America Water stockholders' equity</t>
  </si>
  <si>
    <t>Total America equity</t>
  </si>
  <si>
    <t>Market Valuation</t>
  </si>
  <si>
    <t>Stock Price @ 12-31-Year</t>
  </si>
  <si>
    <t>Debt</t>
  </si>
  <si>
    <t>million</t>
  </si>
  <si>
    <t>US Water Industry</t>
  </si>
  <si>
    <t>Financial and Operational Statistics</t>
  </si>
  <si>
    <t>Operating Statistics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</si>
</sst>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5" fillId="0" borderId="0" xfId="1" applyNumberFormat="1" applyFont="1"/>
    <xf numFmtId="164" fontId="2" fillId="0" borderId="0" xfId="1" applyNumberFormat="1" applyFont="1"/>
    <xf numFmtId="164" fontId="5" fillId="0" borderId="0" xfId="0" applyNumberFormat="1" applyFont="1"/>
    <xf numFmtId="10" fontId="0" fillId="0" borderId="0" xfId="2" applyNumberFormat="1" applyFont="1"/>
    <xf numFmtId="165" fontId="0" fillId="0" borderId="0" xfId="1" applyNumberFormat="1" applyFont="1"/>
    <xf numFmtId="164" fontId="6" fillId="0" borderId="0" xfId="1" applyNumberFormat="1" applyFont="1"/>
    <xf numFmtId="164" fontId="6" fillId="0" borderId="0" xfId="0" applyNumberFormat="1" applyFont="1"/>
    <xf numFmtId="17" fontId="0" fillId="0" borderId="0" xfId="0" applyNumberFormat="1"/>
    <xf numFmtId="43" fontId="0" fillId="0" borderId="0" xfId="1" applyFont="1"/>
    <xf numFmtId="164" fontId="0" fillId="0" borderId="0" xfId="1" applyNumberFormat="1" applyFont="1" applyAlignment="1">
      <alignment horizontal="center" wrapText="1"/>
    </xf>
    <xf numFmtId="164" fontId="0" fillId="0" borderId="0" xfId="1" quotePrefix="1" applyNumberFormat="1" applyFont="1"/>
    <xf numFmtId="43" fontId="0" fillId="0" borderId="0" xfId="1" applyNumberFormat="1" applyFont="1"/>
    <xf numFmtId="43" fontId="0" fillId="0" borderId="0" xfId="0" applyNumberFormat="1"/>
    <xf numFmtId="1" fontId="0" fillId="0" borderId="0" xfId="0" applyNumberFormat="1" applyAlignment="1">
      <alignment horizontal="center" wrapText="1"/>
    </xf>
    <xf numFmtId="1" fontId="0" fillId="0" borderId="0" xfId="0" applyNumberFormat="1"/>
    <xf numFmtId="164" fontId="3" fillId="0" borderId="0" xfId="1" applyNumberFormat="1" applyFont="1" applyAlignment="1">
      <alignment horizontal="center" wrapText="1"/>
    </xf>
    <xf numFmtId="1" fontId="0" fillId="0" borderId="0" xfId="0" quotePrefix="1" applyNumberFormat="1"/>
    <xf numFmtId="1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166" fontId="0" fillId="0" borderId="0" xfId="2" applyNumberFormat="1" applyFont="1"/>
    <xf numFmtId="10" fontId="3" fillId="0" borderId="0" xfId="2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15" sqref="A15"/>
    </sheetView>
  </sheetViews>
  <sheetFormatPr defaultRowHeight="15"/>
  <cols>
    <col min="1" max="1" width="36.7109375" customWidth="1"/>
  </cols>
  <sheetData>
    <row r="1" spans="1:3" s="1" customFormat="1" ht="45">
      <c r="A1" s="1" t="s">
        <v>20</v>
      </c>
      <c r="B1" s="1" t="s">
        <v>21</v>
      </c>
      <c r="C1" s="1" t="s">
        <v>22</v>
      </c>
    </row>
    <row r="2" spans="1:3">
      <c r="A2" t="s">
        <v>0</v>
      </c>
      <c r="B2" t="s">
        <v>1</v>
      </c>
      <c r="C2" t="s">
        <v>2</v>
      </c>
    </row>
    <row r="3" spans="1:3">
      <c r="A3" t="s">
        <v>3</v>
      </c>
      <c r="B3" t="s">
        <v>1</v>
      </c>
      <c r="C3" t="s">
        <v>4</v>
      </c>
    </row>
    <row r="4" spans="1:3">
      <c r="A4" t="s">
        <v>5</v>
      </c>
      <c r="B4" t="s">
        <v>1</v>
      </c>
      <c r="C4" t="s">
        <v>6</v>
      </c>
    </row>
    <row r="5" spans="1:3">
      <c r="A5" t="s">
        <v>7</v>
      </c>
      <c r="B5" t="s">
        <v>8</v>
      </c>
      <c r="C5" t="s">
        <v>9</v>
      </c>
    </row>
    <row r="6" spans="1:3">
      <c r="A6" t="s">
        <v>10</v>
      </c>
      <c r="B6" t="s">
        <v>1</v>
      </c>
      <c r="C6" t="s">
        <v>11</v>
      </c>
    </row>
    <row r="7" spans="1:3">
      <c r="A7" t="s">
        <v>12</v>
      </c>
      <c r="B7" t="s">
        <v>8</v>
      </c>
      <c r="C7" t="s">
        <v>13</v>
      </c>
    </row>
    <row r="8" spans="1:3">
      <c r="A8" t="s">
        <v>14</v>
      </c>
      <c r="B8" t="s">
        <v>8</v>
      </c>
      <c r="C8" t="s">
        <v>15</v>
      </c>
    </row>
    <row r="9" spans="1:3">
      <c r="A9" t="s">
        <v>16</v>
      </c>
      <c r="B9" t="s">
        <v>1</v>
      </c>
      <c r="C9" t="s">
        <v>17</v>
      </c>
    </row>
    <row r="10" spans="1:3">
      <c r="A10" t="s">
        <v>18</v>
      </c>
      <c r="B10" t="s">
        <v>8</v>
      </c>
      <c r="C10" t="s">
        <v>19</v>
      </c>
    </row>
    <row r="16" spans="1:3">
      <c r="C16" t="s">
        <v>23</v>
      </c>
    </row>
    <row r="17" spans="3:5">
      <c r="C17" t="s">
        <v>24</v>
      </c>
    </row>
    <row r="18" spans="3:5">
      <c r="C18" t="s">
        <v>4</v>
      </c>
      <c r="E18">
        <v>4200</v>
      </c>
    </row>
    <row r="19" spans="3:5">
      <c r="C19" t="s">
        <v>25</v>
      </c>
      <c r="E19">
        <v>200</v>
      </c>
    </row>
    <row r="20" spans="3:5">
      <c r="C20" t="s">
        <v>26</v>
      </c>
      <c r="E20">
        <f>E18/E19</f>
        <v>21</v>
      </c>
    </row>
    <row r="21" spans="3:5">
      <c r="C21" t="s">
        <v>27</v>
      </c>
    </row>
    <row r="22" spans="3:5">
      <c r="C22" t="s">
        <v>28</v>
      </c>
    </row>
    <row r="23" spans="3:5">
      <c r="C23" t="s">
        <v>29</v>
      </c>
    </row>
    <row r="24" spans="3:5">
      <c r="C24" t="s">
        <v>30</v>
      </c>
    </row>
    <row r="25" spans="3:5">
      <c r="C25" t="s">
        <v>31</v>
      </c>
    </row>
    <row r="26" spans="3:5">
      <c r="C26" t="s">
        <v>32</v>
      </c>
    </row>
    <row r="27" spans="3:5">
      <c r="C27" t="s">
        <v>33</v>
      </c>
    </row>
    <row r="28" spans="3:5">
      <c r="C28" t="s">
        <v>34</v>
      </c>
    </row>
    <row r="29" spans="3:5">
      <c r="C29" t="s">
        <v>35</v>
      </c>
    </row>
    <row r="30" spans="3:5">
      <c r="C30" t="s">
        <v>36</v>
      </c>
    </row>
    <row r="31" spans="3:5">
      <c r="C31" t="s">
        <v>2</v>
      </c>
    </row>
    <row r="32" spans="3:5">
      <c r="C32" t="s">
        <v>9</v>
      </c>
    </row>
    <row r="33" spans="3:3">
      <c r="C33" t="s">
        <v>13</v>
      </c>
    </row>
    <row r="34" spans="3:3">
      <c r="C34" t="s">
        <v>11</v>
      </c>
    </row>
    <row r="35" spans="3:3">
      <c r="C35" t="s">
        <v>15</v>
      </c>
    </row>
    <row r="36" spans="3:3">
      <c r="C36" t="s">
        <v>17</v>
      </c>
    </row>
    <row r="37" spans="3:3">
      <c r="C37" t="s">
        <v>6</v>
      </c>
    </row>
    <row r="38" spans="3:3">
      <c r="C38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5"/>
  <sheetViews>
    <sheetView topLeftCell="A86" workbookViewId="0">
      <selection activeCell="A50" sqref="A50:D115"/>
    </sheetView>
  </sheetViews>
  <sheetFormatPr defaultRowHeight="15"/>
  <cols>
    <col min="1" max="1" width="35.28515625" customWidth="1"/>
    <col min="2" max="2" width="18" bestFit="1" customWidth="1"/>
    <col min="3" max="3" width="15.5703125" customWidth="1"/>
    <col min="4" max="4" width="10.85546875" customWidth="1"/>
  </cols>
  <sheetData>
    <row r="1" spans="1:5">
      <c r="A1" t="s">
        <v>339</v>
      </c>
    </row>
    <row r="2" spans="1:5">
      <c r="A2" t="s">
        <v>340</v>
      </c>
    </row>
    <row r="3" spans="1:5">
      <c r="B3" s="9" t="s">
        <v>256</v>
      </c>
      <c r="C3" s="9" t="s">
        <v>257</v>
      </c>
      <c r="D3" s="9" t="s">
        <v>278</v>
      </c>
      <c r="E3" s="9" t="s">
        <v>279</v>
      </c>
    </row>
    <row r="4" spans="1:5">
      <c r="A4" s="7" t="s">
        <v>59</v>
      </c>
    </row>
    <row r="5" spans="1:5">
      <c r="A5" t="s">
        <v>243</v>
      </c>
    </row>
    <row r="6" spans="1:5">
      <c r="A6" t="s">
        <v>159</v>
      </c>
      <c r="B6" s="2">
        <f>'American Water'!E138</f>
        <v>3112154</v>
      </c>
      <c r="C6" s="2">
        <f>'Aqua America'!E133</f>
        <v>850328</v>
      </c>
    </row>
    <row r="7" spans="1:5">
      <c r="A7" t="s">
        <v>160</v>
      </c>
      <c r="B7" s="2">
        <f>'American Water'!E156*1000</f>
        <v>2595000000</v>
      </c>
      <c r="C7" s="2">
        <f>'Aqua America'!E145*1000</f>
        <v>689468000</v>
      </c>
    </row>
    <row r="8" spans="1:5">
      <c r="A8" t="s">
        <v>123</v>
      </c>
      <c r="B8" s="27">
        <f>'American Water'!D163</f>
        <v>3.6826165437491024E-2</v>
      </c>
      <c r="C8" s="27">
        <f>'Aqua America'!D156</f>
        <v>3.7297829182356947E-2</v>
      </c>
      <c r="D8" s="27">
        <f>AVERAGE(B8,C8)</f>
        <v>3.7061997309923989E-2</v>
      </c>
    </row>
    <row r="9" spans="1:5">
      <c r="A9" t="s">
        <v>232</v>
      </c>
      <c r="B9" s="27">
        <f>'American Water'!D164</f>
        <v>7.5108548561196604E-3</v>
      </c>
      <c r="C9" s="27">
        <f>'Aqua America'!D157</f>
        <v>2.019790137038182E-2</v>
      </c>
      <c r="D9" s="27">
        <f t="shared" ref="D9:D10" si="0">AVERAGE(B9,C9)</f>
        <v>1.3854378113250739E-2</v>
      </c>
    </row>
    <row r="10" spans="1:5">
      <c r="A10" t="s">
        <v>258</v>
      </c>
      <c r="B10" s="27">
        <f>'American Water'!D165</f>
        <v>2.9315310581371365E-2</v>
      </c>
      <c r="C10" s="27">
        <f>'Aqua America'!D158</f>
        <v>1.7099927811975127E-2</v>
      </c>
      <c r="D10" s="27">
        <f t="shared" si="0"/>
        <v>2.3207619196673246E-2</v>
      </c>
    </row>
    <row r="11" spans="1:5">
      <c r="A11" t="s">
        <v>259</v>
      </c>
      <c r="B11" s="18">
        <f>ROUND(B7/B6,2)</f>
        <v>833.83</v>
      </c>
      <c r="C11" s="18">
        <f>ROUND(C7/C6,2)</f>
        <v>810.83</v>
      </c>
    </row>
    <row r="12" spans="1:5">
      <c r="B12" s="18"/>
    </row>
    <row r="13" spans="1:5">
      <c r="A13" t="s">
        <v>228</v>
      </c>
    </row>
    <row r="14" spans="1:5">
      <c r="A14" t="s">
        <v>159</v>
      </c>
      <c r="B14" s="2">
        <f>'American Water'!E148</f>
        <v>140537</v>
      </c>
      <c r="C14" s="2">
        <f>'Aqua America'!E135</f>
        <v>107538</v>
      </c>
    </row>
    <row r="15" spans="1:5">
      <c r="A15" t="s">
        <v>160</v>
      </c>
      <c r="B15" s="2">
        <f>'American Water'!E158*1000</f>
        <v>97000000</v>
      </c>
      <c r="C15" s="2">
        <f>'Aqua America'!E147*1000</f>
        <v>79399000</v>
      </c>
    </row>
    <row r="16" spans="1:5">
      <c r="A16" t="s">
        <v>123</v>
      </c>
      <c r="B16" s="27">
        <f>'American Water'!D167</f>
        <v>7.1151110615156068E-2</v>
      </c>
      <c r="C16" s="27">
        <f>'Aqua America'!D160</f>
        <v>5.05233200241514E-2</v>
      </c>
      <c r="D16" s="27">
        <f t="shared" ref="D16:D18" si="1">AVERAGE(B16,C16)</f>
        <v>6.0837215319653734E-2</v>
      </c>
    </row>
    <row r="17" spans="1:4">
      <c r="A17" t="s">
        <v>232</v>
      </c>
      <c r="B17" s="27">
        <f>'American Water'!D168</f>
        <v>7.6702614561527049E-2</v>
      </c>
      <c r="C17" s="27">
        <f>'Aqua America'!D161</f>
        <v>4.6302501550860874E-2</v>
      </c>
      <c r="D17" s="27">
        <f t="shared" si="1"/>
        <v>6.1502558056193965E-2</v>
      </c>
    </row>
    <row r="18" spans="1:4">
      <c r="A18" t="s">
        <v>258</v>
      </c>
      <c r="B18" s="27">
        <f>'American Water'!D169</f>
        <v>-5.5515039463709809E-3</v>
      </c>
      <c r="C18" s="27">
        <f>'Aqua America'!D162</f>
        <v>4.220818473290526E-3</v>
      </c>
      <c r="D18" s="27">
        <f t="shared" si="1"/>
        <v>-6.6534273654022744E-4</v>
      </c>
    </row>
    <row r="19" spans="1:4">
      <c r="A19" t="s">
        <v>259</v>
      </c>
      <c r="B19" s="18">
        <f>ROUND(B15/B14,2)</f>
        <v>690.21</v>
      </c>
      <c r="C19" s="18">
        <f>ROUND(C15/C14,2)</f>
        <v>738.33</v>
      </c>
    </row>
    <row r="21" spans="1:4">
      <c r="A21" t="s">
        <v>248</v>
      </c>
      <c r="B21" s="8">
        <f>B7+B15</f>
        <v>2692000000</v>
      </c>
      <c r="C21" s="8">
        <f>C7+C15</f>
        <v>768867000</v>
      </c>
    </row>
    <row r="22" spans="1:4">
      <c r="B22" s="8"/>
      <c r="C22" s="8"/>
    </row>
    <row r="23" spans="1:4">
      <c r="A23" t="s">
        <v>262</v>
      </c>
    </row>
    <row r="24" spans="1:4">
      <c r="A24" t="s">
        <v>263</v>
      </c>
      <c r="B24" s="2">
        <f>'American Water'!E7*1000</f>
        <v>3159000000</v>
      </c>
      <c r="C24" s="2">
        <f>'Aqua America'!E10*1000</f>
        <v>309310000</v>
      </c>
    </row>
    <row r="25" spans="1:4">
      <c r="A25" s="5" t="s">
        <v>264</v>
      </c>
      <c r="B25" s="27">
        <f>'American Water'!D11</f>
        <v>0.46721692044187585</v>
      </c>
      <c r="C25" s="27">
        <f>'Aqua America'!D11</f>
        <v>0.37242405472671369</v>
      </c>
      <c r="D25" s="27">
        <f t="shared" ref="D25" si="2">AVERAGE(B25,C25)</f>
        <v>0.4198204875842948</v>
      </c>
    </row>
    <row r="27" spans="1:4">
      <c r="A27" t="s">
        <v>40</v>
      </c>
      <c r="B27" s="2">
        <f>'American Water'!E12*1000</f>
        <v>440000000</v>
      </c>
      <c r="C27" s="2">
        <f>'Aqua America'!E12*1000</f>
        <v>125290000</v>
      </c>
    </row>
    <row r="28" spans="1:4">
      <c r="A28" t="s">
        <v>265</v>
      </c>
      <c r="B28" s="27">
        <f>'American Water'!D13</f>
        <v>2.4306646731261716E-2</v>
      </c>
      <c r="C28" s="27">
        <f>'Aqua America'!D13</f>
        <v>2.1924571795982225E-2</v>
      </c>
      <c r="D28" s="27">
        <f t="shared" ref="D28" si="3">AVERAGE(B28,C28)</f>
        <v>2.311560926362197E-2</v>
      </c>
    </row>
    <row r="29" spans="1:4">
      <c r="B29" s="2"/>
      <c r="C29" s="2"/>
    </row>
    <row r="30" spans="1:4">
      <c r="A30" t="s">
        <v>266</v>
      </c>
      <c r="B30" s="2">
        <f>'American Water'!E15*1000</f>
        <v>243000000</v>
      </c>
      <c r="C30" s="2">
        <f>'Aqua America'!E16*1000</f>
        <v>55057000</v>
      </c>
    </row>
    <row r="31" spans="1:4">
      <c r="A31" t="s">
        <v>267</v>
      </c>
      <c r="B31" s="27">
        <f>'American Water'!D17</f>
        <v>1.8698000672762598E-2</v>
      </c>
      <c r="C31" s="27">
        <f>'Aqua America'!D18</f>
        <v>1.1866673329885001E-2</v>
      </c>
      <c r="D31" s="27">
        <f t="shared" ref="D31" si="4">AVERAGE(B31,C31)</f>
        <v>1.5282337001323799E-2</v>
      </c>
    </row>
    <row r="33" spans="1:4">
      <c r="A33" t="s">
        <v>274</v>
      </c>
      <c r="B33" s="2">
        <f>'American Water'!E19*1000</f>
        <v>2084000000</v>
      </c>
      <c r="C33" s="2">
        <f>'Aqua America'!E19*1000</f>
        <v>493104000</v>
      </c>
    </row>
    <row r="34" spans="1:4">
      <c r="B34" s="2"/>
      <c r="C34" s="2"/>
    </row>
    <row r="35" spans="1:4">
      <c r="A35" t="s">
        <v>276</v>
      </c>
      <c r="B35" s="2">
        <f>'American Water'!E21*1000</f>
        <v>1075000000</v>
      </c>
      <c r="C35" s="2">
        <f>'Aqua America'!E21*1000</f>
        <v>321100000</v>
      </c>
    </row>
    <row r="37" spans="1:4">
      <c r="A37" t="s">
        <v>268</v>
      </c>
    </row>
    <row r="38" spans="1:4">
      <c r="A38" s="5" t="s">
        <v>269</v>
      </c>
      <c r="B38" s="2">
        <f>'American Water'!E24*1000</f>
        <v>308000000</v>
      </c>
      <c r="C38" s="2">
        <f>'Aqua America'!E24*1000</f>
        <v>76536000</v>
      </c>
    </row>
    <row r="39" spans="1:4">
      <c r="A39" t="s">
        <v>270</v>
      </c>
      <c r="B39" s="27">
        <f>'American Water'!D25</f>
        <v>5.7638074848538362E-2</v>
      </c>
      <c r="C39" s="27">
        <f>'Aqua America'!D25</f>
        <v>4.9919751265706275E-2</v>
      </c>
      <c r="D39" s="27">
        <f t="shared" ref="D39" si="5">AVERAGE(B39,C39)</f>
        <v>5.3778913057122318E-2</v>
      </c>
    </row>
    <row r="41" spans="1:4" ht="30">
      <c r="A41" s="28" t="s">
        <v>275</v>
      </c>
      <c r="B41" s="2">
        <f>'American Water'!E30*1000</f>
        <v>782000000</v>
      </c>
      <c r="C41" s="2">
        <f>'Aqua America'!E30*1000</f>
        <v>216752000</v>
      </c>
    </row>
    <row r="42" spans="1:4">
      <c r="A42" s="28"/>
      <c r="B42" s="2"/>
      <c r="C42" s="2"/>
    </row>
    <row r="43" spans="1:4">
      <c r="A43" s="28" t="s">
        <v>272</v>
      </c>
      <c r="B43" s="2">
        <f>'American Water'!E31</f>
        <v>306000</v>
      </c>
      <c r="C43" s="2">
        <f>'Aqua America'!E31</f>
        <v>14962</v>
      </c>
    </row>
    <row r="44" spans="1:4">
      <c r="A44" s="5" t="s">
        <v>271</v>
      </c>
      <c r="B44" s="27">
        <f>'American Water'!D32</f>
        <v>0.39720346672251233</v>
      </c>
      <c r="C44" s="27">
        <f>'Aqua America'!D32</f>
        <v>0.2092170160224395</v>
      </c>
      <c r="D44" s="27">
        <f t="shared" ref="D44" si="6">AVERAGE(B44,C44)</f>
        <v>0.30321024137247593</v>
      </c>
    </row>
    <row r="46" spans="1:4">
      <c r="A46" s="28" t="s">
        <v>273</v>
      </c>
      <c r="B46" s="2">
        <f>'American Water'!E33*1000</f>
        <v>476000000</v>
      </c>
      <c r="C46" s="2">
        <f>'Aqua America'!E33*1000</f>
        <v>201790000</v>
      </c>
    </row>
    <row r="48" spans="1:4" ht="45">
      <c r="A48" s="28" t="s">
        <v>277</v>
      </c>
      <c r="B48" s="8">
        <f>B46+B43+B38+B27</f>
        <v>1224306000</v>
      </c>
      <c r="C48" s="8">
        <f>C46+C43+C38+C27</f>
        <v>403630962</v>
      </c>
    </row>
    <row r="50" spans="1:4">
      <c r="A50" s="7" t="s">
        <v>60</v>
      </c>
    </row>
    <row r="51" spans="1:4">
      <c r="A51" t="s">
        <v>61</v>
      </c>
    </row>
    <row r="52" spans="1:4">
      <c r="A52" t="s">
        <v>280</v>
      </c>
    </row>
    <row r="53" spans="1:4">
      <c r="A53" t="s">
        <v>281</v>
      </c>
      <c r="B53" s="2">
        <f>'American Water'!E49*1000</f>
        <v>18504000000</v>
      </c>
      <c r="C53" s="2">
        <f>'Aqua America'!E49*1000</f>
        <v>6088011000</v>
      </c>
    </row>
    <row r="54" spans="1:4">
      <c r="A54" s="5" t="s">
        <v>132</v>
      </c>
      <c r="B54" s="2">
        <f>'American Water'!E53*1000</f>
        <v>1344000000</v>
      </c>
      <c r="C54" s="2">
        <f>'Aqua America'!E53*1000</f>
        <v>412225000</v>
      </c>
    </row>
    <row r="55" spans="1:4">
      <c r="A55" s="29" t="s">
        <v>288</v>
      </c>
      <c r="B55" s="27">
        <f>'American Water'!D54</f>
        <v>7.1656342285492572E-2</v>
      </c>
      <c r="C55" s="27">
        <f>'Aqua America'!D54</f>
        <v>7.1808777566735676E-2</v>
      </c>
      <c r="D55" s="27">
        <f t="shared" ref="D55" si="7">AVERAGE(B55,C55)</f>
        <v>7.1732559926114131E-2</v>
      </c>
    </row>
    <row r="56" spans="1:4">
      <c r="A56" s="5" t="s">
        <v>131</v>
      </c>
      <c r="B56" s="2">
        <f>'American Water'!E51*1000</f>
        <v>-109000000</v>
      </c>
      <c r="C56" s="2">
        <f>'Aqua America'!E51*1000</f>
        <v>-31231000</v>
      </c>
    </row>
    <row r="57" spans="1:4">
      <c r="A57" s="29" t="s">
        <v>289</v>
      </c>
      <c r="B57" s="27">
        <f>'American Water'!D52</f>
        <v>-8.9246310361739793E-3</v>
      </c>
      <c r="C57" s="27">
        <f>'Aqua America'!D52</f>
        <v>-8.415159542600071E-3</v>
      </c>
      <c r="D57" s="27">
        <f t="shared" ref="D57" si="8">AVERAGE(B57,C57)</f>
        <v>-8.6698952893870251E-3</v>
      </c>
    </row>
    <row r="58" spans="1:4">
      <c r="A58" s="5" t="s">
        <v>284</v>
      </c>
      <c r="B58">
        <v>0</v>
      </c>
      <c r="C58">
        <v>0</v>
      </c>
    </row>
    <row r="59" spans="1:4">
      <c r="A59" s="29" t="s">
        <v>290</v>
      </c>
      <c r="B59" s="27">
        <v>0</v>
      </c>
      <c r="C59" s="27">
        <v>0</v>
      </c>
      <c r="D59" s="27">
        <f t="shared" ref="D59" si="9">AVERAGE(B59,C59)</f>
        <v>0</v>
      </c>
    </row>
    <row r="60" spans="1:4">
      <c r="A60" t="s">
        <v>286</v>
      </c>
    </row>
    <row r="62" spans="1:4">
      <c r="A62" t="s">
        <v>282</v>
      </c>
    </row>
    <row r="63" spans="1:4">
      <c r="A63" t="s">
        <v>283</v>
      </c>
      <c r="B63" s="2">
        <f>'American Water'!E55*1000</f>
        <v>4571000000</v>
      </c>
      <c r="C63" s="2">
        <f>'Aqua America'!E55*1000</f>
        <v>1399086000</v>
      </c>
    </row>
    <row r="64" spans="1:4">
      <c r="A64" s="5" t="s">
        <v>40</v>
      </c>
      <c r="B64" s="2">
        <f>'American Water'!E57*1000</f>
        <v>440000000</v>
      </c>
      <c r="C64" s="2">
        <f>'Aqua America'!E57*1000</f>
        <v>125290000</v>
      </c>
    </row>
    <row r="65" spans="1:4">
      <c r="A65" s="29" t="s">
        <v>291</v>
      </c>
      <c r="B65" s="27">
        <f>'American Water'!D13</f>
        <v>2.4306646731261716E-2</v>
      </c>
      <c r="C65" s="27">
        <f>'Aqua America'!D13</f>
        <v>2.1924571795982225E-2</v>
      </c>
      <c r="D65" s="27">
        <f t="shared" ref="D65" si="10">AVERAGE(B65,C65)</f>
        <v>2.311560926362197E-2</v>
      </c>
    </row>
    <row r="66" spans="1:4">
      <c r="A66" s="5" t="s">
        <v>131</v>
      </c>
      <c r="B66" s="2">
        <f>'American Water'!E58*1000</f>
        <v>-109000000</v>
      </c>
      <c r="C66" s="2">
        <f>'Aqua America'!E58*1000</f>
        <v>-31231000</v>
      </c>
    </row>
    <row r="67" spans="1:4">
      <c r="A67" s="29" t="s">
        <v>289</v>
      </c>
      <c r="B67" s="27">
        <f>'American Water'!D52</f>
        <v>-8.9246310361739793E-3</v>
      </c>
      <c r="C67" s="27">
        <f>'Aqua America'!D52</f>
        <v>-8.415159542600071E-3</v>
      </c>
      <c r="D67" s="27">
        <f t="shared" ref="D67" si="11">AVERAGE(B67,C67)</f>
        <v>-8.6698952893870251E-3</v>
      </c>
    </row>
    <row r="68" spans="1:4">
      <c r="A68" s="5" t="s">
        <v>284</v>
      </c>
      <c r="B68">
        <v>0</v>
      </c>
      <c r="C68">
        <v>0</v>
      </c>
    </row>
    <row r="69" spans="1:4">
      <c r="A69" s="5"/>
      <c r="B69" s="27">
        <v>0</v>
      </c>
      <c r="C69" s="27">
        <v>0</v>
      </c>
      <c r="D69" s="27">
        <f t="shared" ref="D69" si="12">AVERAGE(B69,C69)</f>
        <v>0</v>
      </c>
    </row>
    <row r="70" spans="1:4">
      <c r="A70" t="s">
        <v>287</v>
      </c>
    </row>
    <row r="72" spans="1:4">
      <c r="A72" t="s">
        <v>285</v>
      </c>
      <c r="B72" s="2">
        <f>'American Water'!E59*1000</f>
        <v>13933000000</v>
      </c>
      <c r="C72" s="2">
        <f>'Aqua America'!E60*1000</f>
        <v>4688925000</v>
      </c>
    </row>
    <row r="74" spans="1:4">
      <c r="A74" t="s">
        <v>137</v>
      </c>
      <c r="B74" s="2">
        <f>'American Water'!E70*1000</f>
        <v>657000000</v>
      </c>
      <c r="C74" s="2">
        <f>'Aqua America'!E70*1000</f>
        <v>128370000</v>
      </c>
    </row>
    <row r="75" spans="1:4">
      <c r="A75" s="5" t="s">
        <v>292</v>
      </c>
      <c r="B75" s="27">
        <f>'American Water'!D71</f>
        <v>0.19918557479810628</v>
      </c>
      <c r="C75" s="27">
        <f>'Aqua America'!D71</f>
        <v>0.19284919229001243</v>
      </c>
      <c r="D75" s="27">
        <f t="shared" ref="D75" si="13">AVERAGE(B75,C75)</f>
        <v>0.19601738354405934</v>
      </c>
    </row>
    <row r="77" spans="1:4">
      <c r="A77" t="s">
        <v>71</v>
      </c>
      <c r="B77" s="2">
        <f>'American Water'!E73*1000</f>
        <v>1271000000</v>
      </c>
      <c r="C77" s="2">
        <f>'Aqua America'!E73*1000</f>
        <v>830118000</v>
      </c>
    </row>
    <row r="78" spans="1:4">
      <c r="A78" t="s">
        <v>75</v>
      </c>
      <c r="B78" s="2">
        <f>'American Water'!E77*1000</f>
        <v>1302000000</v>
      </c>
      <c r="C78" s="2">
        <f>'Aqua America'!E77*1000</f>
        <v>33866000</v>
      </c>
    </row>
    <row r="79" spans="1:4">
      <c r="A79" t="s">
        <v>121</v>
      </c>
      <c r="B79" s="2">
        <f>'American Water'!E78*1000</f>
        <v>78000000</v>
      </c>
      <c r="C79" s="2">
        <f>('Aqua America'!E74+'Aqua America'!E75+'Aqua America'!E76)*1000</f>
        <v>59759000</v>
      </c>
    </row>
    <row r="81" spans="1:4">
      <c r="A81" t="s">
        <v>76</v>
      </c>
      <c r="B81" s="2">
        <f>'American Water'!E79*1000</f>
        <v>17241000000</v>
      </c>
      <c r="C81" s="2">
        <f>'Aqua America'!E78*1000</f>
        <v>5741038000</v>
      </c>
    </row>
    <row r="83" spans="1:4">
      <c r="A83" t="s">
        <v>209</v>
      </c>
    </row>
    <row r="85" spans="1:4">
      <c r="A85" t="s">
        <v>138</v>
      </c>
      <c r="B85" s="2">
        <f>'American Water'!E107*1000</f>
        <v>1533000000</v>
      </c>
      <c r="C85" s="2">
        <f>'Aqua America'!E106*1000</f>
        <v>193199000</v>
      </c>
    </row>
    <row r="86" spans="1:4">
      <c r="A86" s="5" t="s">
        <v>312</v>
      </c>
      <c r="B86" s="27">
        <f>'American Water'!D108</f>
        <v>0.44401079938621546</v>
      </c>
      <c r="C86" s="27">
        <f>'Aqua America'!D107</f>
        <v>0.3712212195824684</v>
      </c>
      <c r="D86" s="27">
        <f t="shared" ref="D86" si="14">AVERAGE(B86,C86)</f>
        <v>0.40761600948434196</v>
      </c>
    </row>
    <row r="87" spans="1:4">
      <c r="A87" t="s">
        <v>293</v>
      </c>
    </row>
    <row r="88" spans="1:4">
      <c r="A88" t="s">
        <v>308</v>
      </c>
      <c r="B88" s="2">
        <f>'American Water'!E96*1000</f>
        <v>5874000000</v>
      </c>
      <c r="C88" s="2">
        <f>'Aqua America'!E95*1000</f>
        <v>1743612000</v>
      </c>
    </row>
    <row r="89" spans="1:4">
      <c r="A89" t="s">
        <v>309</v>
      </c>
      <c r="B89" s="2"/>
    </row>
    <row r="90" spans="1:4">
      <c r="A90" t="s">
        <v>310</v>
      </c>
      <c r="B90" s="2"/>
    </row>
    <row r="91" spans="1:4">
      <c r="A91" t="s">
        <v>311</v>
      </c>
      <c r="B91" s="2"/>
    </row>
    <row r="93" spans="1:4">
      <c r="A93" t="s">
        <v>313</v>
      </c>
      <c r="B93" s="2">
        <f>'American Water'!E115*1000</f>
        <v>3664000000</v>
      </c>
      <c r="C93" s="2">
        <f>'Aqua America'!E114*1000</f>
        <v>1565862000</v>
      </c>
    </row>
    <row r="95" spans="1:4">
      <c r="A95" t="s">
        <v>294</v>
      </c>
      <c r="B95" s="2">
        <f>'American Water'!E117*1000</f>
        <v>1121000000</v>
      </c>
      <c r="C95" s="2">
        <f>'Aqua America'!E116*1000</f>
        <v>512435000</v>
      </c>
    </row>
    <row r="97" spans="1:3">
      <c r="A97" t="s">
        <v>295</v>
      </c>
      <c r="B97" s="2">
        <f>'American Water'!E119*1000</f>
        <v>17241000000</v>
      </c>
      <c r="C97" s="8">
        <f>C88+C93+C95</f>
        <v>3821909000</v>
      </c>
    </row>
    <row r="99" spans="1:3">
      <c r="A99" t="s">
        <v>296</v>
      </c>
    </row>
    <row r="100" spans="1:3">
      <c r="A100" s="5" t="s">
        <v>297</v>
      </c>
      <c r="B100" s="2">
        <f>'American Water'!E85</f>
        <v>500000000</v>
      </c>
      <c r="C100" s="2">
        <f>'Aqua America'!E84*1000</f>
        <v>300000000</v>
      </c>
    </row>
    <row r="101" spans="1:3">
      <c r="A101" s="5" t="s">
        <v>86</v>
      </c>
      <c r="B101" s="2">
        <f>'American Water'!E86*1000</f>
        <v>180907483</v>
      </c>
      <c r="C101" s="2">
        <f>'Aqua America'!E85*1000</f>
        <v>179363660</v>
      </c>
    </row>
    <row r="102" spans="1:3">
      <c r="A102" s="5" t="s">
        <v>307</v>
      </c>
      <c r="B102">
        <f>B103/B101</f>
        <v>1.1055374641412706E-2</v>
      </c>
    </row>
    <row r="103" spans="1:3">
      <c r="A103" s="5" t="s">
        <v>298</v>
      </c>
      <c r="B103" s="2">
        <f>'American Water'!E87*1000</f>
        <v>2000000</v>
      </c>
      <c r="C103" s="2">
        <f>'Aqua America'!E86*1000</f>
        <v>89682000</v>
      </c>
    </row>
    <row r="104" spans="1:3">
      <c r="A104" s="5" t="s">
        <v>299</v>
      </c>
      <c r="B104" s="2">
        <f>'American Water'!E88*1000</f>
        <v>6351000000</v>
      </c>
      <c r="C104" s="2">
        <f>'Aqua America'!E87*1000</f>
        <v>773585000</v>
      </c>
    </row>
    <row r="105" spans="1:3">
      <c r="A105" s="5"/>
      <c r="C105" s="2"/>
    </row>
    <row r="106" spans="1:3">
      <c r="A106" s="5" t="s">
        <v>300</v>
      </c>
      <c r="C106" s="2"/>
    </row>
    <row r="107" spans="1:3">
      <c r="A107" s="5" t="s">
        <v>301</v>
      </c>
      <c r="B107" s="2">
        <f>'American Water'!E89*1000</f>
        <v>-1161000000</v>
      </c>
      <c r="C107" s="2">
        <f>'Aqua America'!F88*1000</f>
        <v>849952000</v>
      </c>
    </row>
    <row r="108" spans="1:3">
      <c r="A108" s="5" t="s">
        <v>302</v>
      </c>
    </row>
    <row r="109" spans="1:3">
      <c r="A109" s="5" t="s">
        <v>303</v>
      </c>
    </row>
    <row r="110" spans="1:3">
      <c r="A110" s="5" t="s">
        <v>304</v>
      </c>
    </row>
    <row r="111" spans="1:3">
      <c r="A111" s="5" t="s">
        <v>305</v>
      </c>
    </row>
    <row r="113" spans="1:3">
      <c r="A113" t="s">
        <v>90</v>
      </c>
      <c r="B113" s="2">
        <f>'American Water'!E94*1000</f>
        <v>5049000000</v>
      </c>
      <c r="C113" s="8">
        <f>C107+C104+C103</f>
        <v>1713219000</v>
      </c>
    </row>
    <row r="115" spans="1:3">
      <c r="A115" t="s">
        <v>306</v>
      </c>
      <c r="B115" s="2">
        <f>'American Water'!E119*1000</f>
        <v>17241000000</v>
      </c>
      <c r="C115" s="2">
        <f>'Aqua America'!E118*1000</f>
        <v>5741038000</v>
      </c>
    </row>
  </sheetData>
  <printOptions horizontalCentered="1"/>
  <pageMargins left="0.95" right="0.7" top="1.25" bottom="0.75" header="0.8" footer="0.3"/>
  <pageSetup scale="37" orientation="portrait" r:id="rId1"/>
  <headerFooter>
    <oddHeader>&amp;Z&amp;F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2"/>
  <sheetViews>
    <sheetView view="pageBreakPreview" zoomScale="60" zoomScaleNormal="100" workbookViewId="0">
      <pane ySplit="1155" activePane="bottomLeft"/>
      <selection activeCell="C9" sqref="C9"/>
      <selection pane="bottomLeft" activeCell="A6" sqref="A6:J46"/>
    </sheetView>
  </sheetViews>
  <sheetFormatPr defaultRowHeight="15"/>
  <cols>
    <col min="1" max="1" width="9.140625" customWidth="1"/>
    <col min="2" max="2" width="44.5703125" customWidth="1"/>
    <col min="3" max="3" width="19.28515625" customWidth="1"/>
    <col min="4" max="4" width="18.5703125" customWidth="1"/>
    <col min="5" max="6" width="16.7109375" customWidth="1"/>
    <col min="7" max="7" width="18" customWidth="1"/>
    <col min="8" max="8" width="15.140625" customWidth="1"/>
    <col min="9" max="9" width="16.140625" customWidth="1"/>
    <col min="10" max="10" width="16.5703125" customWidth="1"/>
  </cols>
  <sheetData>
    <row r="1" spans="1:11">
      <c r="A1" t="s">
        <v>44</v>
      </c>
    </row>
    <row r="3" spans="1:11">
      <c r="A3" t="s">
        <v>45</v>
      </c>
    </row>
    <row r="4" spans="1:11">
      <c r="C4" s="33" t="s">
        <v>234</v>
      </c>
      <c r="D4" s="33"/>
      <c r="E4" s="32">
        <v>2015</v>
      </c>
      <c r="F4" s="32">
        <v>2014</v>
      </c>
      <c r="G4" s="32">
        <v>2013</v>
      </c>
      <c r="H4" s="32">
        <v>2012</v>
      </c>
      <c r="I4" s="32">
        <v>2011</v>
      </c>
      <c r="J4" s="32">
        <v>2010</v>
      </c>
    </row>
    <row r="5" spans="1:11">
      <c r="C5" s="9" t="s">
        <v>236</v>
      </c>
      <c r="D5" s="9" t="s">
        <v>235</v>
      </c>
    </row>
    <row r="6" spans="1:11">
      <c r="A6" s="7" t="s">
        <v>59</v>
      </c>
    </row>
    <row r="7" spans="1:11">
      <c r="A7" t="s">
        <v>37</v>
      </c>
      <c r="E7" s="2">
        <v>814204</v>
      </c>
      <c r="F7" s="2">
        <v>779903</v>
      </c>
      <c r="G7" s="2">
        <v>761893</v>
      </c>
      <c r="H7" s="2">
        <v>757760</v>
      </c>
      <c r="I7" s="2">
        <v>687291</v>
      </c>
      <c r="J7" s="2">
        <v>660186</v>
      </c>
      <c r="K7" s="2"/>
    </row>
    <row r="8" spans="1:11">
      <c r="B8" t="s">
        <v>124</v>
      </c>
      <c r="C8" s="27">
        <f>AVERAGE(E8,F8,G8)</f>
        <v>2.4357944640341314E-2</v>
      </c>
      <c r="D8" s="27">
        <f>AVERAGE(E8,F8,G8,H8,I8)</f>
        <v>4.3332395692423122E-2</v>
      </c>
      <c r="E8" s="13">
        <f t="shared" ref="E8:H8" si="0">(E7-F7)/F7</f>
        <v>4.3981110471430419E-2</v>
      </c>
      <c r="F8" s="13">
        <f t="shared" si="0"/>
        <v>2.3638489919188127E-2</v>
      </c>
      <c r="G8" s="13">
        <f t="shared" si="0"/>
        <v>5.4542335304054055E-3</v>
      </c>
      <c r="H8" s="13">
        <f t="shared" si="0"/>
        <v>0.10253153322246326</v>
      </c>
      <c r="I8" s="13">
        <f>(I7-J7)/J7</f>
        <v>4.1056611318628387E-2</v>
      </c>
      <c r="J8" s="2"/>
      <c r="K8" s="2"/>
    </row>
    <row r="9" spans="1:11">
      <c r="A9" t="s">
        <v>38</v>
      </c>
      <c r="E9" s="2"/>
      <c r="F9" s="2"/>
      <c r="G9" s="2"/>
      <c r="H9" s="2"/>
      <c r="I9" s="2"/>
      <c r="J9" s="2"/>
      <c r="K9" s="2"/>
    </row>
    <row r="10" spans="1:11">
      <c r="A10" s="5" t="s">
        <v>39</v>
      </c>
      <c r="E10" s="2">
        <v>309310</v>
      </c>
      <c r="F10" s="2">
        <v>288556</v>
      </c>
      <c r="G10" s="2">
        <v>283561</v>
      </c>
      <c r="H10" s="2">
        <v>271843</v>
      </c>
      <c r="I10" s="2">
        <v>256743</v>
      </c>
      <c r="J10" s="2">
        <v>250989</v>
      </c>
      <c r="K10" s="2"/>
    </row>
    <row r="11" spans="1:11">
      <c r="A11" s="5"/>
      <c r="B11" t="s">
        <v>125</v>
      </c>
      <c r="C11" s="27">
        <f>AVERAGE(E11,F11,G11)</f>
        <v>0.37402055593474492</v>
      </c>
      <c r="D11" s="27">
        <f>AVERAGE(E11,F11,G11,H11,I11,J11)</f>
        <v>0.37242405472671369</v>
      </c>
      <c r="E11" s="13">
        <f t="shared" ref="E11:I11" si="1">E10/E7</f>
        <v>0.37989250851138046</v>
      </c>
      <c r="F11" s="13">
        <f t="shared" si="1"/>
        <v>0.36998960127092728</v>
      </c>
      <c r="G11" s="13">
        <f t="shared" si="1"/>
        <v>0.37217955802192698</v>
      </c>
      <c r="H11" s="13">
        <f t="shared" si="1"/>
        <v>0.35874551309121622</v>
      </c>
      <c r="I11" s="13">
        <f t="shared" si="1"/>
        <v>0.3735579252456383</v>
      </c>
      <c r="J11" s="13">
        <f>J10/J7</f>
        <v>0.38017922221919276</v>
      </c>
      <c r="K11" s="2"/>
    </row>
    <row r="12" spans="1:11">
      <c r="A12" s="5" t="s">
        <v>40</v>
      </c>
      <c r="E12" s="2">
        <v>125290</v>
      </c>
      <c r="F12" s="2">
        <v>123054</v>
      </c>
      <c r="G12" s="2">
        <v>118414</v>
      </c>
      <c r="H12" s="2">
        <v>111767</v>
      </c>
      <c r="I12" s="2">
        <v>103412</v>
      </c>
      <c r="J12" s="2">
        <v>100606</v>
      </c>
      <c r="K12" s="2"/>
    </row>
    <row r="13" spans="1:11">
      <c r="A13" s="5"/>
      <c r="B13" t="s">
        <v>126</v>
      </c>
      <c r="C13" s="27">
        <f>AVERAGE(E13,F13,G13)</f>
        <v>2.13732100083695E-2</v>
      </c>
      <c r="D13" s="27">
        <f>AVERAGE(E13,F13,G13,H13,I13,J13)</f>
        <v>2.1924571795982225E-2</v>
      </c>
      <c r="E13" s="13">
        <f t="shared" ref="E13:I13" si="2">E12/E49</f>
        <v>2.0579791987892268E-2</v>
      </c>
      <c r="F13" s="13">
        <f t="shared" si="2"/>
        <v>2.1561877246904993E-2</v>
      </c>
      <c r="G13" s="13">
        <f t="shared" si="2"/>
        <v>2.1977960790311241E-2</v>
      </c>
      <c r="H13" s="13">
        <f t="shared" si="2"/>
        <v>2.2130326310787263E-2</v>
      </c>
      <c r="I13" s="13">
        <f t="shared" si="2"/>
        <v>2.2889061139459658E-2</v>
      </c>
      <c r="J13" s="13">
        <f>J12/J49</f>
        <v>2.2408413300537926E-2</v>
      </c>
      <c r="K13" s="2"/>
    </row>
    <row r="14" spans="1:11">
      <c r="A14" s="5" t="s">
        <v>41</v>
      </c>
      <c r="E14" s="2">
        <v>3447</v>
      </c>
      <c r="F14" s="2">
        <v>3481</v>
      </c>
      <c r="G14" s="2">
        <v>5571</v>
      </c>
      <c r="H14" s="2">
        <v>5229</v>
      </c>
      <c r="I14" s="2">
        <v>4888</v>
      </c>
      <c r="J14" s="2">
        <v>11110</v>
      </c>
      <c r="K14" s="2"/>
    </row>
    <row r="15" spans="1:11">
      <c r="A15" s="5"/>
      <c r="B15" t="s">
        <v>127</v>
      </c>
      <c r="C15" s="27">
        <f>AVERAGE(E15,F15,G15)</f>
        <v>0.1369344851175103</v>
      </c>
      <c r="D15" s="27">
        <f>AVERAGE(E15,F15,G15,H15,I15,J15)</f>
        <v>0.17568217625192586</v>
      </c>
      <c r="E15" s="13">
        <f t="shared" ref="E15:I15" si="3">E14/E77</f>
        <v>0.10178349967519046</v>
      </c>
      <c r="F15" s="13">
        <f t="shared" si="3"/>
        <v>0.1116277578245254</v>
      </c>
      <c r="G15" s="13">
        <f t="shared" si="3"/>
        <v>0.19739219785281509</v>
      </c>
      <c r="H15" s="13">
        <f t="shared" si="3"/>
        <v>0.18574168797953963</v>
      </c>
      <c r="I15" s="13">
        <f t="shared" si="3"/>
        <v>0.18141330166270783</v>
      </c>
      <c r="J15" s="13">
        <f>J14/J77</f>
        <v>0.27613461251677685</v>
      </c>
      <c r="K15" s="2"/>
    </row>
    <row r="16" spans="1:11">
      <c r="A16" s="5" t="s">
        <v>42</v>
      </c>
      <c r="E16" s="2">
        <v>55057</v>
      </c>
      <c r="F16" s="2">
        <v>50453</v>
      </c>
      <c r="G16" s="2">
        <v>52685</v>
      </c>
      <c r="H16" s="2">
        <v>47404</v>
      </c>
      <c r="I16" s="2">
        <v>41449</v>
      </c>
      <c r="J16" s="2">
        <v>40147</v>
      </c>
      <c r="K16" s="2"/>
    </row>
    <row r="17" spans="1:11">
      <c r="A17" s="5"/>
      <c r="B17" t="s">
        <v>128</v>
      </c>
      <c r="C17" s="27">
        <f t="shared" ref="C17:C18" si="4">AVERAGE(E17,F17,G17)</f>
        <v>6.7154051244042653E-2</v>
      </c>
      <c r="D17" s="27">
        <f t="shared" ref="D17:D18" si="5">AVERAGE(E17,F17,G17,H17,I17,J17)</f>
        <v>6.4189942962280783E-2</v>
      </c>
      <c r="E17" s="13">
        <f t="shared" ref="E17:I17" si="6">E16/E7</f>
        <v>6.7620645440209085E-2</v>
      </c>
      <c r="F17" s="13">
        <f t="shared" si="6"/>
        <v>6.4691378286786949E-2</v>
      </c>
      <c r="G17" s="13">
        <f t="shared" si="6"/>
        <v>6.9150130005131955E-2</v>
      </c>
      <c r="H17" s="13">
        <f t="shared" si="6"/>
        <v>6.255806587837838E-2</v>
      </c>
      <c r="I17" s="13">
        <f t="shared" si="6"/>
        <v>6.0307788113040911E-2</v>
      </c>
      <c r="J17" s="13">
        <f>J16/J7</f>
        <v>6.0811650050137382E-2</v>
      </c>
      <c r="K17" s="2"/>
    </row>
    <row r="18" spans="1:11">
      <c r="A18" s="5"/>
      <c r="B18" t="s">
        <v>141</v>
      </c>
      <c r="C18" s="27">
        <f t="shared" si="4"/>
        <v>1.1948610198383577E-2</v>
      </c>
      <c r="D18" s="27">
        <f t="shared" si="5"/>
        <v>1.1866673329885001E-2</v>
      </c>
      <c r="E18" s="13">
        <f t="shared" ref="E18:I18" si="7">E16/E60</f>
        <v>1.1741923788501628E-2</v>
      </c>
      <c r="F18" s="13">
        <f t="shared" si="7"/>
        <v>1.1461407227185886E-2</v>
      </c>
      <c r="G18" s="13">
        <f t="shared" si="7"/>
        <v>1.2642499579463215E-2</v>
      </c>
      <c r="H18" s="13">
        <f t="shared" si="7"/>
        <v>1.2043200446729468E-2</v>
      </c>
      <c r="I18" s="13">
        <f t="shared" si="7"/>
        <v>1.1738793783641873E-2</v>
      </c>
      <c r="J18" s="13">
        <f>J16/J60</f>
        <v>1.1572215153787929E-2</v>
      </c>
      <c r="K18" s="2"/>
    </row>
    <row r="19" spans="1:11">
      <c r="A19" t="s">
        <v>43</v>
      </c>
      <c r="E19" s="10">
        <f>E10+E12+E14+E16</f>
        <v>493104</v>
      </c>
      <c r="F19" s="10">
        <f t="shared" ref="F19:G19" si="8">F10+F12+F14+F16</f>
        <v>465544</v>
      </c>
      <c r="G19" s="10">
        <f t="shared" si="8"/>
        <v>460231</v>
      </c>
      <c r="H19" s="10">
        <f t="shared" ref="H19" si="9">H10+H12+H14+H16</f>
        <v>436243</v>
      </c>
      <c r="I19" s="10">
        <f t="shared" ref="I19" si="10">I10+I12+I14+I16</f>
        <v>406492</v>
      </c>
      <c r="J19" s="10">
        <f t="shared" ref="J19" si="11">J10+J12+J14+J16</f>
        <v>402852</v>
      </c>
      <c r="K19" s="2"/>
    </row>
    <row r="20" spans="1:11">
      <c r="E20" s="11"/>
      <c r="F20" s="11"/>
      <c r="G20" s="11"/>
      <c r="H20" s="11"/>
      <c r="I20" s="11"/>
      <c r="J20" s="11"/>
      <c r="K20" s="2"/>
    </row>
    <row r="21" spans="1:11">
      <c r="A21" s="6" t="s">
        <v>46</v>
      </c>
      <c r="E21" s="10">
        <f>E7-E19</f>
        <v>321100</v>
      </c>
      <c r="F21" s="10">
        <f t="shared" ref="F21:J21" si="12">F7-F19</f>
        <v>314359</v>
      </c>
      <c r="G21" s="10">
        <f t="shared" si="12"/>
        <v>301662</v>
      </c>
      <c r="H21" s="10">
        <f t="shared" si="12"/>
        <v>321517</v>
      </c>
      <c r="I21" s="10">
        <f t="shared" si="12"/>
        <v>280799</v>
      </c>
      <c r="J21" s="10">
        <f t="shared" si="12"/>
        <v>257334</v>
      </c>
      <c r="K21" s="2"/>
    </row>
    <row r="22" spans="1:11">
      <c r="E22" s="2"/>
      <c r="F22" s="2"/>
      <c r="G22" s="2"/>
      <c r="H22" s="2"/>
      <c r="I22" s="2"/>
      <c r="J22" s="2"/>
      <c r="K22" s="2"/>
    </row>
    <row r="23" spans="1:11">
      <c r="A23" t="s">
        <v>47</v>
      </c>
      <c r="E23" s="2"/>
      <c r="F23" s="2"/>
      <c r="G23" s="2"/>
      <c r="H23" s="2"/>
      <c r="I23" s="2"/>
      <c r="J23" s="2"/>
      <c r="K23" s="2"/>
    </row>
    <row r="24" spans="1:11">
      <c r="A24" s="5" t="s">
        <v>48</v>
      </c>
      <c r="E24" s="2">
        <v>76536</v>
      </c>
      <c r="F24" s="2">
        <v>76397</v>
      </c>
      <c r="G24" s="2">
        <v>77316</v>
      </c>
      <c r="H24" s="2">
        <v>77757</v>
      </c>
      <c r="I24" s="2">
        <v>77804</v>
      </c>
      <c r="J24" s="2">
        <v>73393</v>
      </c>
      <c r="K24" s="2"/>
    </row>
    <row r="25" spans="1:11">
      <c r="A25" s="5"/>
      <c r="B25" t="s">
        <v>129</v>
      </c>
      <c r="C25" s="27">
        <f>AVERAGE(E25,F25,G25)</f>
        <v>4.8497878674257429E-2</v>
      </c>
      <c r="D25" s="27">
        <f>AVERAGE(E25,F25,G25,H25,I25,J25)</f>
        <v>4.9919751265706275E-2</v>
      </c>
      <c r="E25" s="13">
        <f t="shared" ref="E25:I25" si="13">E24/E95</f>
        <v>4.3895086750951474E-2</v>
      </c>
      <c r="F25" s="13">
        <f t="shared" si="13"/>
        <v>4.8951882382717513E-2</v>
      </c>
      <c r="G25" s="13">
        <f t="shared" si="13"/>
        <v>5.2646666889103307E-2</v>
      </c>
      <c r="H25" s="13">
        <f t="shared" si="13"/>
        <v>5.0362251725116165E-2</v>
      </c>
      <c r="I25" s="13">
        <f t="shared" si="13"/>
        <v>5.5755211375198233E-2</v>
      </c>
      <c r="J25" s="13">
        <f>J24/J95</f>
        <v>4.7907408471150985E-2</v>
      </c>
      <c r="K25" s="2"/>
    </row>
    <row r="26" spans="1:11">
      <c r="A26" s="5" t="s">
        <v>49</v>
      </c>
      <c r="E26" s="2">
        <v>-6219</v>
      </c>
      <c r="F26" s="2">
        <v>-5134</v>
      </c>
      <c r="G26" s="2">
        <v>-2275</v>
      </c>
      <c r="H26" s="2">
        <v>-4142</v>
      </c>
      <c r="I26" s="2">
        <v>-7150</v>
      </c>
      <c r="J26" s="2">
        <v>-4831</v>
      </c>
      <c r="K26" s="2"/>
    </row>
    <row r="27" spans="1:11">
      <c r="A27" s="5" t="s">
        <v>50</v>
      </c>
      <c r="E27" s="2">
        <v>-468</v>
      </c>
      <c r="F27" s="2">
        <v>4</v>
      </c>
      <c r="G27" s="2">
        <v>-148</v>
      </c>
      <c r="H27" s="2">
        <v>-1090</v>
      </c>
      <c r="I27" s="2">
        <v>-649</v>
      </c>
      <c r="J27" s="2">
        <v>-2547</v>
      </c>
      <c r="K27" s="2"/>
    </row>
    <row r="28" spans="1:11">
      <c r="A28" s="5" t="s">
        <v>51</v>
      </c>
      <c r="E28" s="2">
        <v>-678</v>
      </c>
      <c r="F28" s="2">
        <v>0</v>
      </c>
      <c r="G28" s="2">
        <v>0</v>
      </c>
      <c r="K28" s="2"/>
    </row>
    <row r="29" spans="1:11">
      <c r="A29" s="5" t="s">
        <v>52</v>
      </c>
      <c r="E29" s="2">
        <v>35177</v>
      </c>
      <c r="F29" s="2">
        <v>3989</v>
      </c>
      <c r="G29" s="2">
        <v>2665</v>
      </c>
      <c r="H29" s="2">
        <v>-1976</v>
      </c>
      <c r="I29" s="2">
        <v>0</v>
      </c>
      <c r="J29" s="2">
        <v>0</v>
      </c>
      <c r="K29" s="2"/>
    </row>
    <row r="30" spans="1:11">
      <c r="A30" t="s">
        <v>53</v>
      </c>
      <c r="E30" s="10">
        <f>E21-(E24+E26+E27+E28+E29)</f>
        <v>216752</v>
      </c>
      <c r="F30" s="10">
        <f t="shared" ref="F30:G30" si="14">F21-(F24+F26+F27+F28+F29)</f>
        <v>239103</v>
      </c>
      <c r="G30" s="10">
        <f t="shared" si="14"/>
        <v>224104</v>
      </c>
      <c r="H30" s="10">
        <f t="shared" ref="H30" si="15">H21-(H24+H26+H27+H28+H29)</f>
        <v>250968</v>
      </c>
      <c r="I30" s="10">
        <f t="shared" ref="I30" si="16">I21-(I24+I26+I27+I28+I29)</f>
        <v>210794</v>
      </c>
      <c r="J30" s="10">
        <f t="shared" ref="J30" si="17">J21-(J24+J26+J27+J28+J29)</f>
        <v>191319</v>
      </c>
      <c r="K30" s="2"/>
    </row>
    <row r="31" spans="1:11">
      <c r="A31" t="s">
        <v>54</v>
      </c>
      <c r="D31" s="27"/>
      <c r="E31" s="2">
        <v>14962</v>
      </c>
      <c r="F31" s="2">
        <v>25219</v>
      </c>
      <c r="G31" s="2">
        <v>21233</v>
      </c>
      <c r="H31" s="2">
        <v>66881</v>
      </c>
      <c r="I31" s="2">
        <v>69111</v>
      </c>
      <c r="J31" s="2">
        <v>74940</v>
      </c>
      <c r="K31" s="2"/>
    </row>
    <row r="32" spans="1:11">
      <c r="B32" t="s">
        <v>149</v>
      </c>
      <c r="C32" s="27">
        <f>AVERAGE(E32,F32,G32)</f>
        <v>8.9749253598020731E-2</v>
      </c>
      <c r="D32" s="27">
        <f>AVERAGE(E32,F32,G32,H32,I32,J32)</f>
        <v>0.2092170160224395</v>
      </c>
      <c r="E32" s="13">
        <f>E31/E30</f>
        <v>6.9028198125046139E-2</v>
      </c>
      <c r="F32" s="13">
        <f t="shared" ref="F32:J32" si="18">F31/F30</f>
        <v>0.10547337339974823</v>
      </c>
      <c r="G32" s="13">
        <f t="shared" si="18"/>
        <v>9.4746189269267839E-2</v>
      </c>
      <c r="H32" s="13">
        <f t="shared" si="18"/>
        <v>0.26649214242453223</v>
      </c>
      <c r="I32" s="13">
        <f t="shared" si="18"/>
        <v>0.32786037553251041</v>
      </c>
      <c r="J32" s="13">
        <f t="shared" si="18"/>
        <v>0.39170181738353221</v>
      </c>
      <c r="K32" s="2"/>
    </row>
    <row r="33" spans="1:11">
      <c r="A33" t="s">
        <v>55</v>
      </c>
      <c r="E33" s="10">
        <f>E30-E31</f>
        <v>201790</v>
      </c>
      <c r="F33" s="10">
        <f t="shared" ref="F33:G33" si="19">F30-F31</f>
        <v>213884</v>
      </c>
      <c r="G33" s="10">
        <f t="shared" si="19"/>
        <v>202871</v>
      </c>
      <c r="H33" s="10">
        <f t="shared" ref="H33" si="20">H30-H31</f>
        <v>184087</v>
      </c>
      <c r="I33" s="10">
        <f t="shared" ref="I33" si="21">I30-I31</f>
        <v>141683</v>
      </c>
      <c r="J33" s="10">
        <f t="shared" ref="J33" si="22">J30-J31</f>
        <v>116379</v>
      </c>
      <c r="K33" s="2"/>
    </row>
    <row r="34" spans="1:11">
      <c r="C34" s="27">
        <f>AVERAGE(E34,F34,G34)</f>
        <v>0.26278460353787714</v>
      </c>
      <c r="D34" s="27">
        <f t="shared" ref="D34" si="23">AVERAGE(E34,F34,G34,H34,I34,J34)</f>
        <v>0.23561978994024738</v>
      </c>
      <c r="E34" s="13">
        <f t="shared" ref="E34:I34" si="24">E33/E7</f>
        <v>0.24783715137729612</v>
      </c>
      <c r="F34" s="13">
        <f t="shared" si="24"/>
        <v>0.27424436115773371</v>
      </c>
      <c r="G34" s="13">
        <f t="shared" si="24"/>
        <v>0.26627229807860159</v>
      </c>
      <c r="H34" s="13">
        <f t="shared" si="24"/>
        <v>0.24293575802364864</v>
      </c>
      <c r="I34" s="13">
        <f t="shared" si="24"/>
        <v>0.20614703233419324</v>
      </c>
      <c r="J34" s="13">
        <f>J33/J7</f>
        <v>0.17628213867001119</v>
      </c>
      <c r="K34" s="2"/>
    </row>
    <row r="35" spans="1:11">
      <c r="A35" t="s">
        <v>56</v>
      </c>
      <c r="E35" s="2"/>
      <c r="F35" s="2"/>
      <c r="G35" s="2"/>
      <c r="H35" s="2"/>
      <c r="I35" s="2"/>
      <c r="J35" s="2"/>
      <c r="K35" s="2"/>
    </row>
    <row r="36" spans="1:11">
      <c r="A36" s="5" t="s">
        <v>57</v>
      </c>
      <c r="E36" s="2">
        <v>0</v>
      </c>
      <c r="F36" s="2">
        <v>32155</v>
      </c>
      <c r="G36" s="2">
        <v>28311</v>
      </c>
      <c r="H36" s="2">
        <v>20493</v>
      </c>
      <c r="I36" s="2">
        <v>14279</v>
      </c>
      <c r="J36" s="2">
        <v>12750</v>
      </c>
      <c r="K36" s="2"/>
    </row>
    <row r="37" spans="1:11">
      <c r="A37" s="5" t="s">
        <v>54</v>
      </c>
      <c r="E37" s="2">
        <v>0</v>
      </c>
      <c r="F37" s="2">
        <v>12800</v>
      </c>
      <c r="G37" s="2">
        <v>9882</v>
      </c>
      <c r="H37" s="2">
        <v>8017</v>
      </c>
      <c r="I37" s="2">
        <v>12893</v>
      </c>
      <c r="J37" s="2">
        <v>5154</v>
      </c>
      <c r="K37" s="2"/>
    </row>
    <row r="38" spans="1:11">
      <c r="A38" t="s">
        <v>57</v>
      </c>
      <c r="E38" s="10">
        <f t="shared" ref="E38" si="25">E36-E37</f>
        <v>0</v>
      </c>
      <c r="F38" s="10">
        <f>F36-F37</f>
        <v>19355</v>
      </c>
      <c r="G38" s="10">
        <f t="shared" ref="G38" si="26">G36-G37</f>
        <v>18429</v>
      </c>
      <c r="H38" s="10">
        <f t="shared" ref="H38" si="27">H36-H37</f>
        <v>12476</v>
      </c>
      <c r="I38" s="10">
        <f t="shared" ref="I38" si="28">I36-I37</f>
        <v>1386</v>
      </c>
      <c r="J38" s="10">
        <f t="shared" ref="J38" si="29">J36-J37</f>
        <v>7596</v>
      </c>
      <c r="K38" s="2"/>
    </row>
    <row r="39" spans="1:11">
      <c r="A39" t="s">
        <v>58</v>
      </c>
      <c r="E39" s="10">
        <f>E33+E38</f>
        <v>201790</v>
      </c>
      <c r="F39" s="10">
        <f t="shared" ref="F39:G39" si="30">F33+F38</f>
        <v>233239</v>
      </c>
      <c r="G39" s="10">
        <f t="shared" si="30"/>
        <v>221300</v>
      </c>
      <c r="H39" s="10">
        <f t="shared" ref="H39" si="31">H33+H38</f>
        <v>196563</v>
      </c>
      <c r="I39" s="10">
        <f t="shared" ref="I39" si="32">I33+I38</f>
        <v>143069</v>
      </c>
      <c r="J39" s="10">
        <f t="shared" ref="J39" si="33">J33+J38</f>
        <v>123975</v>
      </c>
      <c r="K39" s="2"/>
    </row>
    <row r="40" spans="1:11">
      <c r="A40" t="s">
        <v>114</v>
      </c>
      <c r="E40" s="10"/>
      <c r="F40" s="10"/>
      <c r="G40" s="10"/>
      <c r="H40" s="10"/>
      <c r="I40" s="10"/>
      <c r="J40" s="10"/>
      <c r="K40" s="2"/>
    </row>
    <row r="41" spans="1:11">
      <c r="A41" t="s">
        <v>115</v>
      </c>
      <c r="E41" s="3">
        <v>-101</v>
      </c>
      <c r="F41" s="3">
        <v>193</v>
      </c>
      <c r="G41" s="3">
        <v>141</v>
      </c>
      <c r="H41" s="3">
        <v>198</v>
      </c>
      <c r="I41" s="3">
        <v>-10</v>
      </c>
      <c r="J41" s="3">
        <v>1588</v>
      </c>
      <c r="K41" s="2"/>
    </row>
    <row r="42" spans="1:11">
      <c r="A42" t="s">
        <v>116</v>
      </c>
      <c r="E42" s="3">
        <v>0</v>
      </c>
      <c r="F42" s="3">
        <v>249</v>
      </c>
      <c r="G42" s="3">
        <v>90</v>
      </c>
      <c r="H42" s="3">
        <v>-339</v>
      </c>
      <c r="I42" s="3">
        <v>-233</v>
      </c>
      <c r="J42" s="3">
        <v>-1369</v>
      </c>
      <c r="K42" s="2"/>
    </row>
    <row r="43" spans="1:11">
      <c r="A43" t="s">
        <v>117</v>
      </c>
      <c r="E43" s="10">
        <f t="shared" ref="E43:G43" si="34">E39+E41+E42</f>
        <v>201689</v>
      </c>
      <c r="F43" s="10">
        <f t="shared" si="34"/>
        <v>233681</v>
      </c>
      <c r="G43" s="10">
        <f t="shared" si="34"/>
        <v>221531</v>
      </c>
      <c r="H43" s="10">
        <f>H39+H41+H42</f>
        <v>196422</v>
      </c>
      <c r="I43" s="10">
        <f t="shared" ref="I43:J43" si="35">I39+I41+I42</f>
        <v>142826</v>
      </c>
      <c r="J43" s="10">
        <f t="shared" si="35"/>
        <v>124194</v>
      </c>
      <c r="K43" s="2"/>
    </row>
    <row r="44" spans="1:11">
      <c r="A44" t="s">
        <v>118</v>
      </c>
      <c r="E44" s="2">
        <v>201689</v>
      </c>
      <c r="F44" s="2">
        <v>233681</v>
      </c>
      <c r="G44" s="2">
        <v>221531</v>
      </c>
      <c r="H44" s="2">
        <v>196422</v>
      </c>
      <c r="I44" s="2">
        <v>142826</v>
      </c>
      <c r="J44" s="2">
        <v>124194</v>
      </c>
      <c r="K44" s="2"/>
    </row>
    <row r="45" spans="1:11">
      <c r="A45" t="s">
        <v>112</v>
      </c>
      <c r="E45" s="10">
        <f t="shared" ref="E45:G45" si="36">E43-E44</f>
        <v>0</v>
      </c>
      <c r="F45" s="10">
        <f t="shared" si="36"/>
        <v>0</v>
      </c>
      <c r="G45" s="10">
        <f t="shared" si="36"/>
        <v>0</v>
      </c>
      <c r="H45" s="10">
        <f>H43-H44</f>
        <v>0</v>
      </c>
      <c r="I45" s="10">
        <f t="shared" ref="I45:J45" si="37">I43-I44</f>
        <v>0</v>
      </c>
      <c r="J45" s="10">
        <f t="shared" si="37"/>
        <v>0</v>
      </c>
      <c r="K45" s="2"/>
    </row>
    <row r="46" spans="1:11">
      <c r="E46" s="2"/>
      <c r="F46" s="2"/>
      <c r="G46" s="2"/>
      <c r="H46" s="2"/>
      <c r="I46" s="2"/>
      <c r="J46" s="2"/>
      <c r="K46" s="2"/>
    </row>
    <row r="47" spans="1:11">
      <c r="A47" s="7" t="s">
        <v>60</v>
      </c>
      <c r="E47" s="2"/>
      <c r="F47" s="2"/>
      <c r="G47" s="2"/>
      <c r="H47" s="2"/>
      <c r="I47" s="2"/>
      <c r="J47" s="2"/>
      <c r="K47" s="2"/>
    </row>
    <row r="48" spans="1:11">
      <c r="A48" s="7" t="s">
        <v>61</v>
      </c>
      <c r="E48" s="2"/>
      <c r="F48" s="2"/>
      <c r="G48" s="2"/>
      <c r="H48" s="2"/>
      <c r="I48" s="2"/>
      <c r="J48" s="2"/>
      <c r="K48" s="2"/>
    </row>
    <row r="49" spans="1:11">
      <c r="A49" t="s">
        <v>62</v>
      </c>
      <c r="E49" s="2">
        <v>6088011</v>
      </c>
      <c r="F49" s="2">
        <v>5707017</v>
      </c>
      <c r="G49" s="2">
        <v>5387852</v>
      </c>
      <c r="H49" s="2">
        <v>5050400</v>
      </c>
      <c r="I49" s="2">
        <v>4517966</v>
      </c>
      <c r="J49" s="2">
        <v>4489653</v>
      </c>
      <c r="K49" s="2"/>
    </row>
    <row r="50" spans="1:11">
      <c r="B50" t="s">
        <v>130</v>
      </c>
      <c r="E50" s="2">
        <f t="shared" ref="E50:H50" si="38">E49-F49</f>
        <v>380994</v>
      </c>
      <c r="F50" s="2">
        <f t="shared" si="38"/>
        <v>319165</v>
      </c>
      <c r="G50" s="2">
        <f t="shared" si="38"/>
        <v>337452</v>
      </c>
      <c r="H50" s="2">
        <f t="shared" si="38"/>
        <v>532434</v>
      </c>
      <c r="I50" s="2">
        <f>I49-J49</f>
        <v>28313</v>
      </c>
      <c r="J50" s="2"/>
      <c r="K50" s="2"/>
    </row>
    <row r="51" spans="1:11">
      <c r="B51" t="s">
        <v>131</v>
      </c>
      <c r="E51" s="2">
        <f t="shared" ref="E51:H51" si="39">E58</f>
        <v>-31231</v>
      </c>
      <c r="F51" s="2">
        <f t="shared" si="39"/>
        <v>-38586</v>
      </c>
      <c r="G51" s="2">
        <f t="shared" si="39"/>
        <v>-12092</v>
      </c>
      <c r="H51" s="2">
        <f t="shared" si="39"/>
        <v>15446</v>
      </c>
      <c r="I51" s="2">
        <f>I58</f>
        <v>-136783</v>
      </c>
      <c r="J51" s="2"/>
      <c r="K51" s="2"/>
    </row>
    <row r="52" spans="1:11">
      <c r="B52" t="s">
        <v>135</v>
      </c>
      <c r="C52" s="27">
        <f>AVERAGE(E52,F52,G52)</f>
        <v>-5.0094394885337118E-3</v>
      </c>
      <c r="D52" s="27">
        <f>AVERAGE(E52,F52,G52,H52,I52)</f>
        <v>-8.415159542600071E-3</v>
      </c>
      <c r="E52" s="13">
        <f t="shared" ref="E52:H52" si="40">E51/F49</f>
        <v>-5.4723860118166814E-3</v>
      </c>
      <c r="F52" s="13">
        <f t="shared" si="40"/>
        <v>-7.1616666530558001E-3</v>
      </c>
      <c r="G52" s="13">
        <f t="shared" si="40"/>
        <v>-2.3942658007286553E-3</v>
      </c>
      <c r="H52" s="13">
        <f t="shared" si="40"/>
        <v>3.4187950949608739E-3</v>
      </c>
      <c r="I52" s="13">
        <f>I51/J49</f>
        <v>-3.046627434236009E-2</v>
      </c>
      <c r="J52" s="2"/>
      <c r="K52" s="2"/>
    </row>
    <row r="53" spans="1:11">
      <c r="B53" t="s">
        <v>132</v>
      </c>
      <c r="E53" s="2">
        <f>E50-E51</f>
        <v>412225</v>
      </c>
      <c r="F53" s="2">
        <f t="shared" ref="F53:I53" si="41">F50-F51</f>
        <v>357751</v>
      </c>
      <c r="G53" s="2">
        <f t="shared" si="41"/>
        <v>349544</v>
      </c>
      <c r="H53" s="2">
        <f t="shared" si="41"/>
        <v>516988</v>
      </c>
      <c r="I53" s="2">
        <f t="shared" si="41"/>
        <v>165096</v>
      </c>
      <c r="J53" s="2"/>
      <c r="K53" s="2"/>
    </row>
    <row r="54" spans="1:11">
      <c r="B54" t="s">
        <v>134</v>
      </c>
      <c r="C54" s="27">
        <f>AVERAGE(E54,F54,G54)</f>
        <v>6.9280655385302051E-2</v>
      </c>
      <c r="D54" s="27">
        <f>AVERAGE(E54,F54,G54,H54,I54)</f>
        <v>7.1808777566735676E-2</v>
      </c>
      <c r="E54" s="13">
        <f t="shared" ref="E54:H54" si="42">E53/F49</f>
        <v>7.223125496209315E-2</v>
      </c>
      <c r="F54" s="13">
        <f t="shared" si="42"/>
        <v>6.6399559601859892E-2</v>
      </c>
      <c r="G54" s="13">
        <f t="shared" si="42"/>
        <v>6.921115159195311E-2</v>
      </c>
      <c r="H54" s="13">
        <f t="shared" si="42"/>
        <v>0.11442936932238977</v>
      </c>
      <c r="I54" s="13">
        <f>I53/J49</f>
        <v>3.6772552355382473E-2</v>
      </c>
      <c r="J54" s="2"/>
      <c r="K54" s="2"/>
    </row>
    <row r="55" spans="1:11">
      <c r="A55" t="s">
        <v>63</v>
      </c>
      <c r="E55" s="2">
        <v>1399086</v>
      </c>
      <c r="F55" s="2">
        <v>1305027</v>
      </c>
      <c r="G55" s="2">
        <v>1220559</v>
      </c>
      <c r="H55" s="2">
        <v>1114237</v>
      </c>
      <c r="I55" s="2">
        <v>987024</v>
      </c>
      <c r="J55" s="2">
        <v>1020395</v>
      </c>
      <c r="K55" s="2"/>
    </row>
    <row r="56" spans="1:11">
      <c r="B56" t="s">
        <v>133</v>
      </c>
      <c r="E56" s="2">
        <f t="shared" ref="E56:H56" si="43">E55-F55</f>
        <v>94059</v>
      </c>
      <c r="F56" s="2">
        <f t="shared" si="43"/>
        <v>84468</v>
      </c>
      <c r="G56" s="2">
        <f t="shared" si="43"/>
        <v>106322</v>
      </c>
      <c r="H56" s="2">
        <f t="shared" si="43"/>
        <v>127213</v>
      </c>
      <c r="I56" s="2">
        <f>I55-J55</f>
        <v>-33371</v>
      </c>
      <c r="J56" s="2"/>
      <c r="K56" s="2"/>
    </row>
    <row r="57" spans="1:11">
      <c r="B57" t="s">
        <v>40</v>
      </c>
      <c r="E57" s="2">
        <f t="shared" ref="E57:H57" si="44">E12</f>
        <v>125290</v>
      </c>
      <c r="F57" s="2">
        <f t="shared" si="44"/>
        <v>123054</v>
      </c>
      <c r="G57" s="2">
        <f t="shared" si="44"/>
        <v>118414</v>
      </c>
      <c r="H57" s="2">
        <f t="shared" si="44"/>
        <v>111767</v>
      </c>
      <c r="I57" s="2">
        <f>I12</f>
        <v>103412</v>
      </c>
      <c r="J57" s="2"/>
      <c r="K57" s="2"/>
    </row>
    <row r="58" spans="1:11">
      <c r="B58" t="s">
        <v>131</v>
      </c>
      <c r="E58" s="2">
        <f>E56-E57</f>
        <v>-31231</v>
      </c>
      <c r="F58" s="2">
        <f t="shared" ref="F58:I58" si="45">F56-F57</f>
        <v>-38586</v>
      </c>
      <c r="G58" s="2">
        <f t="shared" si="45"/>
        <v>-12092</v>
      </c>
      <c r="H58" s="2">
        <f t="shared" si="45"/>
        <v>15446</v>
      </c>
      <c r="I58" s="2">
        <f t="shared" si="45"/>
        <v>-136783</v>
      </c>
      <c r="J58" s="2"/>
      <c r="K58" s="2"/>
    </row>
    <row r="59" spans="1:11">
      <c r="E59" s="2"/>
      <c r="F59" s="2"/>
      <c r="G59" s="2"/>
      <c r="H59" s="2"/>
      <c r="I59" s="2"/>
      <c r="J59" s="2"/>
      <c r="K59" s="2"/>
    </row>
    <row r="60" spans="1:11">
      <c r="A60" t="s">
        <v>77</v>
      </c>
      <c r="E60" s="10">
        <f>E49-E55</f>
        <v>4688925</v>
      </c>
      <c r="F60" s="10">
        <f t="shared" ref="F60:J60" si="46">F49-F55</f>
        <v>4401990</v>
      </c>
      <c r="G60" s="10">
        <f t="shared" si="46"/>
        <v>4167293</v>
      </c>
      <c r="H60" s="10">
        <f t="shared" si="46"/>
        <v>3936163</v>
      </c>
      <c r="I60" s="10">
        <f t="shared" si="46"/>
        <v>3530942</v>
      </c>
      <c r="J60" s="10">
        <f t="shared" si="46"/>
        <v>3469258</v>
      </c>
      <c r="K60" s="2"/>
    </row>
    <row r="61" spans="1:11">
      <c r="E61" s="2"/>
      <c r="F61" s="2"/>
      <c r="G61" s="2"/>
      <c r="H61" s="2"/>
      <c r="I61" s="2"/>
      <c r="J61" s="2"/>
      <c r="K61" s="2"/>
    </row>
    <row r="62" spans="1:11">
      <c r="A62" t="s">
        <v>64</v>
      </c>
      <c r="E62" s="2"/>
      <c r="F62" s="2"/>
      <c r="G62" s="2"/>
      <c r="H62" s="2"/>
      <c r="I62" s="2"/>
      <c r="J62" s="2"/>
      <c r="K62" s="2"/>
    </row>
    <row r="63" spans="1:11">
      <c r="A63" t="s">
        <v>78</v>
      </c>
      <c r="E63" s="2">
        <v>3229</v>
      </c>
      <c r="F63" s="2">
        <v>4138</v>
      </c>
      <c r="G63" s="2">
        <v>5058</v>
      </c>
      <c r="H63" s="2">
        <v>5521</v>
      </c>
      <c r="I63" s="2">
        <v>8204</v>
      </c>
      <c r="J63" s="2">
        <v>5934</v>
      </c>
      <c r="K63" s="2"/>
    </row>
    <row r="64" spans="1:11">
      <c r="A64" t="s">
        <v>65</v>
      </c>
      <c r="E64" s="2">
        <v>99146</v>
      </c>
      <c r="F64" s="2">
        <v>96999</v>
      </c>
      <c r="G64" s="2">
        <v>95356</v>
      </c>
      <c r="H64" s="2">
        <v>92921</v>
      </c>
      <c r="I64" s="2">
        <v>75546</v>
      </c>
      <c r="J64" s="2">
        <v>85881</v>
      </c>
      <c r="K64" s="2"/>
    </row>
    <row r="65" spans="1:11">
      <c r="A65" t="s">
        <v>107</v>
      </c>
      <c r="E65" s="2"/>
      <c r="F65" s="2"/>
      <c r="G65" s="2">
        <v>7873</v>
      </c>
      <c r="H65" s="2">
        <v>16082</v>
      </c>
      <c r="I65" s="2">
        <v>0</v>
      </c>
      <c r="J65" s="2">
        <v>33600</v>
      </c>
      <c r="K65" s="2"/>
    </row>
    <row r="66" spans="1:11">
      <c r="A66" t="s">
        <v>66</v>
      </c>
      <c r="E66" s="2">
        <v>0</v>
      </c>
      <c r="F66" s="2">
        <v>26849</v>
      </c>
      <c r="G66" s="2">
        <v>40038</v>
      </c>
      <c r="H66" s="2">
        <v>37818</v>
      </c>
      <c r="I66" s="2">
        <v>37758</v>
      </c>
      <c r="J66" s="2">
        <v>0</v>
      </c>
      <c r="K66" s="2"/>
    </row>
    <row r="67" spans="1:11">
      <c r="A67" t="s">
        <v>67</v>
      </c>
      <c r="E67" s="2">
        <v>12414</v>
      </c>
      <c r="F67" s="2">
        <v>12788</v>
      </c>
      <c r="G67" s="2">
        <v>11438</v>
      </c>
      <c r="H67" s="2">
        <v>11757</v>
      </c>
      <c r="I67" s="2">
        <v>11014</v>
      </c>
      <c r="J67" s="2">
        <v>9158</v>
      </c>
      <c r="K67" s="2"/>
    </row>
    <row r="68" spans="1:11">
      <c r="A68" t="s">
        <v>68</v>
      </c>
      <c r="E68" s="2">
        <v>11802</v>
      </c>
      <c r="F68" s="2">
        <v>11748</v>
      </c>
      <c r="G68" s="2">
        <v>11112</v>
      </c>
      <c r="H68" s="2">
        <v>10372</v>
      </c>
      <c r="I68" s="2">
        <v>9775</v>
      </c>
      <c r="J68" s="2">
        <v>10846</v>
      </c>
      <c r="K68" s="2"/>
    </row>
    <row r="69" spans="1:11">
      <c r="A69" t="s">
        <v>69</v>
      </c>
      <c r="E69" s="2">
        <v>1779</v>
      </c>
      <c r="F69" s="2">
        <v>0</v>
      </c>
      <c r="G69" s="2">
        <v>794</v>
      </c>
      <c r="H69" s="2">
        <v>86423</v>
      </c>
      <c r="I69" s="2">
        <v>263061</v>
      </c>
      <c r="J69" s="2"/>
      <c r="K69" s="2"/>
    </row>
    <row r="70" spans="1:11">
      <c r="A70" t="s">
        <v>70</v>
      </c>
      <c r="E70" s="10">
        <f>E63+E64+E65+E66+E67+E68+E69</f>
        <v>128370</v>
      </c>
      <c r="F70" s="10">
        <f t="shared" ref="F70:J70" si="47">F63+F64+F65+F66+F67+F68+F69</f>
        <v>152522</v>
      </c>
      <c r="G70" s="10">
        <f t="shared" si="47"/>
        <v>171669</v>
      </c>
      <c r="H70" s="10">
        <f t="shared" si="47"/>
        <v>260894</v>
      </c>
      <c r="I70" s="10">
        <f t="shared" si="47"/>
        <v>405358</v>
      </c>
      <c r="J70" s="10">
        <f t="shared" si="47"/>
        <v>145419</v>
      </c>
      <c r="K70" s="2"/>
    </row>
    <row r="71" spans="1:11">
      <c r="B71" t="s">
        <v>292</v>
      </c>
      <c r="C71" s="27">
        <f>AVERAGE(E71,F71,G71)</f>
        <v>0.19284919229001243</v>
      </c>
      <c r="D71" s="27">
        <f>AVERAGE(E71,F71,G71)</f>
        <v>0.19284919229001243</v>
      </c>
      <c r="E71" s="31">
        <f>E70/E7</f>
        <v>0.15766319006047624</v>
      </c>
      <c r="F71" s="31">
        <f t="shared" ref="F71:J71" si="48">F70/F7</f>
        <v>0.19556534594686775</v>
      </c>
      <c r="G71" s="31">
        <f t="shared" si="48"/>
        <v>0.22531904086269333</v>
      </c>
      <c r="H71" s="31">
        <f t="shared" si="48"/>
        <v>0.34429634712837837</v>
      </c>
      <c r="I71" s="31">
        <f t="shared" si="48"/>
        <v>0.58979093280720973</v>
      </c>
      <c r="J71" s="31">
        <f t="shared" si="48"/>
        <v>0.22026974216357209</v>
      </c>
      <c r="K71" s="2"/>
    </row>
    <row r="72" spans="1:11">
      <c r="E72" s="2"/>
      <c r="F72" s="2"/>
      <c r="G72" s="2"/>
      <c r="H72" s="2"/>
      <c r="I72" s="2"/>
      <c r="J72" s="2"/>
      <c r="K72" s="2"/>
    </row>
    <row r="73" spans="1:11">
      <c r="A73" t="s">
        <v>71</v>
      </c>
      <c r="E73" s="2">
        <v>830118</v>
      </c>
      <c r="F73" s="2">
        <v>725591</v>
      </c>
      <c r="G73" s="2">
        <v>585600</v>
      </c>
      <c r="H73" s="2">
        <v>521264</v>
      </c>
      <c r="I73" s="2">
        <v>240032</v>
      </c>
      <c r="J73" s="2">
        <v>217376</v>
      </c>
      <c r="K73" s="2"/>
    </row>
    <row r="74" spans="1:11">
      <c r="A74" t="s">
        <v>72</v>
      </c>
      <c r="E74" s="2">
        <v>52043</v>
      </c>
      <c r="F74" s="2">
        <v>52084</v>
      </c>
      <c r="G74" s="2">
        <v>50290</v>
      </c>
      <c r="H74" s="2">
        <v>49852</v>
      </c>
      <c r="I74" s="2">
        <v>51152</v>
      </c>
      <c r="J74" s="2">
        <v>65093</v>
      </c>
      <c r="K74" s="2"/>
    </row>
    <row r="75" spans="1:11">
      <c r="A75" t="s">
        <v>73</v>
      </c>
      <c r="E75" s="2">
        <v>7716</v>
      </c>
      <c r="F75" s="2">
        <v>43334</v>
      </c>
      <c r="G75" s="2">
        <v>48695</v>
      </c>
      <c r="H75" s="2">
        <v>38620</v>
      </c>
      <c r="I75" s="2">
        <v>5087</v>
      </c>
      <c r="J75" s="2"/>
      <c r="K75" s="2"/>
    </row>
    <row r="76" spans="1:11">
      <c r="A76" t="s">
        <v>74</v>
      </c>
      <c r="E76" s="2">
        <v>0</v>
      </c>
      <c r="F76" s="2">
        <v>47</v>
      </c>
      <c r="G76" s="2">
        <v>47</v>
      </c>
      <c r="H76" s="2">
        <v>23572</v>
      </c>
      <c r="I76" s="2">
        <v>88905</v>
      </c>
      <c r="J76" s="2">
        <v>135086</v>
      </c>
      <c r="K76" s="2"/>
    </row>
    <row r="77" spans="1:11">
      <c r="A77" t="s">
        <v>75</v>
      </c>
      <c r="E77" s="2">
        <v>33866</v>
      </c>
      <c r="F77" s="2">
        <v>31184</v>
      </c>
      <c r="G77" s="2">
        <v>28223</v>
      </c>
      <c r="H77" s="2">
        <v>28152</v>
      </c>
      <c r="I77" s="2">
        <v>26944</v>
      </c>
      <c r="J77" s="2">
        <v>40234</v>
      </c>
      <c r="K77" s="2"/>
    </row>
    <row r="78" spans="1:11">
      <c r="A78" t="s">
        <v>76</v>
      </c>
      <c r="E78" s="10">
        <f>E60+E70+(E73+E74+E75+E76+E77)</f>
        <v>5741038</v>
      </c>
      <c r="F78" s="10">
        <f t="shared" ref="F78:H78" si="49">F60+F70+(F73+F74+F75+F76+F77)</f>
        <v>5406752</v>
      </c>
      <c r="G78" s="10">
        <f t="shared" si="49"/>
        <v>5051817</v>
      </c>
      <c r="H78" s="10">
        <f t="shared" si="49"/>
        <v>4858517</v>
      </c>
      <c r="I78" s="10">
        <f>I60+I70+(I73+I74+I75+I76+I77)</f>
        <v>4348420</v>
      </c>
      <c r="J78" s="10">
        <f>J60+J70+(J73+J74+J75+J76+J77)</f>
        <v>4072466</v>
      </c>
      <c r="K78" s="2"/>
    </row>
    <row r="79" spans="1:11">
      <c r="A79" t="s">
        <v>113</v>
      </c>
      <c r="E79" s="3">
        <v>5741038</v>
      </c>
      <c r="F79" s="3">
        <v>5406752</v>
      </c>
      <c r="G79" s="3">
        <v>5051817</v>
      </c>
      <c r="H79" s="3">
        <v>4858517</v>
      </c>
      <c r="I79" s="3">
        <v>4348420</v>
      </c>
      <c r="J79" s="3">
        <v>4072466</v>
      </c>
      <c r="K79" s="2"/>
    </row>
    <row r="80" spans="1:11">
      <c r="A80" t="s">
        <v>112</v>
      </c>
      <c r="E80" s="4">
        <f t="shared" ref="E80:G80" si="50">E78-E79</f>
        <v>0</v>
      </c>
      <c r="F80" s="4">
        <f t="shared" si="50"/>
        <v>0</v>
      </c>
      <c r="G80" s="4">
        <f t="shared" si="50"/>
        <v>0</v>
      </c>
      <c r="H80" s="4">
        <f>H78-H79</f>
        <v>0</v>
      </c>
      <c r="I80" s="4">
        <f t="shared" ref="I80:J80" si="51">I78-I79</f>
        <v>0</v>
      </c>
      <c r="J80" s="4">
        <f t="shared" si="51"/>
        <v>0</v>
      </c>
      <c r="K80" s="2"/>
    </row>
    <row r="81" spans="1:11">
      <c r="E81" s="2"/>
      <c r="F81" s="2"/>
      <c r="G81" s="2"/>
      <c r="H81" s="2"/>
      <c r="I81" s="2"/>
      <c r="J81" s="2"/>
      <c r="K81" s="2"/>
    </row>
    <row r="82" spans="1:11">
      <c r="A82" t="s">
        <v>79</v>
      </c>
      <c r="E82" s="2"/>
      <c r="F82" s="2"/>
      <c r="G82" s="2"/>
      <c r="H82" s="2"/>
      <c r="I82" s="2"/>
      <c r="J82" s="2"/>
      <c r="K82" s="2"/>
    </row>
    <row r="83" spans="1:11">
      <c r="A83" s="5" t="s">
        <v>80</v>
      </c>
      <c r="E83" s="2"/>
      <c r="F83" s="2"/>
      <c r="G83" s="2"/>
      <c r="H83" s="2"/>
      <c r="I83" s="2"/>
      <c r="J83" s="2"/>
      <c r="K83" s="2"/>
    </row>
    <row r="84" spans="1:11">
      <c r="A84" s="5" t="s">
        <v>85</v>
      </c>
      <c r="E84" s="2">
        <v>300000</v>
      </c>
      <c r="F84" s="2">
        <v>300000</v>
      </c>
      <c r="G84" s="2">
        <v>300000</v>
      </c>
      <c r="H84" s="2">
        <v>300000</v>
      </c>
      <c r="I84" s="2">
        <v>300000</v>
      </c>
      <c r="J84" s="2">
        <v>300000</v>
      </c>
      <c r="K84" s="2"/>
    </row>
    <row r="85" spans="1:11">
      <c r="A85" s="5" t="s">
        <v>86</v>
      </c>
      <c r="E85" s="2">
        <v>179363.66</v>
      </c>
      <c r="F85" s="2">
        <v>178591.25399999999</v>
      </c>
      <c r="G85" s="2">
        <v>177928.92199999999</v>
      </c>
      <c r="H85" s="2">
        <v>140943.62100000001</v>
      </c>
      <c r="I85" s="2">
        <v>139525.57999999999</v>
      </c>
      <c r="J85" s="2">
        <v>138449.03899999999</v>
      </c>
      <c r="K85" s="2"/>
    </row>
    <row r="86" spans="1:11">
      <c r="A86" s="5" t="s">
        <v>87</v>
      </c>
      <c r="E86" s="2">
        <v>89682</v>
      </c>
      <c r="F86" s="2">
        <v>89296</v>
      </c>
      <c r="G86" s="2">
        <v>88964</v>
      </c>
      <c r="H86" s="2">
        <v>70472</v>
      </c>
      <c r="I86" s="2">
        <v>69762</v>
      </c>
      <c r="J86" s="2">
        <v>69223</v>
      </c>
      <c r="K86" s="2"/>
    </row>
    <row r="87" spans="1:11">
      <c r="A87" s="5" t="s">
        <v>88</v>
      </c>
      <c r="E87" s="2">
        <v>773585</v>
      </c>
      <c r="F87" s="2">
        <v>758145</v>
      </c>
      <c r="G87" s="2">
        <v>743335</v>
      </c>
      <c r="H87" s="2">
        <v>718482</v>
      </c>
      <c r="I87" s="2">
        <v>686106</v>
      </c>
      <c r="J87" s="2">
        <v>664369</v>
      </c>
      <c r="K87" s="2"/>
    </row>
    <row r="88" spans="1:11">
      <c r="A88" s="5" t="s">
        <v>81</v>
      </c>
      <c r="E88" s="2">
        <v>930061</v>
      </c>
      <c r="F88" s="2">
        <v>849952</v>
      </c>
      <c r="G88" s="2">
        <v>729272</v>
      </c>
      <c r="H88" s="2">
        <v>611303</v>
      </c>
      <c r="I88" s="2">
        <v>508334</v>
      </c>
      <c r="J88" s="2">
        <v>452470</v>
      </c>
      <c r="K88" s="2"/>
    </row>
    <row r="89" spans="1:11">
      <c r="A89" s="5" t="s">
        <v>82</v>
      </c>
      <c r="E89" s="2">
        <v>-68085</v>
      </c>
      <c r="F89" s="2">
        <v>-42838</v>
      </c>
      <c r="G89" s="2">
        <v>-27082</v>
      </c>
      <c r="H89" s="2">
        <v>-14668</v>
      </c>
      <c r="I89" s="2">
        <v>-13145</v>
      </c>
      <c r="J89" s="2">
        <v>-12307</v>
      </c>
      <c r="K89" s="2"/>
    </row>
    <row r="90" spans="1:11">
      <c r="A90" s="5" t="s">
        <v>83</v>
      </c>
      <c r="E90" s="2">
        <v>687</v>
      </c>
      <c r="F90" s="2">
        <v>788</v>
      </c>
      <c r="G90" s="2">
        <v>346</v>
      </c>
      <c r="H90" s="2">
        <v>115</v>
      </c>
      <c r="I90" s="2">
        <v>256</v>
      </c>
      <c r="J90" s="2">
        <v>499</v>
      </c>
      <c r="K90" s="2"/>
    </row>
    <row r="91" spans="1:11">
      <c r="A91" t="s">
        <v>84</v>
      </c>
      <c r="E91" s="10">
        <f>E86+E87+E88+E89+E90</f>
        <v>1725930</v>
      </c>
      <c r="F91" s="10">
        <f t="shared" ref="F91:J91" si="52">F86+F87+F88+F89+F90</f>
        <v>1655343</v>
      </c>
      <c r="G91" s="10">
        <f t="shared" si="52"/>
        <v>1534835</v>
      </c>
      <c r="H91" s="10">
        <f t="shared" si="52"/>
        <v>1385704</v>
      </c>
      <c r="I91" s="10">
        <f t="shared" si="52"/>
        <v>1251313</v>
      </c>
      <c r="J91" s="10">
        <f t="shared" si="52"/>
        <v>1174254</v>
      </c>
      <c r="K91" s="2"/>
    </row>
    <row r="92" spans="1:11">
      <c r="A92" t="s">
        <v>89</v>
      </c>
      <c r="E92" s="2">
        <v>0</v>
      </c>
      <c r="F92" s="2">
        <v>40</v>
      </c>
      <c r="G92" s="2">
        <v>208</v>
      </c>
      <c r="H92" s="2">
        <v>188</v>
      </c>
      <c r="I92" s="2">
        <v>504</v>
      </c>
      <c r="J92" s="2">
        <v>572</v>
      </c>
      <c r="K92" s="2"/>
    </row>
    <row r="93" spans="1:11">
      <c r="A93" t="s">
        <v>90</v>
      </c>
      <c r="E93" s="10">
        <f>E91+E92</f>
        <v>1725930</v>
      </c>
      <c r="F93" s="10">
        <f t="shared" ref="F93:J93" si="53">F91+F92</f>
        <v>1655383</v>
      </c>
      <c r="G93" s="10">
        <f t="shared" si="53"/>
        <v>1535043</v>
      </c>
      <c r="H93" s="10">
        <f t="shared" si="53"/>
        <v>1385892</v>
      </c>
      <c r="I93" s="10">
        <f t="shared" si="53"/>
        <v>1251817</v>
      </c>
      <c r="J93" s="10">
        <f t="shared" si="53"/>
        <v>1174826</v>
      </c>
      <c r="K93" s="2"/>
    </row>
    <row r="94" spans="1:11">
      <c r="E94" s="2"/>
      <c r="F94" s="2"/>
      <c r="G94" s="2"/>
      <c r="H94" s="2"/>
      <c r="I94" s="2"/>
      <c r="J94" s="2"/>
      <c r="K94" s="2"/>
    </row>
    <row r="95" spans="1:11">
      <c r="A95" t="s">
        <v>108</v>
      </c>
      <c r="E95" s="2">
        <v>1743612</v>
      </c>
      <c r="F95" s="2">
        <v>1560655</v>
      </c>
      <c r="G95" s="2">
        <v>1468583</v>
      </c>
      <c r="H95" s="2">
        <v>1543954</v>
      </c>
      <c r="I95" s="2">
        <v>1395457</v>
      </c>
      <c r="J95" s="2">
        <v>1531976</v>
      </c>
      <c r="K95" s="2"/>
    </row>
    <row r="96" spans="1:11">
      <c r="A96" t="s">
        <v>109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/>
    </row>
    <row r="97" spans="1:11">
      <c r="E97" s="2"/>
      <c r="F97" s="2"/>
      <c r="G97" s="2"/>
      <c r="H97" s="2"/>
      <c r="I97" s="2"/>
      <c r="J97" s="2"/>
      <c r="K97" s="2"/>
    </row>
    <row r="98" spans="1:11">
      <c r="A98" t="s">
        <v>91</v>
      </c>
      <c r="E98" s="2"/>
      <c r="F98" s="2"/>
      <c r="G98" s="2"/>
      <c r="H98" s="2"/>
      <c r="I98" s="2"/>
      <c r="J98" s="2"/>
      <c r="K98" s="2"/>
    </row>
    <row r="99" spans="1:11">
      <c r="A99" t="s">
        <v>92</v>
      </c>
      <c r="E99" s="2">
        <v>35593</v>
      </c>
      <c r="F99" s="2">
        <v>58615</v>
      </c>
      <c r="G99" s="2">
        <v>86288</v>
      </c>
      <c r="H99" s="2">
        <v>45038</v>
      </c>
      <c r="I99" s="2">
        <v>80429</v>
      </c>
      <c r="J99" s="2">
        <v>28413</v>
      </c>
      <c r="K99" s="2"/>
    </row>
    <row r="100" spans="1:11">
      <c r="A100" t="s">
        <v>93</v>
      </c>
      <c r="E100" s="2">
        <v>16721</v>
      </c>
      <c r="F100" s="2">
        <v>18398</v>
      </c>
      <c r="G100" s="2">
        <v>36740</v>
      </c>
      <c r="H100" s="2">
        <v>80383</v>
      </c>
      <c r="I100" s="2">
        <v>107771</v>
      </c>
      <c r="J100" s="2">
        <v>89668</v>
      </c>
      <c r="K100" s="2"/>
    </row>
    <row r="101" spans="1:11">
      <c r="A101" t="s">
        <v>98</v>
      </c>
      <c r="E101" s="2">
        <v>56452</v>
      </c>
      <c r="F101" s="2">
        <v>63035</v>
      </c>
      <c r="G101" s="2">
        <v>65816</v>
      </c>
      <c r="H101" s="2">
        <v>55506</v>
      </c>
      <c r="I101" s="2">
        <v>67595</v>
      </c>
      <c r="J101" s="2">
        <v>45382</v>
      </c>
      <c r="K101" s="2"/>
    </row>
    <row r="102" spans="1:11">
      <c r="A102" t="s">
        <v>94</v>
      </c>
      <c r="E102" s="2">
        <v>12651</v>
      </c>
      <c r="F102" s="2">
        <v>12437</v>
      </c>
      <c r="G102" s="2">
        <v>13615</v>
      </c>
      <c r="H102" s="2">
        <v>14026</v>
      </c>
      <c r="I102" s="2">
        <v>14563</v>
      </c>
      <c r="J102" s="2">
        <v>15891</v>
      </c>
      <c r="K102" s="2"/>
    </row>
    <row r="103" spans="1:11">
      <c r="A103" t="s">
        <v>95</v>
      </c>
      <c r="E103" s="2">
        <v>21887</v>
      </c>
      <c r="F103" s="2">
        <v>31462</v>
      </c>
      <c r="G103" s="2">
        <v>15442</v>
      </c>
      <c r="H103" s="2">
        <v>28214</v>
      </c>
      <c r="I103" s="2">
        <v>16694</v>
      </c>
      <c r="J103" s="2">
        <v>16401</v>
      </c>
      <c r="K103" s="2"/>
    </row>
    <row r="104" spans="1:11">
      <c r="A104" t="s">
        <v>96</v>
      </c>
      <c r="E104" s="2">
        <v>49895</v>
      </c>
      <c r="F104" s="2">
        <v>41388</v>
      </c>
      <c r="G104" s="2">
        <v>34193</v>
      </c>
      <c r="H104" s="2">
        <v>27360</v>
      </c>
      <c r="I104" s="2">
        <v>22595</v>
      </c>
      <c r="J104" s="2">
        <v>27960</v>
      </c>
      <c r="K104" s="2"/>
    </row>
    <row r="105" spans="1:11">
      <c r="A105" t="s">
        <v>110</v>
      </c>
      <c r="E105" s="2">
        <v>0</v>
      </c>
      <c r="F105" s="2">
        <v>0</v>
      </c>
      <c r="G105" s="2">
        <v>14816</v>
      </c>
      <c r="H105" s="2">
        <v>23637</v>
      </c>
      <c r="I105" s="2">
        <v>137171</v>
      </c>
      <c r="J105" s="2">
        <v>0</v>
      </c>
      <c r="K105" s="2"/>
    </row>
    <row r="106" spans="1:11">
      <c r="A106" t="s">
        <v>97</v>
      </c>
      <c r="E106" s="12">
        <f>E99+E100+E101+E102+E103+E104+E105</f>
        <v>193199</v>
      </c>
      <c r="F106" s="12">
        <f t="shared" ref="F106:J106" si="54">F99+F100+F101+F102+F103+F104+F105</f>
        <v>225335</v>
      </c>
      <c r="G106" s="12">
        <f t="shared" si="54"/>
        <v>266910</v>
      </c>
      <c r="H106" s="12">
        <f t="shared" si="54"/>
        <v>274164</v>
      </c>
      <c r="I106" s="12">
        <f t="shared" si="54"/>
        <v>446818</v>
      </c>
      <c r="J106" s="12">
        <f t="shared" si="54"/>
        <v>223715</v>
      </c>
      <c r="K106" s="2"/>
    </row>
    <row r="107" spans="1:11">
      <c r="C107" s="27">
        <f>AVERAGE(E107,F107,G107)</f>
        <v>0.2921791603655659</v>
      </c>
      <c r="D107" s="27">
        <f>AVERAGE(E107,F107,G107,H107,I107,J107)</f>
        <v>0.3712212195824684</v>
      </c>
      <c r="E107" s="31">
        <f>E106/E7</f>
        <v>0.23728574165688207</v>
      </c>
      <c r="F107" s="31">
        <f t="shared" ref="F107:J107" si="55">F106/F7</f>
        <v>0.28892695630097587</v>
      </c>
      <c r="G107" s="31">
        <f t="shared" si="55"/>
        <v>0.35032478313883969</v>
      </c>
      <c r="H107" s="31">
        <f t="shared" si="55"/>
        <v>0.36180848817567568</v>
      </c>
      <c r="I107" s="31">
        <f t="shared" si="55"/>
        <v>0.65011472578572982</v>
      </c>
      <c r="J107" s="31">
        <f t="shared" si="55"/>
        <v>0.33886662243670723</v>
      </c>
      <c r="K107" s="2"/>
    </row>
    <row r="108" spans="1:11">
      <c r="H108" s="2"/>
      <c r="I108" s="2"/>
      <c r="J108" s="2"/>
      <c r="K108" s="2"/>
    </row>
    <row r="109" spans="1:11">
      <c r="A109" t="s">
        <v>99</v>
      </c>
      <c r="H109" s="2"/>
      <c r="I109" s="2"/>
      <c r="J109" s="2"/>
      <c r="K109" s="2"/>
    </row>
    <row r="110" spans="1:11">
      <c r="A110" t="s">
        <v>100</v>
      </c>
      <c r="E110" s="2">
        <v>1118923</v>
      </c>
      <c r="F110" s="2">
        <v>1000791</v>
      </c>
      <c r="G110" s="2">
        <v>867880</v>
      </c>
      <c r="H110" s="2">
        <v>723367</v>
      </c>
      <c r="I110" s="2">
        <v>596644</v>
      </c>
      <c r="J110" s="2">
        <v>478705</v>
      </c>
      <c r="K110" s="2"/>
    </row>
    <row r="111" spans="1:11">
      <c r="A111" t="s">
        <v>101</v>
      </c>
      <c r="E111" s="2">
        <v>86934</v>
      </c>
      <c r="F111" s="2">
        <v>78301</v>
      </c>
      <c r="G111" s="2">
        <v>74257</v>
      </c>
      <c r="H111" s="2">
        <v>71595</v>
      </c>
      <c r="I111" s="2">
        <v>66198</v>
      </c>
      <c r="J111" s="2">
        <v>66966</v>
      </c>
      <c r="K111" s="2"/>
    </row>
    <row r="112" spans="1:11">
      <c r="A112" t="s">
        <v>102</v>
      </c>
      <c r="E112" s="2">
        <v>259507</v>
      </c>
      <c r="F112" s="2">
        <v>278317</v>
      </c>
      <c r="G112" s="2">
        <v>281014</v>
      </c>
      <c r="H112" s="2">
        <v>241363</v>
      </c>
      <c r="I112" s="2">
        <v>41344</v>
      </c>
      <c r="J112" s="2">
        <v>35921</v>
      </c>
      <c r="K112" s="2"/>
    </row>
    <row r="113" spans="1:11">
      <c r="A113" t="s">
        <v>103</v>
      </c>
      <c r="E113" s="2">
        <v>100498</v>
      </c>
      <c r="F113" s="2">
        <v>109692</v>
      </c>
      <c r="G113" s="2">
        <v>81552</v>
      </c>
      <c r="H113" s="2">
        <v>157978</v>
      </c>
      <c r="I113" s="2">
        <v>121986</v>
      </c>
      <c r="J113" s="2">
        <v>116250</v>
      </c>
      <c r="K113" s="2"/>
    </row>
    <row r="114" spans="1:11">
      <c r="A114" t="s">
        <v>104</v>
      </c>
      <c r="E114" s="10">
        <f>E110+E111+E112+E113</f>
        <v>1565862</v>
      </c>
      <c r="F114" s="10">
        <f t="shared" ref="F114:J114" si="56">F110+F111+F112+F113</f>
        <v>1467101</v>
      </c>
      <c r="G114" s="10">
        <f t="shared" si="56"/>
        <v>1304703</v>
      </c>
      <c r="H114" s="10">
        <f t="shared" si="56"/>
        <v>1194303</v>
      </c>
      <c r="I114" s="10">
        <f t="shared" si="56"/>
        <v>826172</v>
      </c>
      <c r="J114" s="10">
        <f t="shared" si="56"/>
        <v>697842</v>
      </c>
      <c r="K114" s="2"/>
    </row>
    <row r="115" spans="1:11">
      <c r="E115" s="2"/>
      <c r="F115" s="2"/>
      <c r="G115" s="2"/>
      <c r="H115" s="2"/>
      <c r="I115" s="2"/>
      <c r="J115" s="2"/>
      <c r="K115" s="2"/>
    </row>
    <row r="116" spans="1:11">
      <c r="A116" t="s">
        <v>105</v>
      </c>
      <c r="E116" s="2">
        <v>512435</v>
      </c>
      <c r="F116" s="2">
        <v>498278</v>
      </c>
      <c r="G116" s="2">
        <v>476578</v>
      </c>
      <c r="H116" s="2">
        <v>460204</v>
      </c>
      <c r="I116" s="2">
        <v>428156</v>
      </c>
      <c r="J116" s="2">
        <v>444107</v>
      </c>
      <c r="K116" s="2"/>
    </row>
    <row r="117" spans="1:11">
      <c r="E117" s="2"/>
      <c r="F117" s="2"/>
      <c r="G117" s="2"/>
      <c r="H117" s="2"/>
      <c r="I117" s="2"/>
      <c r="J117" s="2"/>
      <c r="K117" s="2"/>
    </row>
    <row r="118" spans="1:11">
      <c r="A118" t="s">
        <v>106</v>
      </c>
      <c r="E118" s="10">
        <f t="shared" ref="E118:G118" si="57">E114+E116+E95+E96+E93+E106</f>
        <v>5741038</v>
      </c>
      <c r="F118" s="10">
        <f t="shared" si="57"/>
        <v>5406752</v>
      </c>
      <c r="G118" s="10">
        <f t="shared" si="57"/>
        <v>5051817</v>
      </c>
      <c r="H118" s="10">
        <f>H114+H116+H95+H96+H93+H106</f>
        <v>4858517</v>
      </c>
      <c r="I118" s="10">
        <f t="shared" ref="I118:J118" si="58">I114+I116+I95+I96+I93+I106</f>
        <v>4348420</v>
      </c>
      <c r="J118" s="10">
        <f t="shared" si="58"/>
        <v>4072466</v>
      </c>
      <c r="K118" s="2"/>
    </row>
    <row r="119" spans="1:11">
      <c r="A119" t="s">
        <v>111</v>
      </c>
      <c r="E119" s="2">
        <v>5741038</v>
      </c>
      <c r="F119" s="2">
        <v>5406752</v>
      </c>
      <c r="G119" s="2">
        <v>5051817</v>
      </c>
      <c r="H119" s="2">
        <v>4858517</v>
      </c>
      <c r="I119" s="2">
        <v>4348420</v>
      </c>
      <c r="J119" s="2">
        <v>4072466</v>
      </c>
      <c r="K119" s="2"/>
    </row>
    <row r="120" spans="1:11">
      <c r="A120" t="s">
        <v>112</v>
      </c>
      <c r="E120" s="10">
        <f t="shared" ref="E120:G120" si="59">E118-E119</f>
        <v>0</v>
      </c>
      <c r="F120" s="10">
        <f t="shared" si="59"/>
        <v>0</v>
      </c>
      <c r="G120" s="10">
        <f t="shared" si="59"/>
        <v>0</v>
      </c>
      <c r="H120" s="10">
        <f>H118-H119</f>
        <v>0</v>
      </c>
      <c r="I120" s="10">
        <f t="shared" ref="I120:J120" si="60">I118-I119</f>
        <v>0</v>
      </c>
      <c r="J120" s="10">
        <f t="shared" si="60"/>
        <v>0</v>
      </c>
      <c r="K120" s="2"/>
    </row>
    <row r="121" spans="1:11">
      <c r="E121" s="2"/>
      <c r="F121" s="2"/>
      <c r="G121" s="2"/>
      <c r="H121" s="2"/>
      <c r="I121" s="2"/>
      <c r="J121" s="2"/>
      <c r="K121" s="2"/>
    </row>
    <row r="122" spans="1:11">
      <c r="A122" t="s">
        <v>136</v>
      </c>
      <c r="E122" s="2"/>
      <c r="F122" s="2"/>
      <c r="G122" s="2"/>
      <c r="H122" s="2"/>
      <c r="I122" s="2"/>
      <c r="J122" s="2"/>
      <c r="K122" s="2"/>
    </row>
    <row r="123" spans="1:11">
      <c r="A123" t="s">
        <v>137</v>
      </c>
      <c r="E123" s="15">
        <f>E70</f>
        <v>128370</v>
      </c>
      <c r="F123" s="15">
        <f t="shared" ref="F123:J123" si="61">F70</f>
        <v>152522</v>
      </c>
      <c r="G123" s="15">
        <f t="shared" si="61"/>
        <v>171669</v>
      </c>
      <c r="H123" s="15">
        <f t="shared" si="61"/>
        <v>260894</v>
      </c>
      <c r="I123" s="15">
        <f t="shared" si="61"/>
        <v>405358</v>
      </c>
      <c r="J123" s="15">
        <f t="shared" si="61"/>
        <v>145419</v>
      </c>
      <c r="K123" s="2"/>
    </row>
    <row r="124" spans="1:11">
      <c r="A124" t="s">
        <v>138</v>
      </c>
      <c r="E124" s="16">
        <f>E106</f>
        <v>193199</v>
      </c>
      <c r="F124" s="16">
        <f t="shared" ref="F124:J124" si="62">F106</f>
        <v>225335</v>
      </c>
      <c r="G124" s="16">
        <f t="shared" si="62"/>
        <v>266910</v>
      </c>
      <c r="H124" s="16">
        <f t="shared" si="62"/>
        <v>274164</v>
      </c>
      <c r="I124" s="16">
        <f t="shared" si="62"/>
        <v>446818</v>
      </c>
      <c r="J124" s="16">
        <f t="shared" si="62"/>
        <v>223715</v>
      </c>
    </row>
    <row r="125" spans="1:11">
      <c r="A125" t="s">
        <v>139</v>
      </c>
      <c r="E125" s="12">
        <f>E123-E124</f>
        <v>-64829</v>
      </c>
      <c r="F125" s="12">
        <f t="shared" ref="F125:J125" si="63">F123-F124</f>
        <v>-72813</v>
      </c>
      <c r="G125" s="12">
        <f t="shared" si="63"/>
        <v>-95241</v>
      </c>
      <c r="H125" s="12">
        <f t="shared" si="63"/>
        <v>-13270</v>
      </c>
      <c r="I125" s="12">
        <f t="shared" si="63"/>
        <v>-41460</v>
      </c>
      <c r="J125" s="12">
        <f t="shared" si="63"/>
        <v>-78296</v>
      </c>
    </row>
    <row r="126" spans="1:11">
      <c r="A126" t="s">
        <v>150</v>
      </c>
      <c r="C126" s="27">
        <f>AVERAGE(E126,F126,G126)</f>
        <v>-9.9329968075553457E-2</v>
      </c>
      <c r="D126" s="27">
        <f t="shared" ref="D126" si="64">AVERAGE(E126,F126,G126,H126,I126,J126)</f>
        <v>-8.2403786420935474E-2</v>
      </c>
      <c r="E126" s="13">
        <f t="shared" ref="E126:H126" si="65">E125/E7</f>
        <v>-7.9622551596405813E-2</v>
      </c>
      <c r="F126" s="13">
        <f t="shared" si="65"/>
        <v>-9.3361610354108143E-2</v>
      </c>
      <c r="G126" s="13">
        <f t="shared" si="65"/>
        <v>-0.12500574227614639</v>
      </c>
      <c r="H126" s="13">
        <f t="shared" si="65"/>
        <v>-1.7512141047297296E-2</v>
      </c>
      <c r="I126" s="13">
        <f>I125/I7</f>
        <v>-6.0323792978520016E-2</v>
      </c>
      <c r="J126" s="13">
        <f t="shared" ref="J126" si="66">J125/J7</f>
        <v>-0.11859688027313514</v>
      </c>
    </row>
    <row r="128" spans="1:11">
      <c r="A128" t="s">
        <v>159</v>
      </c>
    </row>
    <row r="129" spans="1:10">
      <c r="A129" t="s">
        <v>224</v>
      </c>
      <c r="E129" s="2">
        <v>791404</v>
      </c>
      <c r="F129" s="2">
        <v>779665</v>
      </c>
      <c r="G129" s="2">
        <v>771660</v>
      </c>
      <c r="H129" s="2">
        <v>766121</v>
      </c>
      <c r="I129" s="2">
        <v>711664</v>
      </c>
      <c r="J129" s="2">
        <v>719812</v>
      </c>
    </row>
    <row r="130" spans="1:10">
      <c r="A130" t="s">
        <v>225</v>
      </c>
      <c r="E130" s="2">
        <v>40151</v>
      </c>
      <c r="F130" s="2">
        <v>39614</v>
      </c>
      <c r="G130" s="2">
        <v>39237</v>
      </c>
      <c r="H130" s="2">
        <v>38805</v>
      </c>
      <c r="I130" s="2">
        <v>34806</v>
      </c>
      <c r="J130" s="2">
        <v>34649</v>
      </c>
    </row>
    <row r="131" spans="1:10">
      <c r="A131" t="s">
        <v>226</v>
      </c>
      <c r="E131" s="2">
        <v>1353</v>
      </c>
      <c r="F131" s="2">
        <v>1357</v>
      </c>
      <c r="G131" s="2">
        <v>1368</v>
      </c>
      <c r="H131" s="2">
        <v>1373</v>
      </c>
      <c r="I131" s="2">
        <v>1212</v>
      </c>
      <c r="J131" s="2">
        <v>1226</v>
      </c>
    </row>
    <row r="132" spans="1:10">
      <c r="A132" t="s">
        <v>227</v>
      </c>
      <c r="E132" s="2">
        <v>17420</v>
      </c>
      <c r="F132" s="2">
        <v>17412</v>
      </c>
      <c r="G132" s="2">
        <v>17230</v>
      </c>
      <c r="H132" s="2">
        <v>16643</v>
      </c>
      <c r="I132" s="2">
        <v>15676</v>
      </c>
      <c r="J132" s="2">
        <v>15376</v>
      </c>
    </row>
    <row r="133" spans="1:10">
      <c r="A133" t="s">
        <v>260</v>
      </c>
      <c r="E133" s="2">
        <f>SUM(E129:E132)</f>
        <v>850328</v>
      </c>
      <c r="F133" s="2">
        <f t="shared" ref="F133:J133" si="67">SUM(F129:F132)</f>
        <v>838048</v>
      </c>
      <c r="G133" s="2">
        <f t="shared" si="67"/>
        <v>829495</v>
      </c>
      <c r="H133" s="2">
        <f t="shared" si="67"/>
        <v>822942</v>
      </c>
      <c r="I133" s="2">
        <f t="shared" si="67"/>
        <v>763358</v>
      </c>
      <c r="J133" s="2">
        <f t="shared" si="67"/>
        <v>771063</v>
      </c>
    </row>
    <row r="134" spans="1:10">
      <c r="A134" t="s">
        <v>249</v>
      </c>
      <c r="C134" s="27">
        <f>AVERAGE(E134,F134,G134)</f>
        <v>1.0975695209129298E-2</v>
      </c>
      <c r="D134" s="27">
        <f>AVERAGE(E134,F134,G134,H134,I134)</f>
        <v>2.019790137038182E-2</v>
      </c>
      <c r="E134" s="13">
        <f t="shared" ref="E134" si="68">(E133-F133)/F133</f>
        <v>1.4653098629195463E-2</v>
      </c>
      <c r="F134" s="13">
        <f t="shared" ref="F134" si="69">(F133-G133)/G133</f>
        <v>1.0311092893869162E-2</v>
      </c>
      <c r="G134" s="13">
        <f t="shared" ref="G134" si="70">(G133-H133)/H133</f>
        <v>7.9628941043232686E-3</v>
      </c>
      <c r="H134" s="13">
        <f t="shared" ref="H134" si="71">(H133-I133)/I133</f>
        <v>7.805511961622201E-2</v>
      </c>
      <c r="I134" s="13">
        <f t="shared" ref="I134" si="72">(I133-J133)/J133</f>
        <v>-9.9926983917008085E-3</v>
      </c>
    </row>
    <row r="135" spans="1:10">
      <c r="A135" t="s">
        <v>228</v>
      </c>
      <c r="E135" s="2">
        <v>107538</v>
      </c>
      <c r="F135" s="2">
        <v>102071</v>
      </c>
      <c r="G135" s="2">
        <v>98705</v>
      </c>
      <c r="H135" s="2">
        <v>95044</v>
      </c>
      <c r="I135" s="2">
        <v>84978</v>
      </c>
      <c r="J135" s="2">
        <v>86108</v>
      </c>
    </row>
    <row r="136" spans="1:10">
      <c r="A136" t="s">
        <v>249</v>
      </c>
      <c r="C136" s="27">
        <f>AVERAGE(E136,F136,G136)</f>
        <v>4.2060458126640422E-2</v>
      </c>
      <c r="D136" s="27">
        <f>AVERAGE(E136,F136,G136,H136,I136)</f>
        <v>4.6302501550860874E-2</v>
      </c>
      <c r="E136" s="13">
        <f t="shared" ref="E136" si="73">(E135-F135)/F135</f>
        <v>5.3560756728159811E-2</v>
      </c>
      <c r="F136" s="13">
        <f t="shared" ref="F136" si="74">(F135-G135)/G135</f>
        <v>3.4101615926244874E-2</v>
      </c>
      <c r="G136" s="13">
        <f t="shared" ref="G136" si="75">(G135-H135)/H135</f>
        <v>3.8519001725516602E-2</v>
      </c>
      <c r="H136" s="13">
        <f t="shared" ref="H136" si="76">(H135-I135)/I135</f>
        <v>0.11845418814281343</v>
      </c>
      <c r="I136" s="13">
        <f t="shared" ref="I136" si="77">(I135-J135)/J135</f>
        <v>-1.3123054768430344E-2</v>
      </c>
    </row>
    <row r="137" spans="1:10">
      <c r="A137" t="s">
        <v>229</v>
      </c>
      <c r="E137" s="2">
        <f>E133+E135</f>
        <v>957866</v>
      </c>
      <c r="F137" s="2">
        <f t="shared" ref="F137:J137" si="78">F133+F135</f>
        <v>940119</v>
      </c>
      <c r="G137" s="2">
        <f t="shared" si="78"/>
        <v>928200</v>
      </c>
      <c r="H137" s="2">
        <f t="shared" si="78"/>
        <v>917986</v>
      </c>
      <c r="I137" s="2">
        <f t="shared" si="78"/>
        <v>848336</v>
      </c>
      <c r="J137" s="2">
        <f t="shared" si="78"/>
        <v>857171</v>
      </c>
    </row>
    <row r="138" spans="1:10">
      <c r="A138" t="s">
        <v>232</v>
      </c>
      <c r="C138" s="27">
        <f>AVERAGE(E138,F138,G138)</f>
        <v>1.4281637108052669E-2</v>
      </c>
      <c r="D138" s="27">
        <f>AVERAGE(E138,F138,G138,H138,I138)</f>
        <v>2.2927930552437643E-2</v>
      </c>
      <c r="E138" s="13">
        <f t="shared" ref="E138:I138" si="79">(E137-F137)/F137</f>
        <v>1.8877397435856525E-2</v>
      </c>
      <c r="F138" s="13">
        <f t="shared" si="79"/>
        <v>1.28409825468649E-2</v>
      </c>
      <c r="G138" s="13">
        <f t="shared" si="79"/>
        <v>1.1126531341436579E-2</v>
      </c>
      <c r="H138" s="13">
        <f t="shared" si="79"/>
        <v>8.2101903019558289E-2</v>
      </c>
      <c r="I138" s="13">
        <f t="shared" si="79"/>
        <v>-1.0307161581528073E-2</v>
      </c>
    </row>
    <row r="139" spans="1:10">
      <c r="E139" s="13"/>
      <c r="F139" s="13"/>
      <c r="G139" s="13"/>
      <c r="H139" s="13"/>
      <c r="I139" s="13"/>
    </row>
    <row r="140" spans="1:10">
      <c r="A140" t="s">
        <v>37</v>
      </c>
    </row>
    <row r="141" spans="1:10">
      <c r="A141" t="s">
        <v>224</v>
      </c>
      <c r="E141" s="2">
        <v>477773</v>
      </c>
      <c r="F141" s="2">
        <v>460013</v>
      </c>
      <c r="G141" s="2">
        <v>457404</v>
      </c>
      <c r="H141" s="2">
        <v>441240</v>
      </c>
      <c r="I141" s="2">
        <v>403311</v>
      </c>
      <c r="J141" s="2">
        <v>391922</v>
      </c>
    </row>
    <row r="142" spans="1:10">
      <c r="A142" t="s">
        <v>225</v>
      </c>
      <c r="E142" s="2">
        <v>126677</v>
      </c>
      <c r="F142" s="2">
        <v>122795</v>
      </c>
      <c r="G142" s="2">
        <v>121178</v>
      </c>
      <c r="H142" s="2">
        <v>117559</v>
      </c>
      <c r="I142" s="2">
        <v>105461</v>
      </c>
      <c r="J142" s="2">
        <v>99632</v>
      </c>
    </row>
    <row r="143" spans="1:10">
      <c r="A143" t="s">
        <v>226</v>
      </c>
      <c r="E143" s="2">
        <v>28021</v>
      </c>
      <c r="F143" s="2">
        <v>27369</v>
      </c>
      <c r="G143" s="2">
        <v>25263</v>
      </c>
      <c r="H143" s="2">
        <v>24822</v>
      </c>
      <c r="I143" s="2">
        <v>21407</v>
      </c>
      <c r="J143" s="2">
        <v>20716</v>
      </c>
    </row>
    <row r="144" spans="1:10">
      <c r="A144" t="s">
        <v>227</v>
      </c>
      <c r="E144" s="2">
        <v>56997</v>
      </c>
      <c r="F144" s="2">
        <v>59474</v>
      </c>
      <c r="G144" s="2">
        <v>57446</v>
      </c>
      <c r="H144" s="2">
        <v>70693</v>
      </c>
      <c r="I144" s="2">
        <v>64769</v>
      </c>
      <c r="J144" s="2">
        <v>63222</v>
      </c>
    </row>
    <row r="145" spans="1:10">
      <c r="A145" t="s">
        <v>261</v>
      </c>
      <c r="E145" s="2">
        <f>SUM(E141:E144)</f>
        <v>689468</v>
      </c>
      <c r="F145" s="2">
        <f t="shared" ref="F145:J145" si="80">SUM(F141:F144)</f>
        <v>669651</v>
      </c>
      <c r="G145" s="2">
        <f t="shared" si="80"/>
        <v>661291</v>
      </c>
      <c r="H145" s="2">
        <f t="shared" si="80"/>
        <v>654314</v>
      </c>
      <c r="I145" s="2">
        <f t="shared" si="80"/>
        <v>594948</v>
      </c>
      <c r="J145" s="2">
        <f t="shared" si="80"/>
        <v>575492</v>
      </c>
    </row>
    <row r="146" spans="1:10">
      <c r="A146" t="s">
        <v>249</v>
      </c>
      <c r="C146" s="27">
        <f>AVERAGE(E146,F146,G146)</f>
        <v>1.7632680407483683E-2</v>
      </c>
      <c r="D146" s="27">
        <f>AVERAGE(E146,F146,G146,H146,I146)</f>
        <v>3.7297829182356947E-2</v>
      </c>
      <c r="E146" s="13">
        <f t="shared" ref="E146" si="81">(E145-F145)/F145</f>
        <v>2.9593026815460589E-2</v>
      </c>
      <c r="F146" s="13">
        <f t="shared" ref="F146" si="82">(F145-G145)/G145</f>
        <v>1.2641938269233969E-2</v>
      </c>
      <c r="G146" s="13">
        <f t="shared" ref="G146" si="83">(G145-H145)/H145</f>
        <v>1.0663076137756491E-2</v>
      </c>
      <c r="H146" s="13">
        <f t="shared" ref="H146" si="84">(H145-I145)/I145</f>
        <v>9.9783510491673222E-2</v>
      </c>
      <c r="I146" s="13">
        <f t="shared" ref="I146" si="85">(I145-J145)/J145</f>
        <v>3.380759419766044E-2</v>
      </c>
    </row>
    <row r="147" spans="1:10">
      <c r="A147" t="s">
        <v>228</v>
      </c>
      <c r="E147" s="2">
        <v>79399</v>
      </c>
      <c r="F147" s="2">
        <v>76472</v>
      </c>
      <c r="G147" s="2">
        <v>73062</v>
      </c>
      <c r="H147" s="2">
        <v>68225</v>
      </c>
      <c r="I147" s="2">
        <v>62780</v>
      </c>
      <c r="J147" s="2">
        <v>62156</v>
      </c>
    </row>
    <row r="148" spans="1:10">
      <c r="A148" t="s">
        <v>249</v>
      </c>
      <c r="C148" s="27">
        <f>AVERAGE(E148,F148,G148)</f>
        <v>5.1948633640205612E-2</v>
      </c>
      <c r="D148" s="27">
        <f>AVERAGE(E148,F148,G148,H148,I148)</f>
        <v>5.05233200241514E-2</v>
      </c>
      <c r="E148" s="13">
        <f t="shared" ref="E148" si="86">(E147-F147)/F147</f>
        <v>3.8275447222512818E-2</v>
      </c>
      <c r="F148" s="13">
        <f t="shared" ref="F148" si="87">(F147-G147)/G147</f>
        <v>4.6672688949111717E-2</v>
      </c>
      <c r="G148" s="13">
        <f t="shared" ref="G148" si="88">(G147-H147)/H147</f>
        <v>7.0897764748992301E-2</v>
      </c>
      <c r="H148" s="13">
        <f t="shared" ref="H148" si="89">(H147-I147)/I147</f>
        <v>8.6731443134756295E-2</v>
      </c>
      <c r="I148" s="13">
        <f t="shared" ref="I148" si="90">(I147-J147)/J147</f>
        <v>1.0039256065383874E-2</v>
      </c>
    </row>
    <row r="149" spans="1:10">
      <c r="A149" t="s">
        <v>230</v>
      </c>
      <c r="E149" s="2">
        <v>10746</v>
      </c>
      <c r="F149" s="2">
        <v>9934</v>
      </c>
      <c r="G149" s="2">
        <v>10174</v>
      </c>
      <c r="H149" s="2">
        <v>10416</v>
      </c>
      <c r="I149" s="2">
        <v>10585</v>
      </c>
      <c r="J149" s="2">
        <v>10973</v>
      </c>
    </row>
    <row r="150" spans="1:10">
      <c r="A150" t="s">
        <v>231</v>
      </c>
      <c r="E150" s="2">
        <f>E145+E147+E149</f>
        <v>779613</v>
      </c>
      <c r="F150" s="2">
        <f t="shared" ref="F150:J150" si="91">F145+F147+F149</f>
        <v>756057</v>
      </c>
      <c r="G150" s="2">
        <f t="shared" si="91"/>
        <v>744527</v>
      </c>
      <c r="H150" s="2">
        <f t="shared" si="91"/>
        <v>732955</v>
      </c>
      <c r="I150" s="2">
        <f t="shared" si="91"/>
        <v>668313</v>
      </c>
      <c r="J150" s="2">
        <f t="shared" si="91"/>
        <v>648621</v>
      </c>
    </row>
    <row r="151" spans="1:10">
      <c r="A151" t="s">
        <v>123</v>
      </c>
      <c r="C151" s="27">
        <f>AVERAGE(E151,F151,G151)</f>
        <v>2.0810289549879374E-2</v>
      </c>
      <c r="D151" s="27">
        <f>AVERAGE(E151,F151,G151,H151,I151)</f>
        <v>3.7902960494556145E-2</v>
      </c>
      <c r="E151" s="13">
        <f t="shared" ref="E151:I151" si="92">(E150-F150)/F150</f>
        <v>3.1156381066506891E-2</v>
      </c>
      <c r="F151" s="13">
        <f t="shared" si="92"/>
        <v>1.5486342335469364E-2</v>
      </c>
      <c r="G151" s="13">
        <f t="shared" si="92"/>
        <v>1.5788145247661863E-2</v>
      </c>
      <c r="H151" s="13">
        <f t="shared" si="92"/>
        <v>9.6724139736919679E-2</v>
      </c>
      <c r="I151" s="13">
        <f t="shared" si="92"/>
        <v>3.0359794086222924E-2</v>
      </c>
    </row>
    <row r="153" spans="1:10">
      <c r="A153" t="s">
        <v>233</v>
      </c>
      <c r="C153" s="27">
        <f>AVERAGE(E153,F153,G153)</f>
        <v>6.5286524418267057E-3</v>
      </c>
      <c r="D153" s="27">
        <f>AVERAGE(E153,F153,G153,H153,I153)</f>
        <v>1.49750299421185E-2</v>
      </c>
      <c r="E153" s="27">
        <f>E151-E138</f>
        <v>1.2278983630650366E-2</v>
      </c>
      <c r="F153" s="27">
        <f t="shared" ref="F153:I153" si="93">F151-F138</f>
        <v>2.6453597886044646E-3</v>
      </c>
      <c r="G153" s="27">
        <f t="shared" si="93"/>
        <v>4.6616139062252843E-3</v>
      </c>
      <c r="H153" s="27">
        <f t="shared" si="93"/>
        <v>1.4622236717361389E-2</v>
      </c>
      <c r="I153" s="27">
        <f t="shared" si="93"/>
        <v>4.0666955667750998E-2</v>
      </c>
      <c r="J153" s="27"/>
    </row>
    <row r="156" spans="1:10">
      <c r="A156" t="s">
        <v>250</v>
      </c>
      <c r="C156" s="27">
        <f>C146</f>
        <v>1.7632680407483683E-2</v>
      </c>
      <c r="D156" s="27">
        <f t="shared" ref="D156:I156" si="94">D146</f>
        <v>3.7297829182356947E-2</v>
      </c>
      <c r="E156" s="27">
        <f t="shared" si="94"/>
        <v>2.9593026815460589E-2</v>
      </c>
      <c r="F156" s="27">
        <f t="shared" si="94"/>
        <v>1.2641938269233969E-2</v>
      </c>
      <c r="G156" s="27">
        <f t="shared" si="94"/>
        <v>1.0663076137756491E-2</v>
      </c>
      <c r="H156" s="27">
        <f t="shared" si="94"/>
        <v>9.9783510491673222E-2</v>
      </c>
      <c r="I156" s="27">
        <f t="shared" si="94"/>
        <v>3.380759419766044E-2</v>
      </c>
    </row>
    <row r="157" spans="1:10">
      <c r="A157" t="s">
        <v>251</v>
      </c>
      <c r="C157" s="27">
        <f>C134</f>
        <v>1.0975695209129298E-2</v>
      </c>
      <c r="D157" s="27">
        <f t="shared" ref="D157:I157" si="95">D134</f>
        <v>2.019790137038182E-2</v>
      </c>
      <c r="E157" s="27">
        <f t="shared" si="95"/>
        <v>1.4653098629195463E-2</v>
      </c>
      <c r="F157" s="27">
        <f t="shared" si="95"/>
        <v>1.0311092893869162E-2</v>
      </c>
      <c r="G157" s="27">
        <f t="shared" si="95"/>
        <v>7.9628941043232686E-3</v>
      </c>
      <c r="H157" s="27">
        <f t="shared" si="95"/>
        <v>7.805511961622201E-2</v>
      </c>
      <c r="I157" s="27">
        <f t="shared" si="95"/>
        <v>-9.9926983917008085E-3</v>
      </c>
    </row>
    <row r="158" spans="1:10">
      <c r="A158" t="s">
        <v>252</v>
      </c>
      <c r="C158" s="27">
        <f>C156-C157</f>
        <v>6.6569851983543857E-3</v>
      </c>
      <c r="D158" s="27">
        <f t="shared" ref="D158:I158" si="96">D156-D157</f>
        <v>1.7099927811975127E-2</v>
      </c>
      <c r="E158" s="27">
        <f t="shared" si="96"/>
        <v>1.4939928186265126E-2</v>
      </c>
      <c r="F158" s="27">
        <f t="shared" si="96"/>
        <v>2.3308453753648067E-3</v>
      </c>
      <c r="G158" s="27">
        <f t="shared" si="96"/>
        <v>2.7001820334332221E-3</v>
      </c>
      <c r="H158" s="27">
        <f t="shared" si="96"/>
        <v>2.1728390875451212E-2</v>
      </c>
      <c r="I158" s="27">
        <f t="shared" si="96"/>
        <v>4.3800292589361245E-2</v>
      </c>
    </row>
    <row r="160" spans="1:10">
      <c r="A160" t="s">
        <v>253</v>
      </c>
      <c r="C160" s="27">
        <f>C148</f>
        <v>5.1948633640205612E-2</v>
      </c>
      <c r="D160" s="27">
        <f t="shared" ref="D160:I160" si="97">D148</f>
        <v>5.05233200241514E-2</v>
      </c>
      <c r="E160" s="27">
        <f t="shared" si="97"/>
        <v>3.8275447222512818E-2</v>
      </c>
      <c r="F160" s="27">
        <f t="shared" si="97"/>
        <v>4.6672688949111717E-2</v>
      </c>
      <c r="G160" s="27">
        <f t="shared" si="97"/>
        <v>7.0897764748992301E-2</v>
      </c>
      <c r="H160" s="27">
        <f t="shared" si="97"/>
        <v>8.6731443134756295E-2</v>
      </c>
      <c r="I160" s="27">
        <f t="shared" si="97"/>
        <v>1.0039256065383874E-2</v>
      </c>
    </row>
    <row r="161" spans="1:9">
      <c r="A161" t="s">
        <v>254</v>
      </c>
      <c r="C161" s="27">
        <f>C136</f>
        <v>4.2060458126640422E-2</v>
      </c>
      <c r="D161" s="27">
        <f t="shared" ref="D161:I161" si="98">D136</f>
        <v>4.6302501550860874E-2</v>
      </c>
      <c r="E161" s="27">
        <f t="shared" si="98"/>
        <v>5.3560756728159811E-2</v>
      </c>
      <c r="F161" s="27">
        <f t="shared" si="98"/>
        <v>3.4101615926244874E-2</v>
      </c>
      <c r="G161" s="27">
        <f t="shared" si="98"/>
        <v>3.8519001725516602E-2</v>
      </c>
      <c r="H161" s="27">
        <f t="shared" si="98"/>
        <v>0.11845418814281343</v>
      </c>
      <c r="I161" s="27">
        <f t="shared" si="98"/>
        <v>-1.3123054768430344E-2</v>
      </c>
    </row>
    <row r="162" spans="1:9">
      <c r="A162" t="s">
        <v>255</v>
      </c>
      <c r="C162" s="27">
        <f>C160-C161</f>
        <v>9.8881755135651894E-3</v>
      </c>
      <c r="D162" s="27">
        <f t="shared" ref="D162:I162" si="99">D160-D161</f>
        <v>4.220818473290526E-3</v>
      </c>
      <c r="E162" s="27">
        <f t="shared" si="99"/>
        <v>-1.5285309505646993E-2</v>
      </c>
      <c r="F162" s="27">
        <f t="shared" si="99"/>
        <v>1.2571073022866842E-2</v>
      </c>
      <c r="G162" s="27">
        <f t="shared" si="99"/>
        <v>3.2378763023475698E-2</v>
      </c>
      <c r="H162" s="27">
        <f t="shared" si="99"/>
        <v>-3.1722745008057135E-2</v>
      </c>
      <c r="I162" s="27">
        <f t="shared" si="99"/>
        <v>2.3162310833814218E-2</v>
      </c>
    </row>
  </sheetData>
  <mergeCells count="1">
    <mergeCell ref="C4:D4"/>
  </mergeCells>
  <printOptions horizontalCentered="1"/>
  <pageMargins left="0.7" right="0.7" top="1.25" bottom="1.25" header="0.8" footer="0.55000000000000004"/>
  <pageSetup scale="47" fitToHeight="4" orientation="portrait" r:id="rId1"/>
  <headerFooter>
    <oddHeader>&amp;Z&amp;F</oddHeader>
    <oddFooter>&amp;A</oddFooter>
  </headerFooter>
  <rowBreaks count="2" manualBreakCount="2">
    <brk id="45" max="16383" man="1"/>
    <brk id="1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2"/>
  <sheetViews>
    <sheetView tabSelected="1" view="pageBreakPreview" zoomScale="60" zoomScaleNormal="100" workbookViewId="0">
      <pane ySplit="1125" activePane="bottomLeft"/>
      <selection activeCell="H40" sqref="H40"/>
      <selection pane="bottomLeft" activeCell="D29" sqref="D29"/>
    </sheetView>
  </sheetViews>
  <sheetFormatPr defaultRowHeight="15"/>
  <cols>
    <col min="1" max="1" width="9.140625" customWidth="1"/>
    <col min="2" max="2" width="44.5703125" customWidth="1"/>
    <col min="3" max="3" width="21.42578125" customWidth="1"/>
    <col min="4" max="4" width="21.85546875" customWidth="1"/>
    <col min="5" max="5" width="15.85546875" bestFit="1" customWidth="1"/>
    <col min="6" max="6" width="15.85546875" customWidth="1"/>
    <col min="7" max="9" width="16.5703125" bestFit="1" customWidth="1"/>
    <col min="10" max="10" width="15.85546875" bestFit="1" customWidth="1"/>
  </cols>
  <sheetData>
    <row r="1" spans="1:11">
      <c r="A1" t="s">
        <v>119</v>
      </c>
    </row>
    <row r="3" spans="1:11">
      <c r="A3" t="s">
        <v>45</v>
      </c>
    </row>
    <row r="4" spans="1:11">
      <c r="C4" s="33" t="s">
        <v>234</v>
      </c>
      <c r="D4" s="33"/>
    </row>
    <row r="5" spans="1:11">
      <c r="C5" s="9" t="s">
        <v>236</v>
      </c>
      <c r="D5" s="9" t="s">
        <v>235</v>
      </c>
      <c r="E5" s="9">
        <v>2015</v>
      </c>
      <c r="F5" s="9">
        <v>2014</v>
      </c>
      <c r="G5" s="9">
        <v>2013</v>
      </c>
      <c r="H5" s="9">
        <v>2012</v>
      </c>
      <c r="I5" s="9">
        <v>2011</v>
      </c>
      <c r="J5" s="9">
        <v>2010</v>
      </c>
    </row>
    <row r="6" spans="1:11">
      <c r="A6" s="7" t="s">
        <v>59</v>
      </c>
    </row>
    <row r="7" spans="1:11">
      <c r="A7" t="s">
        <v>37</v>
      </c>
      <c r="E7" s="2">
        <v>3159000</v>
      </c>
      <c r="F7" s="2">
        <v>3011000</v>
      </c>
      <c r="G7" s="2">
        <v>2879000</v>
      </c>
      <c r="H7" s="2">
        <v>2876889</v>
      </c>
      <c r="I7" s="2">
        <v>2666236</v>
      </c>
      <c r="J7" s="2">
        <v>2555035</v>
      </c>
      <c r="K7" s="2"/>
    </row>
    <row r="8" spans="1:11">
      <c r="B8" t="s">
        <v>123</v>
      </c>
      <c r="C8" s="27">
        <f>AVERAGE(E8,F8,G8)</f>
        <v>3.1912045746195043E-2</v>
      </c>
      <c r="D8" s="27">
        <f>AVERAGE(E8,F8,G8,H8,I8)</f>
        <v>4.3653214411500663E-2</v>
      </c>
      <c r="E8" s="13">
        <f t="shared" ref="E8:H8" si="0">(E7-F7)/F7</f>
        <v>4.9153105280637661E-2</v>
      </c>
      <c r="F8" s="13">
        <f t="shared" si="0"/>
        <v>4.5849253212921152E-2</v>
      </c>
      <c r="G8" s="13">
        <f t="shared" si="0"/>
        <v>7.337787450263114E-4</v>
      </c>
      <c r="H8" s="13">
        <f t="shared" si="0"/>
        <v>7.9007634733009383E-2</v>
      </c>
      <c r="I8" s="13">
        <f>(I7-J7)/J7</f>
        <v>4.3522300085908801E-2</v>
      </c>
      <c r="J8" s="2"/>
      <c r="K8" s="2"/>
    </row>
    <row r="9" spans="1:11">
      <c r="A9" t="s">
        <v>38</v>
      </c>
      <c r="E9" s="2"/>
      <c r="F9" s="2"/>
      <c r="G9" s="2"/>
      <c r="H9" s="2"/>
      <c r="I9" s="2"/>
      <c r="J9" s="2"/>
      <c r="K9" s="2"/>
    </row>
    <row r="10" spans="1:11">
      <c r="A10" s="5" t="s">
        <v>39</v>
      </c>
      <c r="E10" s="2">
        <v>1404000</v>
      </c>
      <c r="F10" s="2">
        <v>1350000</v>
      </c>
      <c r="G10" s="2">
        <v>1289000</v>
      </c>
      <c r="H10" s="2">
        <v>1350040</v>
      </c>
      <c r="I10" s="2">
        <v>1301794</v>
      </c>
      <c r="J10" s="2">
        <v>1290941</v>
      </c>
      <c r="K10" s="2"/>
    </row>
    <row r="11" spans="1:11">
      <c r="A11" s="5"/>
      <c r="C11" s="27">
        <f>AVERAGE(E11,F11,G11)</f>
        <v>0.44684179227429177</v>
      </c>
      <c r="D11" s="27">
        <f>AVERAGE(E11,F11,G11,H11,I11,J11)</f>
        <v>0.46721692044187585</v>
      </c>
      <c r="E11" s="13">
        <f t="shared" ref="E11:I11" si="1">E10/E7</f>
        <v>0.44444444444444442</v>
      </c>
      <c r="F11" s="13">
        <f t="shared" si="1"/>
        <v>0.4483560278977084</v>
      </c>
      <c r="G11" s="13">
        <f t="shared" si="1"/>
        <v>0.4477249044807225</v>
      </c>
      <c r="H11" s="13">
        <f t="shared" si="1"/>
        <v>0.46927079911668473</v>
      </c>
      <c r="I11" s="13">
        <f t="shared" si="1"/>
        <v>0.48825160263382539</v>
      </c>
      <c r="J11" s="13">
        <f>J10/J7</f>
        <v>0.50525374407786983</v>
      </c>
      <c r="K11" s="2"/>
    </row>
    <row r="12" spans="1:11">
      <c r="A12" s="5" t="s">
        <v>40</v>
      </c>
      <c r="E12" s="2">
        <v>440000</v>
      </c>
      <c r="F12" s="2">
        <v>424000</v>
      </c>
      <c r="G12" s="2">
        <v>407000</v>
      </c>
      <c r="H12" s="2">
        <v>381503</v>
      </c>
      <c r="I12" s="2">
        <v>351821</v>
      </c>
      <c r="J12" s="2">
        <v>330264</v>
      </c>
      <c r="K12" s="2"/>
    </row>
    <row r="13" spans="1:11">
      <c r="A13" s="5"/>
      <c r="B13" t="s">
        <v>143</v>
      </c>
      <c r="C13" s="27">
        <f>AVERAGE(E13,F13,G13)</f>
        <v>2.4333773468629388E-2</v>
      </c>
      <c r="D13" s="27">
        <f>AVERAGE(E13,F13,G13,H13,I13,J13)</f>
        <v>2.4306646731261716E-2</v>
      </c>
      <c r="E13" s="13">
        <f t="shared" ref="E13:I13" si="2">E12/E49</f>
        <v>2.3778642455685256E-2</v>
      </c>
      <c r="F13" s="13">
        <f t="shared" si="2"/>
        <v>2.4552666628061846E-2</v>
      </c>
      <c r="G13" s="13">
        <f t="shared" si="2"/>
        <v>2.4670011322141069E-2</v>
      </c>
      <c r="H13" s="13">
        <f t="shared" si="2"/>
        <v>2.4461511156797885E-2</v>
      </c>
      <c r="I13" s="13">
        <f t="shared" si="2"/>
        <v>2.4187584905867924E-2</v>
      </c>
      <c r="J13" s="13">
        <f>J12/J49</f>
        <v>2.4189463919016302E-2</v>
      </c>
      <c r="K13" s="2"/>
    </row>
    <row r="14" spans="1:11">
      <c r="A14" s="5" t="s">
        <v>41</v>
      </c>
      <c r="E14" s="2"/>
      <c r="F14" s="2"/>
      <c r="G14" s="2"/>
      <c r="H14" s="2"/>
      <c r="I14" s="2"/>
      <c r="J14" s="2"/>
      <c r="K14" s="2"/>
    </row>
    <row r="15" spans="1:11">
      <c r="A15" s="5" t="s">
        <v>42</v>
      </c>
      <c r="E15" s="2">
        <v>243000</v>
      </c>
      <c r="F15" s="2">
        <v>236000</v>
      </c>
      <c r="G15" s="2">
        <v>234000</v>
      </c>
      <c r="H15" s="2">
        <v>221212</v>
      </c>
      <c r="I15" s="2">
        <v>210478</v>
      </c>
      <c r="J15" s="2">
        <v>205597</v>
      </c>
      <c r="K15" s="2"/>
    </row>
    <row r="16" spans="1:11">
      <c r="A16" s="5"/>
      <c r="B16" t="s">
        <v>140</v>
      </c>
      <c r="C16" s="27">
        <f t="shared" ref="C16:C17" si="3">AVERAGE(E16,F16,G16)</f>
        <v>7.8860191505281549E-2</v>
      </c>
      <c r="D16" s="27">
        <f t="shared" ref="D16:D17" si="4">AVERAGE(E16,F16,G16,H16,I16,J16)</f>
        <v>7.8813791158826377E-2</v>
      </c>
      <c r="E16" s="13">
        <f t="shared" ref="E16:I16" si="5">E15/E7</f>
        <v>7.6923076923076927E-2</v>
      </c>
      <c r="F16" s="13">
        <f t="shared" si="5"/>
        <v>7.8379275988043839E-2</v>
      </c>
      <c r="G16" s="13">
        <f t="shared" si="5"/>
        <v>8.1278221604723866E-2</v>
      </c>
      <c r="H16" s="13">
        <f t="shared" si="5"/>
        <v>7.6892782446594227E-2</v>
      </c>
      <c r="I16" s="13">
        <f t="shared" si="5"/>
        <v>7.8941999132859958E-2</v>
      </c>
      <c r="J16" s="13">
        <f>J15/J7</f>
        <v>8.0467390857659485E-2</v>
      </c>
      <c r="K16" s="2"/>
    </row>
    <row r="17" spans="1:11">
      <c r="A17" s="5"/>
      <c r="B17" t="s">
        <v>142</v>
      </c>
      <c r="C17" s="27">
        <f t="shared" si="3"/>
        <v>1.8147585257476621E-2</v>
      </c>
      <c r="D17" s="27">
        <f t="shared" si="4"/>
        <v>1.8698000672762598E-2</v>
      </c>
      <c r="E17" s="13">
        <f t="shared" ref="E17:I17" si="6">E15/E59</f>
        <v>1.7440608627000646E-2</v>
      </c>
      <c r="F17" s="13">
        <f t="shared" si="6"/>
        <v>1.8113439250901836E-2</v>
      </c>
      <c r="G17" s="13">
        <f t="shared" si="6"/>
        <v>1.8888707894527391E-2</v>
      </c>
      <c r="H17" s="13">
        <f t="shared" si="6"/>
        <v>1.8843610267132018E-2</v>
      </c>
      <c r="I17" s="13">
        <f t="shared" si="6"/>
        <v>1.9097734182202172E-2</v>
      </c>
      <c r="J17" s="13">
        <f>J15/J59</f>
        <v>1.9803903814811532E-2</v>
      </c>
      <c r="K17" s="2"/>
    </row>
    <row r="18" spans="1:11">
      <c r="A18" s="5" t="s">
        <v>122</v>
      </c>
      <c r="E18" s="2">
        <v>-3000</v>
      </c>
      <c r="F18" s="2">
        <v>-2000</v>
      </c>
      <c r="G18" s="2">
        <v>1000</v>
      </c>
      <c r="H18" s="2">
        <v>-839</v>
      </c>
      <c r="I18" s="2">
        <v>-993</v>
      </c>
      <c r="J18" s="2">
        <v>111</v>
      </c>
      <c r="K18" s="2"/>
    </row>
    <row r="19" spans="1:11">
      <c r="A19" t="s">
        <v>43</v>
      </c>
      <c r="E19" s="10">
        <f>E10+E12+E14+E15+E18</f>
        <v>2084000</v>
      </c>
      <c r="F19" s="10">
        <f t="shared" ref="F19:J19" si="7">F10+F12+F14+F15+F18</f>
        <v>2008000</v>
      </c>
      <c r="G19" s="10">
        <f t="shared" si="7"/>
        <v>1931000</v>
      </c>
      <c r="H19" s="10">
        <f t="shared" si="7"/>
        <v>1951916</v>
      </c>
      <c r="I19" s="10">
        <f t="shared" si="7"/>
        <v>1863100</v>
      </c>
      <c r="J19" s="10">
        <f t="shared" si="7"/>
        <v>1826913</v>
      </c>
      <c r="K19" s="2"/>
    </row>
    <row r="20" spans="1:11">
      <c r="E20" s="11"/>
      <c r="F20" s="11"/>
      <c r="G20" s="11"/>
      <c r="H20" s="11"/>
      <c r="I20" s="11"/>
      <c r="J20" s="11"/>
      <c r="K20" s="2"/>
    </row>
    <row r="21" spans="1:11">
      <c r="A21" s="6" t="s">
        <v>46</v>
      </c>
      <c r="E21" s="10">
        <f>E7-E19</f>
        <v>1075000</v>
      </c>
      <c r="F21" s="10">
        <f t="shared" ref="F21:J21" si="8">F7-F19</f>
        <v>1003000</v>
      </c>
      <c r="G21" s="10">
        <f t="shared" si="8"/>
        <v>948000</v>
      </c>
      <c r="H21" s="10">
        <f t="shared" si="8"/>
        <v>924973</v>
      </c>
      <c r="I21" s="10">
        <f t="shared" si="8"/>
        <v>803136</v>
      </c>
      <c r="J21" s="10">
        <f t="shared" si="8"/>
        <v>728122</v>
      </c>
      <c r="K21" s="2"/>
    </row>
    <row r="22" spans="1:11">
      <c r="E22" s="2"/>
      <c r="F22" s="2"/>
      <c r="G22" s="2"/>
      <c r="H22" s="2"/>
      <c r="I22" s="2"/>
      <c r="J22" s="2"/>
      <c r="K22" s="2"/>
    </row>
    <row r="23" spans="1:11">
      <c r="A23" t="s">
        <v>47</v>
      </c>
      <c r="E23" s="2"/>
      <c r="F23" s="2"/>
      <c r="G23" s="2"/>
      <c r="H23" s="2"/>
      <c r="I23" s="2"/>
      <c r="J23" s="2"/>
      <c r="K23" s="2"/>
    </row>
    <row r="24" spans="1:11">
      <c r="A24" s="5" t="s">
        <v>48</v>
      </c>
      <c r="E24" s="2">
        <v>308000</v>
      </c>
      <c r="F24" s="2">
        <v>299000</v>
      </c>
      <c r="G24" s="2">
        <v>308000</v>
      </c>
      <c r="H24" s="2">
        <f>310794+5358</f>
        <v>316152</v>
      </c>
      <c r="I24" s="2">
        <f>312415+5055</f>
        <v>317470</v>
      </c>
      <c r="J24" s="2">
        <f>313765+4516</f>
        <v>318281</v>
      </c>
      <c r="K24" s="2"/>
    </row>
    <row r="25" spans="1:11">
      <c r="A25" s="5"/>
      <c r="C25" s="27">
        <f>AVERAGE(E25,F25,G25)</f>
        <v>5.5487300968816662E-2</v>
      </c>
      <c r="D25" s="27">
        <f>AVERAGE(E25,F25,G25,H25,I25,J25)</f>
        <v>5.7638074848538362E-2</v>
      </c>
      <c r="E25" s="13">
        <f t="shared" ref="E25:I25" si="9">E24/E96</f>
        <v>5.2434456928838954E-2</v>
      </c>
      <c r="F25" s="13">
        <f t="shared" si="9"/>
        <v>5.4943035648658579E-2</v>
      </c>
      <c r="G25" s="13">
        <f t="shared" si="9"/>
        <v>5.9084410328952452E-2</v>
      </c>
      <c r="H25" s="13">
        <f t="shared" si="9"/>
        <v>6.0909633332684711E-2</v>
      </c>
      <c r="I25" s="13">
        <f t="shared" si="9"/>
        <v>5.9451900927106581E-2</v>
      </c>
      <c r="J25" s="13">
        <f>J24/J96</f>
        <v>5.9005011924988901E-2</v>
      </c>
      <c r="K25" s="2"/>
    </row>
    <row r="26" spans="1:11">
      <c r="A26" s="5" t="s">
        <v>49</v>
      </c>
      <c r="E26" s="2"/>
      <c r="F26" s="2"/>
      <c r="G26" s="2"/>
      <c r="H26" s="2">
        <f>-15592-7771</f>
        <v>-23363</v>
      </c>
      <c r="I26" s="2">
        <f>-13131-5923</f>
        <v>-19054</v>
      </c>
      <c r="J26" s="2">
        <f>-9644-5225</f>
        <v>-14869</v>
      </c>
      <c r="K26" s="2"/>
    </row>
    <row r="27" spans="1:11">
      <c r="A27" s="5" t="s">
        <v>50</v>
      </c>
      <c r="E27" s="2"/>
      <c r="F27" s="2"/>
      <c r="G27" s="2"/>
      <c r="H27" s="2">
        <v>926</v>
      </c>
      <c r="I27" s="2">
        <v>1040</v>
      </c>
      <c r="J27" s="2">
        <v>-4714</v>
      </c>
      <c r="K27" s="2"/>
    </row>
    <row r="28" spans="1:11">
      <c r="A28" s="5" t="s">
        <v>51</v>
      </c>
      <c r="E28" s="2">
        <v>0</v>
      </c>
      <c r="F28" s="2">
        <v>0</v>
      </c>
      <c r="G28" s="2">
        <v>41000</v>
      </c>
      <c r="K28" s="2"/>
    </row>
    <row r="29" spans="1:11">
      <c r="A29" s="5" t="s">
        <v>52</v>
      </c>
      <c r="E29" s="2">
        <v>-15000</v>
      </c>
      <c r="F29" s="2">
        <v>-6000</v>
      </c>
      <c r="G29" s="2">
        <v>-9000</v>
      </c>
      <c r="H29" s="2"/>
      <c r="I29" s="2"/>
      <c r="J29" s="2"/>
      <c r="K29" s="2"/>
    </row>
    <row r="30" spans="1:11">
      <c r="A30" t="s">
        <v>53</v>
      </c>
      <c r="E30" s="10">
        <f>E21-(E24+E26+E27+E28+E29)</f>
        <v>782000</v>
      </c>
      <c r="F30" s="10">
        <f t="shared" ref="F30:J30" si="10">F21-(F24+F26+F27+F28+F29)</f>
        <v>710000</v>
      </c>
      <c r="G30" s="10">
        <f t="shared" si="10"/>
        <v>608000</v>
      </c>
      <c r="H30" s="10">
        <f t="shared" si="10"/>
        <v>631258</v>
      </c>
      <c r="I30" s="10">
        <f t="shared" si="10"/>
        <v>503680</v>
      </c>
      <c r="J30" s="10">
        <f t="shared" si="10"/>
        <v>429424</v>
      </c>
      <c r="K30" s="2"/>
    </row>
    <row r="31" spans="1:11">
      <c r="A31" t="s">
        <v>54</v>
      </c>
      <c r="E31" s="2">
        <v>306000</v>
      </c>
      <c r="F31" s="2">
        <v>280000</v>
      </c>
      <c r="G31" s="2">
        <v>237000</v>
      </c>
      <c r="H31" s="2">
        <v>257008</v>
      </c>
      <c r="I31" s="2">
        <v>198751</v>
      </c>
      <c r="J31" s="2">
        <v>174352</v>
      </c>
      <c r="K31" s="2"/>
    </row>
    <row r="32" spans="1:11">
      <c r="B32" t="s">
        <v>148</v>
      </c>
      <c r="C32" s="27">
        <f>AVERAGE(E32,F32,G32)</f>
        <v>0.39182439219604426</v>
      </c>
      <c r="D32" s="27">
        <f>AVERAGE(E32,F32,G32,H32,I32,J32)</f>
        <v>0.39720346672251233</v>
      </c>
      <c r="E32" s="13">
        <f>E31/E30</f>
        <v>0.39130434782608697</v>
      </c>
      <c r="F32" s="13">
        <f t="shared" ref="F32:J32" si="11">F31/F30</f>
        <v>0.39436619718309857</v>
      </c>
      <c r="G32" s="13">
        <f t="shared" si="11"/>
        <v>0.38980263157894735</v>
      </c>
      <c r="H32" s="13">
        <f t="shared" si="11"/>
        <v>0.4071362263923784</v>
      </c>
      <c r="I32" s="13">
        <f t="shared" si="11"/>
        <v>0.39459776048284623</v>
      </c>
      <c r="J32" s="13">
        <f t="shared" si="11"/>
        <v>0.40601363687171654</v>
      </c>
      <c r="K32" s="2"/>
    </row>
    <row r="33" spans="1:11">
      <c r="A33" t="s">
        <v>55</v>
      </c>
      <c r="E33" s="10">
        <f>E30-E31</f>
        <v>476000</v>
      </c>
      <c r="F33" s="10">
        <f t="shared" ref="F33:J33" si="12">F30-F31</f>
        <v>430000</v>
      </c>
      <c r="G33" s="10">
        <f t="shared" si="12"/>
        <v>371000</v>
      </c>
      <c r="H33" s="10">
        <f t="shared" si="12"/>
        <v>374250</v>
      </c>
      <c r="I33" s="10">
        <f t="shared" si="12"/>
        <v>304929</v>
      </c>
      <c r="J33" s="10">
        <f t="shared" si="12"/>
        <v>255072</v>
      </c>
      <c r="K33" s="2"/>
    </row>
    <row r="34" spans="1:11">
      <c r="E34" s="2"/>
      <c r="F34" s="2"/>
      <c r="G34" s="2"/>
      <c r="H34" s="2"/>
      <c r="I34" s="2"/>
      <c r="J34" s="2"/>
      <c r="K34" s="2"/>
    </row>
    <row r="35" spans="1:11">
      <c r="A35" t="s">
        <v>56</v>
      </c>
      <c r="E35" s="2"/>
      <c r="F35" s="2"/>
      <c r="G35" s="2"/>
      <c r="H35" s="2"/>
      <c r="I35" s="2"/>
      <c r="J35" s="2"/>
      <c r="K35" s="2"/>
    </row>
    <row r="36" spans="1:11">
      <c r="A36" s="5" t="s">
        <v>57</v>
      </c>
      <c r="E36" s="2">
        <v>0</v>
      </c>
      <c r="F36" s="2">
        <v>-7000</v>
      </c>
      <c r="G36" s="2">
        <v>-2000</v>
      </c>
      <c r="H36" s="2">
        <v>-16180</v>
      </c>
      <c r="I36" s="2">
        <v>4684</v>
      </c>
      <c r="J36" s="2">
        <v>12755</v>
      </c>
      <c r="K36" s="2"/>
    </row>
    <row r="37" spans="1:11">
      <c r="A37" s="5" t="s">
        <v>54</v>
      </c>
      <c r="E37" s="2"/>
      <c r="F37" s="2"/>
      <c r="G37" s="2"/>
      <c r="H37" s="2"/>
      <c r="I37" s="2"/>
      <c r="J37" s="2"/>
      <c r="K37" s="2"/>
    </row>
    <row r="38" spans="1:11">
      <c r="A38" t="s">
        <v>57</v>
      </c>
      <c r="E38" s="10">
        <f t="shared" ref="E38" si="13">E36-E37</f>
        <v>0</v>
      </c>
      <c r="F38" s="10">
        <f>F36-F37</f>
        <v>-7000</v>
      </c>
      <c r="G38" s="10">
        <f t="shared" ref="G38:J38" si="14">G36-G37</f>
        <v>-2000</v>
      </c>
      <c r="H38" s="10">
        <f t="shared" si="14"/>
        <v>-16180</v>
      </c>
      <c r="I38" s="10">
        <f t="shared" si="14"/>
        <v>4684</v>
      </c>
      <c r="J38" s="10">
        <f t="shared" si="14"/>
        <v>12755</v>
      </c>
      <c r="K38" s="2"/>
    </row>
    <row r="39" spans="1:11">
      <c r="A39" t="s">
        <v>58</v>
      </c>
      <c r="E39" s="10">
        <f>E33+E38</f>
        <v>476000</v>
      </c>
      <c r="F39" s="10">
        <f t="shared" ref="F39:J39" si="15">F33+F38</f>
        <v>423000</v>
      </c>
      <c r="G39" s="10">
        <f t="shared" si="15"/>
        <v>369000</v>
      </c>
      <c r="H39" s="10">
        <f t="shared" si="15"/>
        <v>358070</v>
      </c>
      <c r="I39" s="10">
        <f t="shared" si="15"/>
        <v>309613</v>
      </c>
      <c r="J39" s="10">
        <f t="shared" si="15"/>
        <v>267827</v>
      </c>
      <c r="K39" s="2"/>
    </row>
    <row r="40" spans="1:11">
      <c r="A40" t="s">
        <v>114</v>
      </c>
      <c r="E40" s="3">
        <v>-6000</v>
      </c>
      <c r="F40" s="3">
        <v>-47000</v>
      </c>
      <c r="G40" s="3">
        <v>81000</v>
      </c>
      <c r="H40" s="10">
        <v>-18514</v>
      </c>
      <c r="I40" s="10">
        <v>-26231</v>
      </c>
      <c r="J40" s="10">
        <v>-6769</v>
      </c>
      <c r="K40" s="2"/>
    </row>
    <row r="41" spans="1:11">
      <c r="A41" t="s">
        <v>115</v>
      </c>
      <c r="E41" s="3"/>
      <c r="F41" s="3"/>
      <c r="G41" s="3"/>
      <c r="H41" s="3"/>
      <c r="I41" s="3"/>
      <c r="J41" s="3"/>
      <c r="K41" s="2"/>
    </row>
    <row r="42" spans="1:11">
      <c r="A42" t="s">
        <v>116</v>
      </c>
      <c r="E42" s="3"/>
      <c r="F42" s="3"/>
      <c r="G42" s="3"/>
      <c r="H42" s="3"/>
      <c r="I42" s="3"/>
      <c r="J42" s="3"/>
      <c r="K42" s="2"/>
    </row>
    <row r="43" spans="1:11">
      <c r="A43" t="s">
        <v>117</v>
      </c>
      <c r="E43" s="10">
        <f>E39+E41+E42+E40</f>
        <v>470000</v>
      </c>
      <c r="F43" s="10">
        <f t="shared" ref="F43:G43" si="16">F39+F41+F42+F40</f>
        <v>376000</v>
      </c>
      <c r="G43" s="10">
        <f t="shared" si="16"/>
        <v>450000</v>
      </c>
      <c r="H43" s="10">
        <f>H39+H41+H42+H40</f>
        <v>339556</v>
      </c>
      <c r="I43" s="10">
        <f t="shared" ref="I43:J43" si="17">I39+I41+I42+I40</f>
        <v>283382</v>
      </c>
      <c r="J43" s="10">
        <f t="shared" si="17"/>
        <v>261058</v>
      </c>
      <c r="K43" s="2"/>
    </row>
    <row r="44" spans="1:11">
      <c r="A44" t="s">
        <v>118</v>
      </c>
      <c r="E44" s="2">
        <v>470000</v>
      </c>
      <c r="F44" s="2">
        <v>376000</v>
      </c>
      <c r="G44" s="2">
        <v>450000</v>
      </c>
      <c r="H44" s="2">
        <v>339556</v>
      </c>
      <c r="I44" s="2">
        <v>283382</v>
      </c>
      <c r="J44" s="2">
        <v>261058</v>
      </c>
      <c r="K44" s="2"/>
    </row>
    <row r="45" spans="1:11">
      <c r="A45" t="s">
        <v>112</v>
      </c>
      <c r="E45" s="10">
        <f t="shared" ref="E45:G45" si="18">E43-E44</f>
        <v>0</v>
      </c>
      <c r="F45" s="10">
        <f t="shared" si="18"/>
        <v>0</v>
      </c>
      <c r="G45" s="10">
        <f t="shared" si="18"/>
        <v>0</v>
      </c>
      <c r="H45" s="10">
        <f>H43-H44</f>
        <v>0</v>
      </c>
      <c r="I45" s="10">
        <f t="shared" ref="I45:J45" si="19">I43-I44</f>
        <v>0</v>
      </c>
      <c r="J45" s="10">
        <f t="shared" si="19"/>
        <v>0</v>
      </c>
      <c r="K45" s="2"/>
    </row>
    <row r="46" spans="1:11">
      <c r="E46" s="2"/>
      <c r="F46" s="2"/>
      <c r="G46" s="2"/>
      <c r="H46" s="2"/>
      <c r="I46" s="2"/>
      <c r="J46" s="2"/>
      <c r="K46" s="2"/>
    </row>
    <row r="47" spans="1:11">
      <c r="A47" s="7" t="s">
        <v>60</v>
      </c>
      <c r="E47" s="2"/>
      <c r="F47" s="2"/>
      <c r="G47" s="2"/>
      <c r="H47" s="2"/>
      <c r="I47" s="2"/>
      <c r="J47" s="2"/>
      <c r="K47" s="2"/>
    </row>
    <row r="48" spans="1:11">
      <c r="A48" s="7" t="s">
        <v>61</v>
      </c>
      <c r="E48" s="2"/>
      <c r="F48" s="2"/>
      <c r="G48" s="2"/>
      <c r="H48" s="2"/>
      <c r="I48" s="2"/>
      <c r="J48" s="2"/>
      <c r="K48" s="2"/>
    </row>
    <row r="49" spans="1:11">
      <c r="A49" t="s">
        <v>62</v>
      </c>
      <c r="E49" s="2">
        <v>18504000</v>
      </c>
      <c r="F49" s="2">
        <v>17269000</v>
      </c>
      <c r="G49" s="10">
        <f>G59+G55</f>
        <v>16497763</v>
      </c>
      <c r="H49" s="10">
        <f>H59+H55</f>
        <v>15596052</v>
      </c>
      <c r="I49" s="10">
        <f>I59+I55</f>
        <v>14545520</v>
      </c>
      <c r="J49" s="10">
        <f>J59+J55</f>
        <v>13653217</v>
      </c>
      <c r="K49" s="2"/>
    </row>
    <row r="50" spans="1:11">
      <c r="B50" t="s">
        <v>130</v>
      </c>
      <c r="E50" s="10">
        <f t="shared" ref="E50:H50" si="20">E49-F49</f>
        <v>1235000</v>
      </c>
      <c r="F50" s="10">
        <f t="shared" si="20"/>
        <v>771237</v>
      </c>
      <c r="G50" s="10">
        <f t="shared" si="20"/>
        <v>901711</v>
      </c>
      <c r="H50" s="10">
        <f t="shared" si="20"/>
        <v>1050532</v>
      </c>
      <c r="I50" s="10">
        <f>I49-J49</f>
        <v>892303</v>
      </c>
      <c r="J50" s="10"/>
      <c r="K50" s="2"/>
    </row>
    <row r="51" spans="1:11">
      <c r="B51" t="s">
        <v>131</v>
      </c>
      <c r="E51" s="2">
        <f>E58</f>
        <v>-109000</v>
      </c>
      <c r="F51" s="2">
        <f t="shared" ref="F51:I51" si="21">F58</f>
        <v>-293409</v>
      </c>
      <c r="G51" s="2">
        <f t="shared" si="21"/>
        <v>-154279</v>
      </c>
      <c r="H51" s="2">
        <f t="shared" si="21"/>
        <v>-49237</v>
      </c>
      <c r="I51" s="2">
        <f t="shared" si="21"/>
        <v>-98976</v>
      </c>
      <c r="J51" s="10"/>
      <c r="K51" s="2"/>
    </row>
    <row r="52" spans="1:11">
      <c r="B52" t="s">
        <v>147</v>
      </c>
      <c r="C52" s="27">
        <f>AVERAGE(E52,F52,G52)</f>
        <v>-1.1329615381982313E-2</v>
      </c>
      <c r="D52" s="27">
        <f>AVERAGE(E52,F52,G52,H52,I52)</f>
        <v>-8.9246310361739793E-3</v>
      </c>
      <c r="E52" s="13">
        <f>E51/F49</f>
        <v>-6.3118883548555216E-3</v>
      </c>
      <c r="F52" s="13">
        <f t="shared" ref="F52:I52" si="22">F51/G49</f>
        <v>-1.7784774820683264E-2</v>
      </c>
      <c r="G52" s="13">
        <f t="shared" si="22"/>
        <v>-9.8921829704081525E-3</v>
      </c>
      <c r="H52" s="13">
        <f t="shared" si="22"/>
        <v>-3.385028517371672E-3</v>
      </c>
      <c r="I52" s="13">
        <f t="shared" si="22"/>
        <v>-7.2492805175512851E-3</v>
      </c>
      <c r="J52" s="10"/>
      <c r="K52" s="2"/>
    </row>
    <row r="53" spans="1:11">
      <c r="B53" t="s">
        <v>144</v>
      </c>
      <c r="E53" s="2">
        <f>E50-E51</f>
        <v>1344000</v>
      </c>
      <c r="F53" s="2">
        <f t="shared" ref="F53:I53" si="23">F50-F51</f>
        <v>1064646</v>
      </c>
      <c r="G53" s="2">
        <f t="shared" si="23"/>
        <v>1055990</v>
      </c>
      <c r="H53" s="2">
        <f t="shared" si="23"/>
        <v>1099769</v>
      </c>
      <c r="I53" s="2">
        <f t="shared" si="23"/>
        <v>991279</v>
      </c>
      <c r="J53" s="10"/>
      <c r="K53" s="2"/>
    </row>
    <row r="54" spans="1:11">
      <c r="B54" t="s">
        <v>146</v>
      </c>
      <c r="C54" s="27">
        <f>AVERAGE(E54,F54,G54)</f>
        <v>7.0022957303561548E-2</v>
      </c>
      <c r="D54" s="27">
        <f>AVERAGE(E54,F54,G54,H54,I54)</f>
        <v>7.1656342285492572E-2</v>
      </c>
      <c r="E54" s="13">
        <f>E53/F49</f>
        <v>7.7827320632346986E-2</v>
      </c>
      <c r="F54" s="13">
        <f t="shared" ref="F54:I54" si="24">F53/G49</f>
        <v>6.4532749076344473E-2</v>
      </c>
      <c r="G54" s="13">
        <f t="shared" si="24"/>
        <v>6.7708802201993171E-2</v>
      </c>
      <c r="H54" s="13">
        <f t="shared" si="24"/>
        <v>7.5608778510496702E-2</v>
      </c>
      <c r="I54" s="13">
        <f t="shared" si="24"/>
        <v>7.2604061006281528E-2</v>
      </c>
      <c r="J54" s="10"/>
      <c r="K54" s="2"/>
    </row>
    <row r="55" spans="1:11">
      <c r="A55" t="s">
        <v>63</v>
      </c>
      <c r="E55" s="2">
        <v>4571000</v>
      </c>
      <c r="F55" s="2">
        <v>4240000</v>
      </c>
      <c r="G55" s="2">
        <f>3894326+215083</f>
        <v>4109409</v>
      </c>
      <c r="H55" s="2">
        <f>3657221+199467</f>
        <v>3856688</v>
      </c>
      <c r="I55" s="2">
        <f>3360005+164417</f>
        <v>3524422</v>
      </c>
      <c r="J55" s="2">
        <f>3134094+137483</f>
        <v>3271577</v>
      </c>
      <c r="K55" s="2"/>
    </row>
    <row r="56" spans="1:11">
      <c r="B56" t="s">
        <v>133</v>
      </c>
      <c r="E56" s="2">
        <f t="shared" ref="E56:H56" si="25">E55-F55</f>
        <v>331000</v>
      </c>
      <c r="F56" s="2">
        <f t="shared" si="25"/>
        <v>130591</v>
      </c>
      <c r="G56" s="2">
        <f t="shared" si="25"/>
        <v>252721</v>
      </c>
      <c r="H56" s="2">
        <f t="shared" si="25"/>
        <v>332266</v>
      </c>
      <c r="I56" s="2">
        <f>I55-J55</f>
        <v>252845</v>
      </c>
      <c r="J56" s="2"/>
      <c r="K56" s="2"/>
    </row>
    <row r="57" spans="1:11">
      <c r="B57" t="s">
        <v>145</v>
      </c>
      <c r="E57" s="2">
        <f>E12</f>
        <v>440000</v>
      </c>
      <c r="F57" s="2">
        <f t="shared" ref="F57:I57" si="26">F12</f>
        <v>424000</v>
      </c>
      <c r="G57" s="2">
        <f t="shared" si="26"/>
        <v>407000</v>
      </c>
      <c r="H57" s="2">
        <f t="shared" si="26"/>
        <v>381503</v>
      </c>
      <c r="I57" s="2">
        <f t="shared" si="26"/>
        <v>351821</v>
      </c>
      <c r="J57" s="2"/>
      <c r="K57" s="2"/>
    </row>
    <row r="58" spans="1:11">
      <c r="B58" t="s">
        <v>131</v>
      </c>
      <c r="E58" s="2">
        <f>E56-E57</f>
        <v>-109000</v>
      </c>
      <c r="F58" s="2">
        <f t="shared" ref="F58:I58" si="27">F56-F57</f>
        <v>-293409</v>
      </c>
      <c r="G58" s="2">
        <f t="shared" si="27"/>
        <v>-154279</v>
      </c>
      <c r="H58" s="2">
        <f t="shared" si="27"/>
        <v>-49237</v>
      </c>
      <c r="I58" s="2">
        <f t="shared" si="27"/>
        <v>-98976</v>
      </c>
      <c r="J58" s="2"/>
      <c r="K58" s="2"/>
    </row>
    <row r="59" spans="1:11">
      <c r="A59" t="s">
        <v>77</v>
      </c>
      <c r="E59" s="10">
        <f>E49-E55</f>
        <v>13933000</v>
      </c>
      <c r="F59" s="10">
        <f t="shared" ref="F59" si="28">F49-F55</f>
        <v>13029000</v>
      </c>
      <c r="G59" s="3">
        <v>12388354</v>
      </c>
      <c r="H59" s="3">
        <v>11739364</v>
      </c>
      <c r="I59" s="3">
        <v>11021098</v>
      </c>
      <c r="J59" s="3">
        <v>10381640</v>
      </c>
      <c r="K59" s="2"/>
    </row>
    <row r="60" spans="1:11">
      <c r="E60" s="2"/>
      <c r="F60" s="2"/>
      <c r="G60" s="2"/>
      <c r="H60" s="2"/>
      <c r="I60" s="2"/>
      <c r="J60" s="2"/>
      <c r="K60" s="2"/>
    </row>
    <row r="61" spans="1:11">
      <c r="A61" t="s">
        <v>64</v>
      </c>
      <c r="E61" s="2"/>
      <c r="F61" s="2"/>
      <c r="G61" s="2"/>
      <c r="H61" s="2"/>
      <c r="I61" s="2"/>
      <c r="J61" s="2"/>
      <c r="K61" s="2"/>
    </row>
    <row r="62" spans="1:11">
      <c r="A62" t="s">
        <v>78</v>
      </c>
      <c r="E62" s="2">
        <v>45000</v>
      </c>
      <c r="F62" s="2">
        <v>23000</v>
      </c>
      <c r="G62" s="2">
        <v>26964</v>
      </c>
      <c r="H62" s="2">
        <v>24433</v>
      </c>
      <c r="I62" s="2">
        <v>14207</v>
      </c>
      <c r="J62" s="2">
        <v>13112</v>
      </c>
      <c r="K62" s="2"/>
    </row>
    <row r="63" spans="1:11">
      <c r="A63" t="s">
        <v>120</v>
      </c>
      <c r="E63" s="2">
        <v>21000</v>
      </c>
      <c r="F63" s="2">
        <v>14000</v>
      </c>
      <c r="G63" s="2">
        <v>28505</v>
      </c>
      <c r="H63" s="2">
        <v>29756</v>
      </c>
      <c r="I63" s="2">
        <v>32438</v>
      </c>
      <c r="J63" s="2">
        <v>94066</v>
      </c>
      <c r="K63" s="2"/>
    </row>
    <row r="64" spans="1:11">
      <c r="A64" t="s">
        <v>65</v>
      </c>
      <c r="E64" s="2">
        <f>255000+267000</f>
        <v>522000</v>
      </c>
      <c r="F64" s="2">
        <f>232000+221000</f>
        <v>453000</v>
      </c>
      <c r="G64" s="2">
        <f>241926-33823+215725</f>
        <v>423828</v>
      </c>
      <c r="H64" s="2">
        <f>221655+180628-26874</f>
        <v>375409</v>
      </c>
      <c r="I64" s="2">
        <f>200352-18905+185381</f>
        <v>366828</v>
      </c>
      <c r="J64" s="2">
        <f>145747-17474+132876+71589</f>
        <v>332738</v>
      </c>
      <c r="K64" s="2"/>
    </row>
    <row r="65" spans="1:11">
      <c r="A65" t="s">
        <v>107</v>
      </c>
      <c r="E65" s="2"/>
      <c r="F65" s="2"/>
      <c r="G65" s="2">
        <f>5778+17722</f>
        <v>23500</v>
      </c>
      <c r="H65" s="2">
        <v>9594</v>
      </c>
      <c r="I65" s="2">
        <v>7672</v>
      </c>
      <c r="J65" s="2">
        <v>6473</v>
      </c>
      <c r="K65" s="2"/>
    </row>
    <row r="66" spans="1:11">
      <c r="A66" t="s">
        <v>66</v>
      </c>
      <c r="E66" s="2"/>
      <c r="F66" s="2"/>
      <c r="G66" s="2"/>
      <c r="H66" s="2"/>
      <c r="I66" s="2"/>
      <c r="J66" s="2"/>
      <c r="K66" s="2"/>
    </row>
    <row r="67" spans="1:11">
      <c r="A67" t="s">
        <v>67</v>
      </c>
      <c r="E67" s="2">
        <v>38000</v>
      </c>
      <c r="F67" s="2">
        <v>37000</v>
      </c>
      <c r="G67" s="2">
        <v>32973</v>
      </c>
      <c r="H67" s="2">
        <v>29772</v>
      </c>
      <c r="I67" s="2">
        <v>28598</v>
      </c>
      <c r="J67" s="2">
        <v>27743</v>
      </c>
      <c r="K67" s="2"/>
    </row>
    <row r="68" spans="1:11">
      <c r="A68" t="s">
        <v>68</v>
      </c>
      <c r="E68" s="2"/>
      <c r="F68" s="2"/>
      <c r="G68" s="2">
        <v>7761</v>
      </c>
      <c r="H68" s="2"/>
      <c r="I68" s="2">
        <v>929858</v>
      </c>
      <c r="J68" s="2">
        <v>937705</v>
      </c>
      <c r="K68" s="2"/>
    </row>
    <row r="69" spans="1:11">
      <c r="A69" t="s">
        <v>121</v>
      </c>
      <c r="E69" s="2">
        <v>31000</v>
      </c>
      <c r="F69" s="2">
        <v>48000</v>
      </c>
      <c r="G69" s="2">
        <v>28276</v>
      </c>
      <c r="H69" s="2">
        <v>30483</v>
      </c>
      <c r="I69" s="2">
        <v>18058</v>
      </c>
      <c r="J69" s="2">
        <v>45938</v>
      </c>
      <c r="K69" s="2"/>
    </row>
    <row r="70" spans="1:11">
      <c r="A70" t="s">
        <v>70</v>
      </c>
      <c r="E70" s="10">
        <f>E62+E64+E65+E66+E67+E68+E69+E63</f>
        <v>657000</v>
      </c>
      <c r="F70" s="10">
        <f t="shared" ref="F70:J70" si="29">F62+F64+F65+F66+F67+F68+F69+F63</f>
        <v>575000</v>
      </c>
      <c r="G70" s="10">
        <f t="shared" si="29"/>
        <v>571807</v>
      </c>
      <c r="H70" s="10">
        <f t="shared" si="29"/>
        <v>499447</v>
      </c>
      <c r="I70" s="10">
        <f t="shared" si="29"/>
        <v>1397659</v>
      </c>
      <c r="J70" s="10">
        <f t="shared" si="29"/>
        <v>1457775</v>
      </c>
      <c r="K70" s="2"/>
    </row>
    <row r="71" spans="1:11">
      <c r="C71" s="27">
        <f>AVERAGE(E71,F71,G71)</f>
        <v>0.19918557479810628</v>
      </c>
      <c r="D71" s="27">
        <f>AVERAGE(E71,F71,G71)</f>
        <v>0.19918557479810628</v>
      </c>
      <c r="E71" s="30">
        <f>E70/E7</f>
        <v>0.20797720797720798</v>
      </c>
      <c r="F71" s="30">
        <f t="shared" ref="F71:J71" si="30">F70/F7</f>
        <v>0.19096645632680173</v>
      </c>
      <c r="G71" s="30">
        <f t="shared" si="30"/>
        <v>0.19861306009030913</v>
      </c>
      <c r="H71" s="30">
        <f t="shared" si="30"/>
        <v>0.17360662854910286</v>
      </c>
      <c r="I71" s="30">
        <f t="shared" si="30"/>
        <v>0.52420678439567991</v>
      </c>
      <c r="J71" s="30">
        <f t="shared" si="30"/>
        <v>0.57054991418904244</v>
      </c>
      <c r="K71" s="2"/>
    </row>
    <row r="72" spans="1:11">
      <c r="E72" s="2"/>
      <c r="F72" s="2"/>
      <c r="G72" s="2"/>
      <c r="H72" s="2"/>
      <c r="I72" s="2"/>
      <c r="J72" s="2"/>
      <c r="K72" s="2"/>
    </row>
    <row r="73" spans="1:11">
      <c r="A73" t="s">
        <v>71</v>
      </c>
      <c r="E73" s="2">
        <v>1271000</v>
      </c>
      <c r="F73" s="2">
        <v>1153000</v>
      </c>
      <c r="G73" s="2">
        <v>858465</v>
      </c>
      <c r="H73" s="2">
        <v>1199114</v>
      </c>
      <c r="I73" s="2">
        <v>1079661</v>
      </c>
      <c r="J73" s="2">
        <v>976174</v>
      </c>
      <c r="K73" s="2"/>
    </row>
    <row r="74" spans="1:11">
      <c r="A74" t="s">
        <v>72</v>
      </c>
      <c r="E74" s="2"/>
      <c r="F74" s="2"/>
      <c r="G74" s="2">
        <v>754</v>
      </c>
      <c r="H74" s="2">
        <v>10791</v>
      </c>
      <c r="I74" s="2">
        <v>25503</v>
      </c>
      <c r="J74" s="2">
        <v>26718</v>
      </c>
      <c r="K74" s="2"/>
    </row>
    <row r="75" spans="1:11">
      <c r="A75" t="s">
        <v>73</v>
      </c>
      <c r="E75" s="2"/>
      <c r="F75" s="2"/>
      <c r="G75" s="2"/>
      <c r="H75" s="2"/>
      <c r="I75" s="2"/>
      <c r="J75" s="2"/>
      <c r="K75" s="2"/>
    </row>
    <row r="76" spans="1:11">
      <c r="A76" t="s">
        <v>74</v>
      </c>
      <c r="E76" s="2"/>
      <c r="F76" s="2"/>
      <c r="G76" s="2"/>
      <c r="H76" s="2"/>
      <c r="I76" s="2"/>
      <c r="J76" s="2"/>
      <c r="K76" s="2"/>
    </row>
    <row r="77" spans="1:11">
      <c r="A77" t="s">
        <v>75</v>
      </c>
      <c r="E77" s="2">
        <v>1302000</v>
      </c>
      <c r="F77" s="2">
        <v>1208000</v>
      </c>
      <c r="G77" s="2">
        <v>1207764</v>
      </c>
      <c r="H77" s="2">
        <v>1207250</v>
      </c>
      <c r="I77" s="2">
        <v>1195069</v>
      </c>
      <c r="J77" s="2">
        <v>1195585</v>
      </c>
      <c r="K77" s="2"/>
    </row>
    <row r="78" spans="1:11">
      <c r="A78" t="s">
        <v>121</v>
      </c>
      <c r="E78" s="2">
        <v>78000</v>
      </c>
      <c r="F78" s="2">
        <v>73000</v>
      </c>
      <c r="G78" s="2">
        <v>60998</v>
      </c>
      <c r="H78" s="2">
        <v>63010</v>
      </c>
      <c r="I78" s="2">
        <v>57401</v>
      </c>
      <c r="J78" s="2">
        <v>48354</v>
      </c>
      <c r="K78" s="2"/>
    </row>
    <row r="79" spans="1:11">
      <c r="A79" t="s">
        <v>76</v>
      </c>
      <c r="E79" s="10">
        <f>E59+E70+(E73+E74+E75+E76+E77)+E78</f>
        <v>17241000</v>
      </c>
      <c r="F79" s="10">
        <f t="shared" ref="F79:J79" si="31">F59+F70+(F73+F74+F75+F76+F77)+F78</f>
        <v>16038000</v>
      </c>
      <c r="G79" s="10">
        <f t="shared" si="31"/>
        <v>15088142</v>
      </c>
      <c r="H79" s="10">
        <f t="shared" si="31"/>
        <v>14718976</v>
      </c>
      <c r="I79" s="10">
        <f t="shared" si="31"/>
        <v>14776391</v>
      </c>
      <c r="J79" s="10">
        <f t="shared" si="31"/>
        <v>14086246</v>
      </c>
      <c r="K79" s="2"/>
    </row>
    <row r="80" spans="1:11">
      <c r="A80" t="s">
        <v>113</v>
      </c>
      <c r="E80" s="3">
        <v>17241000</v>
      </c>
      <c r="F80" s="3">
        <v>16038000</v>
      </c>
      <c r="G80" s="3">
        <v>15088142</v>
      </c>
      <c r="H80" s="3">
        <v>14718976</v>
      </c>
      <c r="I80" s="3">
        <v>14776391</v>
      </c>
      <c r="J80" s="3">
        <v>14086246</v>
      </c>
      <c r="K80" s="2"/>
    </row>
    <row r="81" spans="1:11">
      <c r="A81" t="s">
        <v>112</v>
      </c>
      <c r="E81" s="4">
        <f t="shared" ref="E81:G81" si="32">E79-E80</f>
        <v>0</v>
      </c>
      <c r="F81" s="4">
        <f t="shared" si="32"/>
        <v>0</v>
      </c>
      <c r="G81" s="4">
        <f t="shared" si="32"/>
        <v>0</v>
      </c>
      <c r="H81" s="4">
        <f>H79-H80</f>
        <v>0</v>
      </c>
      <c r="I81" s="4">
        <f t="shared" ref="I81:J81" si="33">I79-I80</f>
        <v>0</v>
      </c>
      <c r="J81" s="4">
        <f t="shared" si="33"/>
        <v>0</v>
      </c>
      <c r="K81" s="2"/>
    </row>
    <row r="82" spans="1:11">
      <c r="E82" s="2"/>
      <c r="F82" s="2"/>
      <c r="G82" s="2"/>
      <c r="H82" s="2"/>
      <c r="I82" s="2"/>
      <c r="J82" s="2"/>
      <c r="K82" s="2"/>
    </row>
    <row r="83" spans="1:11">
      <c r="A83" t="s">
        <v>333</v>
      </c>
      <c r="E83" s="2"/>
      <c r="F83" s="2"/>
      <c r="G83" s="2"/>
      <c r="H83" s="2"/>
      <c r="I83" s="2"/>
      <c r="J83" s="2"/>
      <c r="K83" s="2"/>
    </row>
    <row r="84" spans="1:11">
      <c r="A84" s="5" t="s">
        <v>80</v>
      </c>
      <c r="E84" s="2"/>
      <c r="F84" s="2"/>
      <c r="G84" s="2"/>
      <c r="H84" s="2"/>
      <c r="I84" s="2"/>
      <c r="J84" s="2"/>
      <c r="K84" s="2"/>
    </row>
    <row r="85" spans="1:11">
      <c r="A85" s="5" t="s">
        <v>85</v>
      </c>
      <c r="E85" s="2">
        <v>500000000</v>
      </c>
      <c r="F85" s="2">
        <v>500000000</v>
      </c>
      <c r="G85" s="2">
        <v>500000000</v>
      </c>
      <c r="H85" s="2">
        <v>500000000</v>
      </c>
      <c r="I85" s="2">
        <v>500000000</v>
      </c>
      <c r="J85" s="2">
        <v>500000000</v>
      </c>
      <c r="K85" s="2"/>
    </row>
    <row r="86" spans="1:11">
      <c r="A86" s="5" t="s">
        <v>86</v>
      </c>
      <c r="E86" s="14">
        <v>180907.48300000001</v>
      </c>
      <c r="F86" s="14">
        <v>179461.606</v>
      </c>
      <c r="G86" s="2">
        <v>178379</v>
      </c>
      <c r="H86" s="2">
        <v>176988</v>
      </c>
      <c r="I86" s="2">
        <v>175664</v>
      </c>
      <c r="J86" s="2">
        <v>174996</v>
      </c>
      <c r="K86" s="2"/>
    </row>
    <row r="87" spans="1:11">
      <c r="A87" s="5" t="s">
        <v>87</v>
      </c>
      <c r="E87" s="2">
        <v>2000</v>
      </c>
      <c r="F87" s="2">
        <v>2000</v>
      </c>
      <c r="G87" s="2">
        <v>1784</v>
      </c>
      <c r="H87" s="2">
        <v>1770</v>
      </c>
      <c r="I87" s="2">
        <v>1757</v>
      </c>
      <c r="J87" s="2">
        <v>1750</v>
      </c>
      <c r="K87" s="2"/>
    </row>
    <row r="88" spans="1:11">
      <c r="A88" s="5" t="s">
        <v>88</v>
      </c>
      <c r="E88" s="2">
        <v>6351000</v>
      </c>
      <c r="F88" s="2">
        <v>6302000</v>
      </c>
      <c r="G88" s="2">
        <v>6261396</v>
      </c>
      <c r="H88" s="2">
        <v>6222644</v>
      </c>
      <c r="I88" s="2">
        <v>6180558</v>
      </c>
      <c r="J88" s="2">
        <v>6156675</v>
      </c>
      <c r="K88" s="2"/>
    </row>
    <row r="89" spans="1:11">
      <c r="A89" s="5" t="s">
        <v>81</v>
      </c>
      <c r="E89" s="2">
        <f>-1073000-88000</f>
        <v>-1161000</v>
      </c>
      <c r="F89" s="2">
        <f>-1296000-82000-11000</f>
        <v>-1389000</v>
      </c>
      <c r="G89" s="2">
        <f>-1495698-34635</f>
        <v>-1530333</v>
      </c>
      <c r="H89" s="2">
        <v>-1664955</v>
      </c>
      <c r="I89" s="2">
        <v>-1848801</v>
      </c>
      <c r="J89" s="2">
        <v>-1959235</v>
      </c>
      <c r="K89" s="2"/>
    </row>
    <row r="90" spans="1:11">
      <c r="A90" s="5" t="s">
        <v>82</v>
      </c>
      <c r="E90" s="2">
        <v>-143000</v>
      </c>
      <c r="F90" s="2"/>
      <c r="G90" s="2">
        <v>-5043</v>
      </c>
      <c r="H90" s="2">
        <v>-116191</v>
      </c>
      <c r="I90" s="2">
        <v>-97677</v>
      </c>
      <c r="J90" s="2">
        <f>-71446-19</f>
        <v>-71465</v>
      </c>
      <c r="K90" s="2"/>
    </row>
    <row r="91" spans="1:11">
      <c r="A91" s="5" t="s">
        <v>83</v>
      </c>
      <c r="E91" s="2"/>
      <c r="F91" s="2"/>
      <c r="G91" s="2"/>
      <c r="H91" s="2"/>
      <c r="I91" s="2"/>
      <c r="J91" s="2"/>
      <c r="K91" s="2"/>
    </row>
    <row r="92" spans="1:11">
      <c r="A92" t="s">
        <v>334</v>
      </c>
      <c r="E92" s="10">
        <f>E87+E88+E89+E90+E91</f>
        <v>5049000</v>
      </c>
      <c r="F92" s="10">
        <f t="shared" ref="F92:J92" si="34">F87+F88+F89+F90+F91</f>
        <v>4915000</v>
      </c>
      <c r="G92" s="10">
        <f t="shared" si="34"/>
        <v>4727804</v>
      </c>
      <c r="H92" s="10">
        <f t="shared" si="34"/>
        <v>4443268</v>
      </c>
      <c r="I92" s="10">
        <f t="shared" si="34"/>
        <v>4235837</v>
      </c>
      <c r="J92" s="10">
        <f t="shared" si="34"/>
        <v>4127725</v>
      </c>
      <c r="K92" s="2"/>
    </row>
    <row r="93" spans="1:11">
      <c r="A93" t="s">
        <v>89</v>
      </c>
      <c r="E93" s="2"/>
      <c r="F93" s="2"/>
      <c r="G93" s="2"/>
      <c r="H93" s="2">
        <v>1720</v>
      </c>
      <c r="I93" s="2">
        <v>4547</v>
      </c>
      <c r="J93" s="2">
        <v>4547</v>
      </c>
      <c r="K93" s="2"/>
    </row>
    <row r="94" spans="1:11">
      <c r="A94" t="s">
        <v>90</v>
      </c>
      <c r="E94" s="10">
        <f>E92+E93</f>
        <v>5049000</v>
      </c>
      <c r="F94" s="10">
        <f t="shared" ref="F94:J94" si="35">F92+F93</f>
        <v>4915000</v>
      </c>
      <c r="G94" s="10">
        <f t="shared" si="35"/>
        <v>4727804</v>
      </c>
      <c r="H94" s="10">
        <f>H92+H93</f>
        <v>4444988</v>
      </c>
      <c r="I94" s="10">
        <f t="shared" si="35"/>
        <v>4240384</v>
      </c>
      <c r="J94" s="10">
        <f t="shared" si="35"/>
        <v>4132272</v>
      </c>
      <c r="K94" s="2"/>
    </row>
    <row r="95" spans="1:11">
      <c r="E95" s="2"/>
      <c r="F95" s="2"/>
      <c r="G95" s="2"/>
      <c r="H95" s="2"/>
      <c r="I95" s="2"/>
      <c r="J95" s="2"/>
      <c r="K95" s="2"/>
    </row>
    <row r="96" spans="1:11">
      <c r="A96" t="s">
        <v>108</v>
      </c>
      <c r="E96" s="2">
        <f>5862000+12000</f>
        <v>5874000</v>
      </c>
      <c r="F96" s="2">
        <f>5427000+15000</f>
        <v>5442000</v>
      </c>
      <c r="G96" s="2">
        <v>5212881</v>
      </c>
      <c r="H96" s="2">
        <v>5190509</v>
      </c>
      <c r="I96" s="2">
        <v>5339947</v>
      </c>
      <c r="J96" s="2">
        <v>5394135</v>
      </c>
      <c r="K96" s="2"/>
    </row>
    <row r="97" spans="1:11">
      <c r="A97" t="s">
        <v>109</v>
      </c>
      <c r="E97" s="2">
        <v>0</v>
      </c>
      <c r="F97" s="2">
        <v>0</v>
      </c>
      <c r="G97" s="2">
        <v>17177</v>
      </c>
      <c r="H97" s="2">
        <v>18861</v>
      </c>
      <c r="I97" s="2">
        <v>21137</v>
      </c>
      <c r="J97" s="2">
        <v>22135</v>
      </c>
      <c r="K97" s="2"/>
    </row>
    <row r="98" spans="1:11">
      <c r="E98" s="2"/>
      <c r="F98" s="2"/>
      <c r="G98" s="2"/>
      <c r="H98" s="2"/>
      <c r="I98" s="2"/>
      <c r="J98" s="2"/>
      <c r="K98" s="2"/>
    </row>
    <row r="99" spans="1:11">
      <c r="A99" t="s">
        <v>91</v>
      </c>
      <c r="E99" s="2"/>
      <c r="F99" s="2"/>
      <c r="G99" s="2"/>
      <c r="H99" s="2"/>
      <c r="I99" s="2"/>
      <c r="J99" s="2"/>
      <c r="K99" s="2"/>
    </row>
    <row r="100" spans="1:11">
      <c r="A100" t="s">
        <v>92</v>
      </c>
      <c r="E100" s="2">
        <f>628000+54000</f>
        <v>682000</v>
      </c>
      <c r="F100" s="2">
        <f>450000+61000</f>
        <v>511000</v>
      </c>
      <c r="G100" s="2"/>
      <c r="H100" s="2"/>
      <c r="I100" s="2"/>
      <c r="J100" s="2"/>
      <c r="K100" s="2"/>
    </row>
    <row r="101" spans="1:11">
      <c r="A101" t="s">
        <v>93</v>
      </c>
      <c r="E101" s="2"/>
      <c r="F101" s="2">
        <v>0</v>
      </c>
      <c r="G101" s="2"/>
      <c r="H101" s="2"/>
      <c r="I101" s="2"/>
      <c r="J101" s="2"/>
      <c r="K101" s="2"/>
    </row>
    <row r="102" spans="1:11">
      <c r="A102" t="s">
        <v>98</v>
      </c>
      <c r="E102" s="2">
        <v>126000</v>
      </c>
      <c r="F102" s="2">
        <v>100000</v>
      </c>
      <c r="G102" s="2"/>
      <c r="H102" s="2"/>
      <c r="I102" s="2"/>
      <c r="J102" s="2"/>
      <c r="K102" s="2"/>
    </row>
    <row r="103" spans="1:11">
      <c r="A103" t="s">
        <v>94</v>
      </c>
      <c r="E103" s="2">
        <v>62000</v>
      </c>
      <c r="F103" s="2">
        <v>57000</v>
      </c>
      <c r="G103" s="2"/>
      <c r="H103" s="2"/>
      <c r="I103" s="2"/>
      <c r="J103" s="2"/>
      <c r="K103" s="2"/>
    </row>
    <row r="104" spans="1:11">
      <c r="A104" t="s">
        <v>95</v>
      </c>
      <c r="E104" s="2">
        <v>26000</v>
      </c>
      <c r="F104" s="2">
        <v>25000</v>
      </c>
      <c r="G104" s="2"/>
      <c r="H104" s="2"/>
      <c r="I104" s="2"/>
      <c r="J104" s="2"/>
      <c r="K104" s="2"/>
    </row>
    <row r="105" spans="1:11">
      <c r="A105" t="s">
        <v>96</v>
      </c>
      <c r="E105" s="2">
        <f>493000+144000</f>
        <v>637000</v>
      </c>
      <c r="F105" s="2">
        <f>395000+153000</f>
        <v>548000</v>
      </c>
      <c r="G105" s="2"/>
      <c r="H105" s="2"/>
      <c r="I105" s="2"/>
      <c r="J105" s="2"/>
      <c r="K105" s="2"/>
    </row>
    <row r="106" spans="1:11">
      <c r="A106" t="s">
        <v>110</v>
      </c>
      <c r="E106" s="2"/>
      <c r="F106" s="2"/>
      <c r="G106" s="2"/>
      <c r="H106" s="2"/>
      <c r="I106" s="2"/>
      <c r="J106" s="2"/>
      <c r="K106" s="2"/>
    </row>
    <row r="107" spans="1:11">
      <c r="A107" t="s">
        <v>97</v>
      </c>
      <c r="E107" s="12">
        <f>E100+E101+E102+E103+E104+E105+E106</f>
        <v>1533000</v>
      </c>
      <c r="F107" s="12">
        <f t="shared" ref="F107" si="36">F100+F101+F102+F103+F104+F105+F106</f>
        <v>1241000</v>
      </c>
      <c r="G107" s="12">
        <v>1235533</v>
      </c>
      <c r="H107" s="12">
        <v>994832</v>
      </c>
      <c r="I107" s="12">
        <v>1489105</v>
      </c>
      <c r="J107" s="12">
        <v>1106764</v>
      </c>
      <c r="K107" s="2"/>
    </row>
    <row r="108" spans="1:11">
      <c r="C108" s="27">
        <f>AVERAGE(E108,F108,G108)</f>
        <v>0.44219636918872923</v>
      </c>
      <c r="D108" s="27">
        <f>AVERAGE(E108,F108,G108,H108,I108,J108)</f>
        <v>0.44401079938621546</v>
      </c>
      <c r="E108" s="31">
        <f>E107/E7</f>
        <v>0.48528015194681862</v>
      </c>
      <c r="F108" s="31">
        <f t="shared" ref="F108:J108" si="37">F107/F7</f>
        <v>0.4121554300896712</v>
      </c>
      <c r="G108" s="31">
        <f t="shared" si="37"/>
        <v>0.42915352552969782</v>
      </c>
      <c r="H108" s="31">
        <f t="shared" si="37"/>
        <v>0.34580131524017782</v>
      </c>
      <c r="I108" s="31">
        <f t="shared" si="37"/>
        <v>0.55850457348861837</v>
      </c>
      <c r="J108" s="31">
        <f t="shared" si="37"/>
        <v>0.43316980002230887</v>
      </c>
      <c r="K108" s="2"/>
    </row>
    <row r="109" spans="1:11">
      <c r="H109" s="2"/>
      <c r="I109" s="2"/>
      <c r="J109" s="2"/>
      <c r="K109" s="2"/>
    </row>
    <row r="110" spans="1:11">
      <c r="A110" t="s">
        <v>99</v>
      </c>
      <c r="F110" s="8"/>
      <c r="H110" s="2"/>
      <c r="I110" s="2"/>
      <c r="J110" s="2"/>
      <c r="K110" s="2"/>
    </row>
    <row r="111" spans="1:11">
      <c r="A111" t="s">
        <v>100</v>
      </c>
      <c r="E111" s="2"/>
      <c r="F111" s="2"/>
      <c r="G111" s="2"/>
      <c r="H111" s="2"/>
      <c r="I111" s="2"/>
      <c r="J111" s="2"/>
      <c r="K111" s="2"/>
    </row>
    <row r="112" spans="1:11">
      <c r="A112" t="s">
        <v>101</v>
      </c>
      <c r="E112" s="2"/>
      <c r="F112" s="2"/>
      <c r="G112" s="2"/>
      <c r="H112" s="2"/>
      <c r="I112" s="2"/>
      <c r="J112" s="2"/>
      <c r="K112" s="2"/>
    </row>
    <row r="113" spans="1:11">
      <c r="A113" t="s">
        <v>102</v>
      </c>
      <c r="E113" s="2"/>
      <c r="F113" s="2"/>
      <c r="G113" s="2"/>
      <c r="H113" s="2"/>
      <c r="I113" s="2"/>
      <c r="J113" s="2"/>
      <c r="K113" s="2"/>
    </row>
    <row r="114" spans="1:11">
      <c r="A114" t="s">
        <v>103</v>
      </c>
      <c r="E114" s="2">
        <v>3664000</v>
      </c>
      <c r="F114" s="2">
        <v>3365000</v>
      </c>
      <c r="G114" s="2"/>
      <c r="H114" s="2"/>
      <c r="I114" s="2"/>
      <c r="J114" s="2"/>
      <c r="K114" s="2"/>
    </row>
    <row r="115" spans="1:11">
      <c r="A115" t="s">
        <v>104</v>
      </c>
      <c r="E115" s="10">
        <f>E111+E112+E113+E114</f>
        <v>3664000</v>
      </c>
      <c r="F115" s="10">
        <f t="shared" ref="F115" si="38">F111+F112+F113+F114</f>
        <v>3365000</v>
      </c>
      <c r="G115" s="10">
        <v>2852043</v>
      </c>
      <c r="H115" s="10">
        <v>3073650</v>
      </c>
      <c r="I115" s="10">
        <v>2719070</v>
      </c>
      <c r="J115" s="10">
        <v>2505384</v>
      </c>
      <c r="K115" s="2"/>
    </row>
    <row r="116" spans="1:11">
      <c r="E116" s="2"/>
      <c r="F116" s="2"/>
      <c r="G116" s="2"/>
      <c r="H116" s="2"/>
      <c r="I116" s="2"/>
      <c r="J116" s="2"/>
      <c r="K116" s="2"/>
    </row>
    <row r="117" spans="1:11">
      <c r="A117" t="s">
        <v>105</v>
      </c>
      <c r="E117" s="2">
        <v>1121000</v>
      </c>
      <c r="F117" s="2">
        <v>1075000</v>
      </c>
      <c r="G117" s="2">
        <v>1042704</v>
      </c>
      <c r="H117" s="2">
        <v>996136</v>
      </c>
      <c r="I117" s="2">
        <v>966748</v>
      </c>
      <c r="J117" s="2">
        <v>925556</v>
      </c>
      <c r="K117" s="2"/>
    </row>
    <row r="118" spans="1:11">
      <c r="E118" s="2"/>
      <c r="F118" s="2"/>
      <c r="G118" s="2"/>
      <c r="H118" s="2"/>
      <c r="I118" s="2"/>
      <c r="J118" s="2"/>
      <c r="K118" s="2"/>
    </row>
    <row r="119" spans="1:11">
      <c r="A119" t="s">
        <v>106</v>
      </c>
      <c r="E119" s="10">
        <f>E115+E117+E96+E97+E94+E107</f>
        <v>17241000</v>
      </c>
      <c r="F119" s="10">
        <f t="shared" ref="F119:G119" si="39">F115+F117+F96+F97+F94+F107</f>
        <v>16038000</v>
      </c>
      <c r="G119" s="10">
        <f t="shared" si="39"/>
        <v>15088142</v>
      </c>
      <c r="H119" s="10">
        <f>H115+H117+H96+H97+H94+H107</f>
        <v>14718976</v>
      </c>
      <c r="I119" s="10">
        <f t="shared" ref="I119:J119" si="40">I115+I117+I96+I97+I94+I107</f>
        <v>14776391</v>
      </c>
      <c r="J119" s="10">
        <f t="shared" si="40"/>
        <v>14086246</v>
      </c>
      <c r="K119" s="2"/>
    </row>
    <row r="120" spans="1:11">
      <c r="A120" t="s">
        <v>111</v>
      </c>
      <c r="E120" s="2">
        <v>17241000</v>
      </c>
      <c r="F120" s="2">
        <v>16038000</v>
      </c>
      <c r="G120" s="2">
        <v>15088142</v>
      </c>
      <c r="H120" s="2">
        <v>14718976</v>
      </c>
      <c r="I120" s="2">
        <v>14776391</v>
      </c>
      <c r="J120" s="2">
        <v>14086246</v>
      </c>
      <c r="K120" s="2"/>
    </row>
    <row r="121" spans="1:11">
      <c r="A121" t="s">
        <v>112</v>
      </c>
      <c r="E121" s="10">
        <f t="shared" ref="E121:G121" si="41">E119-E120</f>
        <v>0</v>
      </c>
      <c r="F121" s="10">
        <f t="shared" si="41"/>
        <v>0</v>
      </c>
      <c r="G121" s="10">
        <f t="shared" si="41"/>
        <v>0</v>
      </c>
      <c r="H121" s="10">
        <f>H119-H120</f>
        <v>0</v>
      </c>
      <c r="I121" s="10">
        <f t="shared" ref="I121:J121" si="42">I119-I120</f>
        <v>0</v>
      </c>
      <c r="J121" s="10">
        <f t="shared" si="42"/>
        <v>0</v>
      </c>
      <c r="K121" s="2"/>
    </row>
    <row r="122" spans="1:11">
      <c r="E122" s="10"/>
      <c r="F122" s="10"/>
      <c r="G122" s="10"/>
      <c r="H122" s="10"/>
      <c r="I122" s="10"/>
      <c r="J122" s="10"/>
      <c r="K122" s="2"/>
    </row>
    <row r="123" spans="1:11">
      <c r="E123" s="10"/>
      <c r="F123" s="10"/>
      <c r="G123" s="10"/>
      <c r="H123" s="10"/>
      <c r="I123" s="10"/>
      <c r="J123" s="10"/>
      <c r="K123" s="2"/>
    </row>
    <row r="124" spans="1:11">
      <c r="A124" s="7" t="s">
        <v>341</v>
      </c>
      <c r="E124" s="2"/>
      <c r="F124" s="2"/>
      <c r="G124" s="2"/>
      <c r="H124" s="2"/>
      <c r="I124" s="2"/>
      <c r="J124" s="2"/>
      <c r="K124" s="2"/>
    </row>
    <row r="125" spans="1:11">
      <c r="A125" t="s">
        <v>136</v>
      </c>
      <c r="E125" s="2"/>
      <c r="F125" s="2"/>
      <c r="G125" s="2"/>
      <c r="H125" s="2"/>
      <c r="I125" s="2"/>
      <c r="J125" s="2"/>
      <c r="K125" s="2"/>
    </row>
    <row r="126" spans="1:11">
      <c r="A126" t="s">
        <v>137</v>
      </c>
      <c r="E126" s="2">
        <f>E70</f>
        <v>657000</v>
      </c>
      <c r="F126" s="2">
        <f t="shared" ref="F126:J126" si="43">F70</f>
        <v>575000</v>
      </c>
      <c r="G126" s="2">
        <f t="shared" si="43"/>
        <v>571807</v>
      </c>
      <c r="H126" s="2">
        <f t="shared" si="43"/>
        <v>499447</v>
      </c>
      <c r="I126" s="2">
        <f t="shared" si="43"/>
        <v>1397659</v>
      </c>
      <c r="J126" s="2">
        <f t="shared" si="43"/>
        <v>1457775</v>
      </c>
      <c r="K126" s="2"/>
    </row>
    <row r="127" spans="1:11">
      <c r="A127" t="s">
        <v>138</v>
      </c>
      <c r="E127" s="8">
        <f>E107</f>
        <v>1533000</v>
      </c>
      <c r="F127" s="8">
        <f t="shared" ref="F127:J127" si="44">F107</f>
        <v>1241000</v>
      </c>
      <c r="G127" s="8">
        <f t="shared" si="44"/>
        <v>1235533</v>
      </c>
      <c r="H127" s="8">
        <f t="shared" si="44"/>
        <v>994832</v>
      </c>
      <c r="I127" s="8">
        <f t="shared" si="44"/>
        <v>1489105</v>
      </c>
      <c r="J127" s="8">
        <f t="shared" si="44"/>
        <v>1106764</v>
      </c>
    </row>
    <row r="128" spans="1:11">
      <c r="A128" t="s">
        <v>139</v>
      </c>
      <c r="E128" s="8">
        <f>E126-E127</f>
        <v>-876000</v>
      </c>
      <c r="F128" s="8">
        <f t="shared" ref="F128:J128" si="45">F126-F127</f>
        <v>-666000</v>
      </c>
      <c r="G128" s="8">
        <f t="shared" si="45"/>
        <v>-663726</v>
      </c>
      <c r="H128" s="8">
        <f t="shared" si="45"/>
        <v>-495385</v>
      </c>
      <c r="I128" s="8">
        <f t="shared" si="45"/>
        <v>-91446</v>
      </c>
      <c r="J128" s="8">
        <f t="shared" si="45"/>
        <v>351011</v>
      </c>
    </row>
    <row r="129" spans="1:10">
      <c r="A129" t="s">
        <v>150</v>
      </c>
      <c r="C129" s="27">
        <f>AVERAGE(E129,F129,G129)</f>
        <v>-0.24301079439062293</v>
      </c>
      <c r="D129" s="27">
        <f>AVERAGE(E129,F129,G129,H129,I129,J129)</f>
        <v>-0.13302412413152478</v>
      </c>
      <c r="E129" s="13">
        <f>E128/E7</f>
        <v>-0.27730294396961064</v>
      </c>
      <c r="F129" s="13">
        <f t="shared" ref="F129:J129" si="46">F128/F7</f>
        <v>-0.22118897376286947</v>
      </c>
      <c r="G129" s="13">
        <f t="shared" si="46"/>
        <v>-0.23054046543938866</v>
      </c>
      <c r="H129" s="13">
        <f t="shared" si="46"/>
        <v>-0.17219468669107499</v>
      </c>
      <c r="I129" s="13">
        <f t="shared" si="46"/>
        <v>-3.4297789092938506E-2</v>
      </c>
      <c r="J129" s="13">
        <f t="shared" si="46"/>
        <v>0.13738011416673354</v>
      </c>
    </row>
    <row r="131" spans="1:10">
      <c r="A131" t="s">
        <v>159</v>
      </c>
    </row>
    <row r="132" spans="1:10">
      <c r="A132" t="s">
        <v>243</v>
      </c>
    </row>
    <row r="133" spans="1:10">
      <c r="A133" t="s">
        <v>237</v>
      </c>
      <c r="E133" s="2">
        <v>2829170</v>
      </c>
      <c r="F133" s="2">
        <v>2813715</v>
      </c>
      <c r="G133" s="2">
        <v>2813601</v>
      </c>
      <c r="H133" s="2">
        <v>2783354</v>
      </c>
      <c r="I133" s="2">
        <v>2730524</v>
      </c>
      <c r="J133" s="2">
        <v>2728205</v>
      </c>
    </row>
    <row r="134" spans="1:10">
      <c r="A134" t="s">
        <v>238</v>
      </c>
      <c r="E134" s="2">
        <v>218798</v>
      </c>
      <c r="F134" s="2">
        <v>218314</v>
      </c>
      <c r="G134" s="2">
        <v>219510</v>
      </c>
      <c r="H134" s="2">
        <v>218988</v>
      </c>
      <c r="I134" s="2">
        <v>216415</v>
      </c>
      <c r="J134" s="2">
        <v>216967</v>
      </c>
    </row>
    <row r="135" spans="1:10">
      <c r="A135" t="s">
        <v>239</v>
      </c>
      <c r="E135" s="2">
        <v>3765</v>
      </c>
      <c r="F135" s="2">
        <v>3793</v>
      </c>
      <c r="G135" s="2">
        <v>3822</v>
      </c>
      <c r="H135" s="2">
        <v>3894</v>
      </c>
      <c r="I135" s="2">
        <v>3885</v>
      </c>
      <c r="J135" s="2">
        <v>4033</v>
      </c>
    </row>
    <row r="136" spans="1:10">
      <c r="A136" t="s">
        <v>240</v>
      </c>
      <c r="E136" s="2"/>
      <c r="F136" s="2"/>
      <c r="G136" s="2"/>
      <c r="H136" s="2">
        <v>34858</v>
      </c>
      <c r="I136" s="2">
        <v>33887</v>
      </c>
      <c r="J136" s="2">
        <v>33610</v>
      </c>
    </row>
    <row r="137" spans="1:10">
      <c r="A137" t="s">
        <v>241</v>
      </c>
      <c r="E137" s="2">
        <v>60421</v>
      </c>
      <c r="F137" s="2">
        <v>59249</v>
      </c>
      <c r="G137" s="2">
        <v>58420</v>
      </c>
      <c r="H137" s="2">
        <v>15844</v>
      </c>
      <c r="I137" s="2">
        <v>15818</v>
      </c>
      <c r="J137" s="2">
        <v>15436</v>
      </c>
    </row>
    <row r="138" spans="1:10">
      <c r="A138" t="s">
        <v>242</v>
      </c>
      <c r="E138" s="2">
        <f t="shared" ref="E138:G138" si="47">SUM(E133:E137)</f>
        <v>3112154</v>
      </c>
      <c r="F138" s="2">
        <f t="shared" si="47"/>
        <v>3095071</v>
      </c>
      <c r="G138" s="2">
        <f t="shared" si="47"/>
        <v>3095353</v>
      </c>
      <c r="H138" s="2">
        <f>SUM(H133:H137)</f>
        <v>3056938</v>
      </c>
      <c r="I138" s="2">
        <f t="shared" ref="I138:J138" si="48">SUM(I133:I137)</f>
        <v>3000529</v>
      </c>
      <c r="J138" s="2">
        <f t="shared" si="48"/>
        <v>2998251</v>
      </c>
    </row>
    <row r="139" spans="1:10">
      <c r="A139" t="s">
        <v>249</v>
      </c>
      <c r="C139" s="27">
        <f>AVERAGE(E139,F139,G139)</f>
        <v>5.998271002937248E-3</v>
      </c>
      <c r="D139" s="27">
        <f>AVERAGE(E139,F139,G139,H139,I139)</f>
        <v>7.5108548561196604E-3</v>
      </c>
      <c r="E139" s="13">
        <f t="shared" ref="E139" si="49">(E138-F138)/F138</f>
        <v>5.519421040745107E-3</v>
      </c>
      <c r="F139" s="13">
        <f t="shared" ref="F139" si="50">(F138-G138)/G138</f>
        <v>-9.1104310235375421E-5</v>
      </c>
      <c r="G139" s="13">
        <f t="shared" ref="G139" si="51">(G138-H138)/H138</f>
        <v>1.2566496278302013E-2</v>
      </c>
      <c r="H139" s="13">
        <f t="shared" ref="H139" si="52">(H138-I138)/I138</f>
        <v>1.8799684988880294E-2</v>
      </c>
      <c r="I139" s="13">
        <f>(I138-J138)/J138</f>
        <v>7.5977628290626773E-4</v>
      </c>
      <c r="J139" s="2"/>
    </row>
    <row r="141" spans="1:10">
      <c r="A141" t="s">
        <v>159</v>
      </c>
    </row>
    <row r="142" spans="1:10">
      <c r="A142" t="s">
        <v>228</v>
      </c>
    </row>
    <row r="143" spans="1:10">
      <c r="A143" t="s">
        <v>237</v>
      </c>
      <c r="E143" s="2">
        <v>132870</v>
      </c>
      <c r="F143" s="2">
        <v>117602</v>
      </c>
      <c r="G143" s="2">
        <v>117584</v>
      </c>
      <c r="H143" s="2">
        <v>95576</v>
      </c>
      <c r="I143" s="2">
        <v>95092</v>
      </c>
      <c r="J143" s="2">
        <v>93156</v>
      </c>
    </row>
    <row r="144" spans="1:10">
      <c r="A144" t="s">
        <v>238</v>
      </c>
      <c r="E144" s="2">
        <v>7308</v>
      </c>
      <c r="F144" s="2">
        <v>6221</v>
      </c>
      <c r="G144" s="2">
        <v>6287</v>
      </c>
      <c r="H144" s="2">
        <v>5477</v>
      </c>
      <c r="I144" s="2">
        <v>5462</v>
      </c>
      <c r="J144" s="2">
        <v>5355</v>
      </c>
    </row>
    <row r="145" spans="1:10">
      <c r="A145" t="s">
        <v>239</v>
      </c>
      <c r="E145" s="2">
        <v>17</v>
      </c>
      <c r="F145" s="2">
        <v>17</v>
      </c>
      <c r="G145" s="2">
        <v>16</v>
      </c>
      <c r="H145" s="2">
        <v>12</v>
      </c>
      <c r="I145" s="2">
        <v>13</v>
      </c>
      <c r="J145" s="2">
        <v>13</v>
      </c>
    </row>
    <row r="146" spans="1:10">
      <c r="A146" t="s">
        <v>240</v>
      </c>
      <c r="E146" s="2"/>
      <c r="F146" s="2"/>
      <c r="G146" s="2"/>
      <c r="H146" s="2">
        <v>10</v>
      </c>
      <c r="I146" s="2">
        <v>10</v>
      </c>
      <c r="J146" s="2">
        <v>11</v>
      </c>
    </row>
    <row r="147" spans="1:10">
      <c r="A147" t="s">
        <v>241</v>
      </c>
      <c r="E147" s="2">
        <v>342</v>
      </c>
      <c r="F147" s="2">
        <v>281</v>
      </c>
      <c r="G147" s="2">
        <v>259</v>
      </c>
      <c r="H147" s="2">
        <v>213</v>
      </c>
      <c r="I147" s="2">
        <v>199</v>
      </c>
      <c r="J147" s="2">
        <v>197</v>
      </c>
    </row>
    <row r="148" spans="1:10">
      <c r="A148" t="s">
        <v>242</v>
      </c>
      <c r="E148" s="2">
        <f t="shared" ref="E148:G148" si="53">SUM(E143:E147)</f>
        <v>140537</v>
      </c>
      <c r="F148" s="2">
        <f t="shared" si="53"/>
        <v>124121</v>
      </c>
      <c r="G148" s="2">
        <f t="shared" si="53"/>
        <v>124146</v>
      </c>
      <c r="H148" s="2">
        <f>SUM(H143:H147)</f>
        <v>101288</v>
      </c>
      <c r="I148" s="2">
        <f t="shared" ref="I148:J148" si="54">SUM(I143:I147)</f>
        <v>100776</v>
      </c>
      <c r="J148" s="2">
        <f t="shared" si="54"/>
        <v>98732</v>
      </c>
    </row>
    <row r="149" spans="1:10">
      <c r="A149" t="s">
        <v>249</v>
      </c>
      <c r="C149" s="27">
        <f>AVERAGE(E149,F149,G149)</f>
        <v>0.11924333008957595</v>
      </c>
      <c r="D149" s="27">
        <f>AVERAGE(E149,F149,G149,H149,I149)</f>
        <v>7.6702614561527049E-2</v>
      </c>
      <c r="E149" s="13">
        <f t="shared" ref="E149" si="55">(E148-F148)/F148</f>
        <v>0.13225803852692131</v>
      </c>
      <c r="F149" s="13">
        <f t="shared" ref="F149" si="56">(F148-G148)/G148</f>
        <v>-2.0137579946192386E-4</v>
      </c>
      <c r="G149" s="13">
        <f t="shared" ref="G149" si="57">(G148-H148)/H148</f>
        <v>0.22567332754126845</v>
      </c>
      <c r="H149" s="13">
        <f t="shared" ref="H149" si="58">(H148-I148)/I148</f>
        <v>5.0805747400174649E-3</v>
      </c>
      <c r="I149" s="13">
        <f>(I148-J148)/J148</f>
        <v>2.0702507798889925E-2</v>
      </c>
      <c r="J149" s="2"/>
    </row>
    <row r="150" spans="1:10">
      <c r="A150" t="s">
        <v>160</v>
      </c>
    </row>
    <row r="151" spans="1:10">
      <c r="A151" t="s">
        <v>244</v>
      </c>
    </row>
    <row r="152" spans="1:10">
      <c r="A152" t="s">
        <v>237</v>
      </c>
      <c r="E152" s="2">
        <v>1536000</v>
      </c>
      <c r="F152" s="2">
        <v>1515049</v>
      </c>
      <c r="G152" s="2">
        <v>1465174</v>
      </c>
      <c r="H152" s="2">
        <v>1468600</v>
      </c>
      <c r="I152" s="2">
        <v>1339400</v>
      </c>
      <c r="J152" s="2">
        <v>1300200</v>
      </c>
    </row>
    <row r="153" spans="1:10">
      <c r="A153" t="s">
        <v>238</v>
      </c>
      <c r="E153" s="2">
        <v>559000</v>
      </c>
      <c r="F153" s="2">
        <v>550124</v>
      </c>
      <c r="G153" s="2">
        <v>520875</v>
      </c>
      <c r="H153" s="2">
        <v>518300</v>
      </c>
      <c r="I153" s="2">
        <v>474200</v>
      </c>
      <c r="J153" s="2">
        <v>457000</v>
      </c>
    </row>
    <row r="154" spans="1:10">
      <c r="A154" t="s">
        <v>239</v>
      </c>
      <c r="E154" s="2">
        <v>130000</v>
      </c>
      <c r="F154" s="2">
        <v>131834</v>
      </c>
      <c r="G154" s="2">
        <v>118939</v>
      </c>
      <c r="H154" s="2">
        <v>128400</v>
      </c>
      <c r="I154" s="2">
        <v>11600</v>
      </c>
      <c r="J154" s="2">
        <v>110200</v>
      </c>
    </row>
    <row r="155" spans="1:10">
      <c r="A155" t="s">
        <v>245</v>
      </c>
      <c r="E155" s="2">
        <f>331000+39000</f>
        <v>370000</v>
      </c>
      <c r="F155" s="2">
        <f>333048+26377</f>
        <v>359425</v>
      </c>
      <c r="G155" s="2">
        <v>312369</v>
      </c>
      <c r="H155" s="2">
        <v>328400</v>
      </c>
      <c r="I155" s="2">
        <v>323000</v>
      </c>
      <c r="J155" s="2">
        <v>314100</v>
      </c>
    </row>
    <row r="156" spans="1:10">
      <c r="A156" t="s">
        <v>246</v>
      </c>
      <c r="E156" s="2">
        <f t="shared" ref="E156:G156" si="59">SUM(E152:E155)</f>
        <v>2595000</v>
      </c>
      <c r="F156" s="2">
        <f t="shared" si="59"/>
        <v>2556432</v>
      </c>
      <c r="G156" s="2">
        <f t="shared" si="59"/>
        <v>2417357</v>
      </c>
      <c r="H156" s="2">
        <f>SUM(H152:H155)</f>
        <v>2443700</v>
      </c>
      <c r="I156" s="2">
        <f t="shared" ref="I156:J156" si="60">SUM(I152:I155)</f>
        <v>2148200</v>
      </c>
      <c r="J156" s="2">
        <f t="shared" si="60"/>
        <v>2181500</v>
      </c>
    </row>
    <row r="157" spans="1:10">
      <c r="C157" s="27">
        <f>AVERAGE(E157,F157,G157)</f>
        <v>2.0612842935909901E-2</v>
      </c>
      <c r="D157" s="27">
        <f>AVERAGE(E157,F157,G157,H157,I157)</f>
        <v>3.6826165437491024E-2</v>
      </c>
      <c r="E157" s="13">
        <f t="shared" ref="E157" si="61">(E156-F156)/F156</f>
        <v>1.5086652021254624E-2</v>
      </c>
      <c r="F157" s="13">
        <f t="shared" ref="F157" si="62">(F156-G156)/G156</f>
        <v>5.7531841593939169E-2</v>
      </c>
      <c r="G157" s="13">
        <f t="shared" ref="G157" si="63">(G156-H156)/H156</f>
        <v>-1.0779964807464092E-2</v>
      </c>
      <c r="H157" s="13">
        <f t="shared" ref="H157" si="64">(H156-I156)/I156</f>
        <v>0.13755702448561585</v>
      </c>
      <c r="I157" s="13">
        <f>(I156-J156)/J156</f>
        <v>-1.5264726105890442E-2</v>
      </c>
      <c r="J157" s="2"/>
    </row>
    <row r="158" spans="1:10">
      <c r="A158" t="s">
        <v>247</v>
      </c>
      <c r="E158" s="2">
        <v>97000</v>
      </c>
      <c r="F158" s="2">
        <v>93067</v>
      </c>
      <c r="G158" s="2">
        <v>82831</v>
      </c>
      <c r="H158" s="2">
        <v>78200</v>
      </c>
      <c r="I158" s="2">
        <v>76300</v>
      </c>
      <c r="J158" s="2">
        <v>69000</v>
      </c>
    </row>
    <row r="159" spans="1:10">
      <c r="C159" s="27">
        <f>AVERAGE(E159,F159,G159)</f>
        <v>7.5018915941906197E-2</v>
      </c>
      <c r="D159" s="27">
        <f>AVERAGE(E159,F159,G159,H159,I159)</f>
        <v>7.1151110615156068E-2</v>
      </c>
      <c r="E159" s="13">
        <f t="shared" ref="E159" si="65">(E158-F158)/F158</f>
        <v>4.2259877292703106E-2</v>
      </c>
      <c r="F159" s="13">
        <f t="shared" ref="F159" si="66">(F158-G158)/G158</f>
        <v>0.12357692168391061</v>
      </c>
      <c r="G159" s="13">
        <f t="shared" ref="G159" si="67">(G158-H158)/H158</f>
        <v>5.9219948849104857E-2</v>
      </c>
      <c r="H159" s="13">
        <f t="shared" ref="H159" si="68">(H158-I158)/I158</f>
        <v>2.4901703800786368E-2</v>
      </c>
      <c r="I159" s="13">
        <f>(I158-J158)/J158</f>
        <v>0.10579710144927536</v>
      </c>
      <c r="J159" s="2"/>
    </row>
    <row r="160" spans="1:10">
      <c r="A160" t="s">
        <v>248</v>
      </c>
      <c r="E160" s="2">
        <f t="shared" ref="E160:G160" si="69">E156+E158</f>
        <v>2692000</v>
      </c>
      <c r="F160" s="2">
        <f t="shared" si="69"/>
        <v>2649499</v>
      </c>
      <c r="G160" s="2">
        <f t="shared" si="69"/>
        <v>2500188</v>
      </c>
      <c r="H160" s="2">
        <f>H156+H158</f>
        <v>2521900</v>
      </c>
      <c r="I160" s="2">
        <f t="shared" ref="I160:J160" si="70">I156+I158</f>
        <v>2224500</v>
      </c>
      <c r="J160" s="2">
        <f t="shared" si="70"/>
        <v>2250500</v>
      </c>
    </row>
    <row r="161" spans="1:10">
      <c r="A161" t="s">
        <v>249</v>
      </c>
      <c r="C161" s="27">
        <f>AVERAGE(E161,F161,G161)</f>
        <v>2.2383891046550215E-2</v>
      </c>
      <c r="D161" s="27">
        <f>AVERAGE(E161,F161,G161,H161,I161)</f>
        <v>3.7858329925196554E-2</v>
      </c>
      <c r="E161" s="13">
        <f t="shared" ref="E161" si="71">(E160-F160)/F160</f>
        <v>1.604114589211017E-2</v>
      </c>
      <c r="F161" s="13">
        <f t="shared" ref="F161" si="72">(F160-G160)/G160</f>
        <v>5.9719909062838472E-2</v>
      </c>
      <c r="G161" s="13">
        <f t="shared" ref="G161" si="73">(G160-H160)/H160</f>
        <v>-8.6093818152979899E-3</v>
      </c>
      <c r="H161" s="13">
        <f t="shared" ref="H161" si="74">(H160-I160)/I160</f>
        <v>0.13369296471117104</v>
      </c>
      <c r="I161" s="13">
        <f>(I160-J160)/J160</f>
        <v>-1.1552988224838925E-2</v>
      </c>
      <c r="J161" s="2"/>
    </row>
    <row r="163" spans="1:10">
      <c r="A163" t="s">
        <v>250</v>
      </c>
      <c r="C163" s="27">
        <f>C157</f>
        <v>2.0612842935909901E-2</v>
      </c>
      <c r="D163" s="27">
        <f t="shared" ref="D163:I163" si="75">D157</f>
        <v>3.6826165437491024E-2</v>
      </c>
      <c r="E163" s="27">
        <f t="shared" si="75"/>
        <v>1.5086652021254624E-2</v>
      </c>
      <c r="F163" s="27">
        <f t="shared" si="75"/>
        <v>5.7531841593939169E-2</v>
      </c>
      <c r="G163" s="27">
        <f t="shared" si="75"/>
        <v>-1.0779964807464092E-2</v>
      </c>
      <c r="H163" s="27">
        <f t="shared" si="75"/>
        <v>0.13755702448561585</v>
      </c>
      <c r="I163" s="27">
        <f t="shared" si="75"/>
        <v>-1.5264726105890442E-2</v>
      </c>
    </row>
    <row r="164" spans="1:10">
      <c r="A164" t="s">
        <v>251</v>
      </c>
      <c r="C164" s="27">
        <f>C139</f>
        <v>5.998271002937248E-3</v>
      </c>
      <c r="D164" s="27">
        <f t="shared" ref="D164:I164" si="76">D139</f>
        <v>7.5108548561196604E-3</v>
      </c>
      <c r="E164" s="27">
        <f t="shared" si="76"/>
        <v>5.519421040745107E-3</v>
      </c>
      <c r="F164" s="27">
        <f t="shared" si="76"/>
        <v>-9.1104310235375421E-5</v>
      </c>
      <c r="G164" s="27">
        <f t="shared" si="76"/>
        <v>1.2566496278302013E-2</v>
      </c>
      <c r="H164" s="27">
        <f t="shared" si="76"/>
        <v>1.8799684988880294E-2</v>
      </c>
      <c r="I164" s="27">
        <f t="shared" si="76"/>
        <v>7.5977628290626773E-4</v>
      </c>
    </row>
    <row r="165" spans="1:10">
      <c r="A165" t="s">
        <v>252</v>
      </c>
      <c r="C165" s="27">
        <f>C163-C164</f>
        <v>1.4614571932972654E-2</v>
      </c>
      <c r="D165" s="27">
        <f t="shared" ref="D165:I165" si="77">D163-D164</f>
        <v>2.9315310581371365E-2</v>
      </c>
      <c r="E165" s="27">
        <f t="shared" si="77"/>
        <v>9.5672309805095168E-3</v>
      </c>
      <c r="F165" s="27">
        <f t="shared" si="77"/>
        <v>5.7622945904174543E-2</v>
      </c>
      <c r="G165" s="27">
        <f t="shared" si="77"/>
        <v>-2.3346461085766105E-2</v>
      </c>
      <c r="H165" s="27">
        <f t="shared" si="77"/>
        <v>0.11875733949673556</v>
      </c>
      <c r="I165" s="27">
        <f t="shared" si="77"/>
        <v>-1.602450238879671E-2</v>
      </c>
    </row>
    <row r="167" spans="1:10">
      <c r="A167" t="s">
        <v>253</v>
      </c>
      <c r="C167" s="27">
        <f>C159</f>
        <v>7.5018915941906197E-2</v>
      </c>
      <c r="D167" s="27">
        <f t="shared" ref="D167:I167" si="78">D159</f>
        <v>7.1151110615156068E-2</v>
      </c>
      <c r="E167" s="27">
        <f t="shared" si="78"/>
        <v>4.2259877292703106E-2</v>
      </c>
      <c r="F167" s="27">
        <f t="shared" si="78"/>
        <v>0.12357692168391061</v>
      </c>
      <c r="G167" s="27">
        <f t="shared" si="78"/>
        <v>5.9219948849104857E-2</v>
      </c>
      <c r="H167" s="27">
        <f t="shared" si="78"/>
        <v>2.4901703800786368E-2</v>
      </c>
      <c r="I167" s="27">
        <f t="shared" si="78"/>
        <v>0.10579710144927536</v>
      </c>
    </row>
    <row r="168" spans="1:10">
      <c r="A168" t="s">
        <v>254</v>
      </c>
      <c r="C168" s="27">
        <f>C149</f>
        <v>0.11924333008957595</v>
      </c>
      <c r="D168" s="27">
        <f t="shared" ref="D168:I168" si="79">D149</f>
        <v>7.6702614561527049E-2</v>
      </c>
      <c r="E168" s="27">
        <f t="shared" si="79"/>
        <v>0.13225803852692131</v>
      </c>
      <c r="F168" s="27">
        <f t="shared" si="79"/>
        <v>-2.0137579946192386E-4</v>
      </c>
      <c r="G168" s="27">
        <f t="shared" si="79"/>
        <v>0.22567332754126845</v>
      </c>
      <c r="H168" s="27">
        <f t="shared" si="79"/>
        <v>5.0805747400174649E-3</v>
      </c>
      <c r="I168" s="27">
        <f t="shared" si="79"/>
        <v>2.0702507798889925E-2</v>
      </c>
    </row>
    <row r="169" spans="1:10">
      <c r="A169" t="s">
        <v>255</v>
      </c>
      <c r="C169" s="27">
        <f>C167-C168</f>
        <v>-4.4224414147669755E-2</v>
      </c>
      <c r="D169" s="27">
        <f t="shared" ref="D169:I169" si="80">D167-D168</f>
        <v>-5.5515039463709809E-3</v>
      </c>
      <c r="E169" s="27">
        <f t="shared" si="80"/>
        <v>-8.9998161234218194E-2</v>
      </c>
      <c r="F169" s="27">
        <f t="shared" si="80"/>
        <v>0.12377829748337253</v>
      </c>
      <c r="G169" s="27">
        <f t="shared" si="80"/>
        <v>-0.16645337869216359</v>
      </c>
      <c r="H169" s="27">
        <f t="shared" si="80"/>
        <v>1.9821129060768904E-2</v>
      </c>
      <c r="I169" s="27">
        <f t="shared" si="80"/>
        <v>8.5094593650385436E-2</v>
      </c>
    </row>
    <row r="172" spans="1:10">
      <c r="A172" t="s">
        <v>314</v>
      </c>
    </row>
    <row r="173" spans="1:10">
      <c r="A173" t="s">
        <v>315</v>
      </c>
      <c r="E173" s="2">
        <v>527000</v>
      </c>
      <c r="F173" s="2">
        <v>462706</v>
      </c>
      <c r="G173" s="2">
        <v>435449</v>
      </c>
      <c r="H173" s="2">
        <v>343640</v>
      </c>
      <c r="I173" s="2">
        <v>298564</v>
      </c>
      <c r="J173" s="2">
        <v>299303</v>
      </c>
    </row>
    <row r="174" spans="1:10">
      <c r="A174" t="s">
        <v>316</v>
      </c>
      <c r="E174" s="2">
        <v>136000</v>
      </c>
      <c r="F174" s="2">
        <v>96535</v>
      </c>
      <c r="G174" s="2">
        <v>89278</v>
      </c>
      <c r="H174" s="2">
        <v>138072</v>
      </c>
      <c r="I174" s="2">
        <v>191771</v>
      </c>
      <c r="J174" s="2">
        <v>133473</v>
      </c>
    </row>
    <row r="175" spans="1:10">
      <c r="A175" t="s">
        <v>317</v>
      </c>
      <c r="E175" s="2">
        <v>214000</v>
      </c>
      <c r="F175" s="2">
        <v>170193</v>
      </c>
      <c r="G175" s="2">
        <v>178412</v>
      </c>
      <c r="H175" s="2">
        <v>171855</v>
      </c>
      <c r="I175" s="2">
        <v>175635</v>
      </c>
      <c r="J175" s="2">
        <v>157982</v>
      </c>
    </row>
    <row r="176" spans="1:10">
      <c r="A176" t="s">
        <v>318</v>
      </c>
      <c r="E176" s="2">
        <v>174000</v>
      </c>
      <c r="F176" s="2">
        <v>142193</v>
      </c>
      <c r="G176" s="2">
        <v>131446</v>
      </c>
      <c r="H176" s="2">
        <v>104854</v>
      </c>
      <c r="I176" s="2">
        <v>84059</v>
      </c>
      <c r="J176" s="2">
        <v>88932</v>
      </c>
    </row>
    <row r="177" spans="1:10">
      <c r="A177" t="s">
        <v>319</v>
      </c>
      <c r="E177" s="2">
        <v>0</v>
      </c>
      <c r="F177" s="2">
        <v>8379</v>
      </c>
      <c r="G177" s="2">
        <v>59746</v>
      </c>
      <c r="H177" s="2">
        <v>107049</v>
      </c>
      <c r="I177" s="2">
        <v>99891</v>
      </c>
      <c r="J177" s="2">
        <v>22462</v>
      </c>
    </row>
    <row r="178" spans="1:10">
      <c r="A178" t="s">
        <v>320</v>
      </c>
      <c r="E178" s="2">
        <v>53000</v>
      </c>
      <c r="F178" s="2">
        <v>30916</v>
      </c>
      <c r="G178" s="2">
        <v>50013</v>
      </c>
      <c r="H178" s="2">
        <v>44602</v>
      </c>
      <c r="I178" s="2">
        <v>58066</v>
      </c>
      <c r="J178" s="2">
        <v>31462</v>
      </c>
    </row>
    <row r="179" spans="1:10">
      <c r="A179" t="s">
        <v>228</v>
      </c>
      <c r="E179" s="2">
        <v>56000</v>
      </c>
      <c r="F179" s="2">
        <v>44920</v>
      </c>
      <c r="G179" s="2">
        <v>35908</v>
      </c>
      <c r="H179" s="2">
        <v>18502</v>
      </c>
      <c r="I179" s="2">
        <v>16872</v>
      </c>
      <c r="J179" s="2">
        <v>32032</v>
      </c>
    </row>
    <row r="180" spans="1:10">
      <c r="A180" t="s">
        <v>332</v>
      </c>
      <c r="E180" s="2">
        <f t="shared" ref="E180" si="81">SUM(E173:E179)</f>
        <v>1160000</v>
      </c>
      <c r="F180" s="2">
        <f>SUM(F173:F179)</f>
        <v>955842</v>
      </c>
      <c r="G180" s="2">
        <f t="shared" ref="G180:J180" si="82">SUM(G173:G179)</f>
        <v>980252</v>
      </c>
      <c r="H180" s="2">
        <f t="shared" si="82"/>
        <v>928574</v>
      </c>
      <c r="I180" s="2">
        <f t="shared" si="82"/>
        <v>924858</v>
      </c>
      <c r="J180" s="2">
        <f t="shared" si="82"/>
        <v>765646</v>
      </c>
    </row>
    <row r="182" spans="1:10">
      <c r="A182" t="s">
        <v>321</v>
      </c>
    </row>
    <row r="183" spans="1:10">
      <c r="A183" t="s">
        <v>322</v>
      </c>
      <c r="E183" s="2">
        <v>141000</v>
      </c>
      <c r="F183" s="2">
        <v>137199</v>
      </c>
      <c r="G183" s="2">
        <v>132295</v>
      </c>
      <c r="H183" s="2">
        <v>129953</v>
      </c>
      <c r="I183" s="2">
        <v>128286</v>
      </c>
      <c r="J183" s="2">
        <v>156976</v>
      </c>
    </row>
    <row r="184" spans="1:10">
      <c r="A184" t="s">
        <v>323</v>
      </c>
      <c r="E184" s="2">
        <v>705000</v>
      </c>
      <c r="F184" s="2">
        <v>680623</v>
      </c>
      <c r="G184" s="2">
        <v>659249</v>
      </c>
      <c r="H184" s="2">
        <v>623015</v>
      </c>
      <c r="I184" s="2">
        <v>565301</v>
      </c>
      <c r="J184" s="2">
        <v>598802</v>
      </c>
    </row>
    <row r="185" spans="1:10">
      <c r="A185" t="s">
        <v>324</v>
      </c>
      <c r="E185" s="2">
        <v>3070000</v>
      </c>
      <c r="F185" s="2">
        <v>2969411</v>
      </c>
      <c r="G185" s="2">
        <v>3006140</v>
      </c>
      <c r="H185" s="2">
        <v>2944178</v>
      </c>
      <c r="I185" s="2">
        <v>2665525</v>
      </c>
      <c r="J185" s="2">
        <v>2766548</v>
      </c>
    </row>
    <row r="186" spans="1:10">
      <c r="A186" t="s">
        <v>325</v>
      </c>
      <c r="E186" s="2">
        <v>8516000</v>
      </c>
      <c r="F186" s="2">
        <v>7969759</v>
      </c>
      <c r="G186" s="2">
        <v>7489208</v>
      </c>
      <c r="H186" s="2">
        <v>7033958</v>
      </c>
      <c r="I186" s="2">
        <v>6632828</v>
      </c>
      <c r="J186" s="2">
        <v>6682273</v>
      </c>
    </row>
    <row r="187" spans="1:10">
      <c r="A187" t="s">
        <v>326</v>
      </c>
      <c r="E187" s="2">
        <v>3250000</v>
      </c>
      <c r="F187" s="2">
        <v>3062568</v>
      </c>
      <c r="G187" s="2">
        <v>2898293</v>
      </c>
      <c r="H187" s="2">
        <v>2729679</v>
      </c>
      <c r="I187" s="2">
        <v>2539696</v>
      </c>
      <c r="J187" s="2">
        <v>2515234</v>
      </c>
    </row>
    <row r="188" spans="1:10">
      <c r="A188" t="s">
        <v>327</v>
      </c>
      <c r="E188" s="2">
        <v>1227000</v>
      </c>
      <c r="F188" s="2">
        <v>1035857</v>
      </c>
      <c r="G188" s="2">
        <v>995186</v>
      </c>
      <c r="H188" s="2">
        <v>865992</v>
      </c>
      <c r="I188" s="2">
        <v>693880</v>
      </c>
      <c r="J188" s="2">
        <v>692717</v>
      </c>
    </row>
    <row r="189" spans="1:10">
      <c r="E189" s="2"/>
      <c r="F189" s="2"/>
      <c r="G189" s="2"/>
      <c r="H189" s="2"/>
      <c r="I189" s="2"/>
      <c r="J189" s="2"/>
    </row>
    <row r="190" spans="1:10">
      <c r="A190" t="s">
        <v>228</v>
      </c>
      <c r="E190" s="2">
        <f>E191+E192</f>
        <v>786000</v>
      </c>
      <c r="F190" s="2">
        <v>739963</v>
      </c>
      <c r="G190" s="2">
        <v>683112</v>
      </c>
      <c r="H190" s="2">
        <v>565894</v>
      </c>
      <c r="I190" s="2">
        <v>546002</v>
      </c>
      <c r="J190" s="2">
        <v>735917</v>
      </c>
    </row>
    <row r="191" spans="1:10">
      <c r="A191" t="s">
        <v>330</v>
      </c>
      <c r="E191" s="2">
        <v>313000</v>
      </c>
      <c r="F191" s="2">
        <v>281000</v>
      </c>
      <c r="G191" s="2"/>
      <c r="H191" s="2"/>
      <c r="I191" s="2"/>
      <c r="J191" s="2"/>
    </row>
    <row r="192" spans="1:10">
      <c r="A192" t="s">
        <v>331</v>
      </c>
      <c r="E192">
        <v>473000</v>
      </c>
      <c r="F192" s="2">
        <v>399000</v>
      </c>
    </row>
    <row r="193" spans="1:10">
      <c r="A193" t="s">
        <v>202</v>
      </c>
      <c r="E193" s="8">
        <f>SUM(E183:E190)</f>
        <v>17695000</v>
      </c>
      <c r="F193" s="8">
        <f t="shared" ref="F193:J193" si="83">SUM(F183:F190)</f>
        <v>16595380</v>
      </c>
      <c r="G193" s="8">
        <f t="shared" si="83"/>
        <v>15863483</v>
      </c>
      <c r="H193" s="8">
        <f t="shared" si="83"/>
        <v>14892669</v>
      </c>
      <c r="I193" s="8">
        <f t="shared" si="83"/>
        <v>13771518</v>
      </c>
      <c r="J193" s="8">
        <f t="shared" si="83"/>
        <v>14148467</v>
      </c>
    </row>
    <row r="194" spans="1:10">
      <c r="F194" s="2"/>
    </row>
    <row r="195" spans="1:10">
      <c r="A195" t="s">
        <v>328</v>
      </c>
    </row>
    <row r="196" spans="1:10">
      <c r="A196" t="s">
        <v>315</v>
      </c>
      <c r="C196" s="27">
        <f t="shared" ref="C196:C199" si="84">AVERAGE(E196,F196,G196)</f>
        <v>5.9361586713364063E-2</v>
      </c>
      <c r="D196" s="27">
        <f t="shared" ref="D196:D199" si="85">AVERAGE(E196,F196,G196,H196,I196)</f>
        <v>5.439045325531322E-2</v>
      </c>
      <c r="E196" s="30">
        <f>E173/E186</f>
        <v>6.1883513386566461E-2</v>
      </c>
      <c r="F196" s="30">
        <f>F173/F186</f>
        <v>5.8057715421507727E-2</v>
      </c>
      <c r="G196" s="30">
        <f>G173/G186</f>
        <v>5.8143531332018016E-2</v>
      </c>
      <c r="H196" s="30">
        <f t="shared" ref="H196:J196" si="86">H173/H186</f>
        <v>4.8854428758317865E-2</v>
      </c>
      <c r="I196" s="30">
        <f t="shared" si="86"/>
        <v>4.5013077378156047E-2</v>
      </c>
      <c r="J196" s="30">
        <f t="shared" si="86"/>
        <v>4.4790597450897321E-2</v>
      </c>
    </row>
    <row r="197" spans="1:10">
      <c r="A197" t="s">
        <v>316</v>
      </c>
      <c r="C197" s="27">
        <f t="shared" si="84"/>
        <v>3.5502679601124458E-2</v>
      </c>
      <c r="D197" s="27">
        <f t="shared" si="85"/>
        <v>4.5069917257054636E-2</v>
      </c>
      <c r="E197" s="30">
        <f>E174/E185</f>
        <v>4.4299674267100977E-2</v>
      </c>
      <c r="F197" s="30">
        <f>F174/F185</f>
        <v>3.2509814235887183E-2</v>
      </c>
      <c r="G197" s="30">
        <f>G174/G185</f>
        <v>2.969855030038521E-2</v>
      </c>
      <c r="H197" s="30">
        <f t="shared" ref="H197:J197" si="87">H174/H185</f>
        <v>4.6896621060275569E-2</v>
      </c>
      <c r="I197" s="30">
        <f t="shared" si="87"/>
        <v>7.1944926421624256E-2</v>
      </c>
      <c r="J197" s="30">
        <f t="shared" si="87"/>
        <v>4.8245322329487868E-2</v>
      </c>
    </row>
    <row r="198" spans="1:10">
      <c r="A198" t="s">
        <v>317</v>
      </c>
      <c r="C198" s="27">
        <f t="shared" si="84"/>
        <v>6.0991919268709942E-2</v>
      </c>
      <c r="D198" s="27">
        <f t="shared" si="85"/>
        <v>6.3017924945711359E-2</v>
      </c>
      <c r="E198" s="30">
        <f t="shared" ref="E198:G199" si="88">E175/E187</f>
        <v>6.5846153846153846E-2</v>
      </c>
      <c r="F198" s="30">
        <f t="shared" si="88"/>
        <v>5.5571990564780932E-2</v>
      </c>
      <c r="G198" s="30">
        <f t="shared" si="88"/>
        <v>6.1557613395195034E-2</v>
      </c>
      <c r="H198" s="30">
        <f t="shared" ref="H198:J198" si="89">H175/H187</f>
        <v>6.2957952198775022E-2</v>
      </c>
      <c r="I198" s="30">
        <f t="shared" si="89"/>
        <v>6.9155914723651971E-2</v>
      </c>
      <c r="J198" s="30">
        <f t="shared" si="89"/>
        <v>6.2810060614638633E-2</v>
      </c>
    </row>
    <row r="199" spans="1:10">
      <c r="A199" t="s">
        <v>318</v>
      </c>
      <c r="C199" s="27">
        <f t="shared" si="84"/>
        <v>0.13705400368800361</v>
      </c>
      <c r="D199" s="27">
        <f t="shared" si="85"/>
        <v>0.1306770153797458</v>
      </c>
      <c r="E199" s="30">
        <f t="shared" si="88"/>
        <v>0.14180929095354522</v>
      </c>
      <c r="F199" s="30">
        <f t="shared" si="88"/>
        <v>0.13727087812313862</v>
      </c>
      <c r="G199" s="30">
        <f t="shared" si="88"/>
        <v>0.132081841987327</v>
      </c>
      <c r="H199" s="30">
        <f t="shared" ref="H199:J199" si="90">H176/H188</f>
        <v>0.12107964045857236</v>
      </c>
      <c r="I199" s="30">
        <f t="shared" si="90"/>
        <v>0.12114342537614572</v>
      </c>
      <c r="J199" s="30">
        <f t="shared" si="90"/>
        <v>0.12838143137818187</v>
      </c>
    </row>
    <row r="200" spans="1:10">
      <c r="A200" t="s">
        <v>319</v>
      </c>
    </row>
    <row r="201" spans="1:10">
      <c r="A201" t="s">
        <v>320</v>
      </c>
      <c r="C201" s="27">
        <f t="shared" ref="C201:C202" si="91">AVERAGE(E201,F201,G201)</f>
        <v>6.54879971948676E-2</v>
      </c>
      <c r="D201" s="27">
        <f t="shared" ref="D201:D202" si="92">AVERAGE(E201,F201,G201,H201,I201)</f>
        <v>7.4154304575522606E-2</v>
      </c>
      <c r="E201" s="30">
        <f>E178/E184</f>
        <v>7.5177304964539005E-2</v>
      </c>
      <c r="F201" s="30">
        <f>F178/F184</f>
        <v>4.5423090315784218E-2</v>
      </c>
      <c r="G201" s="30">
        <f>G178/G184</f>
        <v>7.5863596304279565E-2</v>
      </c>
      <c r="H201" s="30">
        <f t="shared" ref="H201:J201" si="93">H178/H184</f>
        <v>7.1590571655578111E-2</v>
      </c>
      <c r="I201" s="30">
        <f t="shared" si="93"/>
        <v>0.10271695963743209</v>
      </c>
      <c r="J201" s="30">
        <f t="shared" si="93"/>
        <v>5.2541574677439286E-2</v>
      </c>
    </row>
    <row r="202" spans="1:10">
      <c r="A202" t="s">
        <v>228</v>
      </c>
      <c r="C202" s="27">
        <f t="shared" si="91"/>
        <v>6.1505958681964068E-2</v>
      </c>
      <c r="D202" s="27">
        <f t="shared" si="92"/>
        <v>4.9622806163299435E-2</v>
      </c>
      <c r="E202" s="30">
        <f>E179/E190</f>
        <v>7.124681933842239E-2</v>
      </c>
      <c r="F202" s="30">
        <f>F179/F190</f>
        <v>6.0705737989602181E-2</v>
      </c>
      <c r="G202" s="30">
        <f>G179/G190</f>
        <v>5.256531871786764E-2</v>
      </c>
      <c r="H202" s="30">
        <f t="shared" ref="H202:J202" si="94">H179/H190</f>
        <v>3.2695169059929953E-2</v>
      </c>
      <c r="I202" s="30">
        <f t="shared" si="94"/>
        <v>3.0900985710675052E-2</v>
      </c>
      <c r="J202" s="30">
        <f t="shared" si="94"/>
        <v>4.3526647706195125E-2</v>
      </c>
    </row>
    <row r="204" spans="1:10">
      <c r="A204" t="s">
        <v>202</v>
      </c>
      <c r="C204" s="27">
        <f t="shared" ref="C204" si="95">AVERAGE(E204,F204,G204)</f>
        <v>6.1648367338796729E-2</v>
      </c>
      <c r="D204" s="27">
        <f t="shared" ref="D204" si="96">AVERAGE(E204,F204,G204,H204,I204)</f>
        <v>6.2890696950820529E-2</v>
      </c>
      <c r="E204" s="30">
        <f>E180/E193</f>
        <v>6.555524159367053E-2</v>
      </c>
      <c r="F204" s="30">
        <f t="shared" ref="F204:J204" si="97">F180/F193</f>
        <v>5.7596873346678415E-2</v>
      </c>
      <c r="G204" s="30">
        <f t="shared" si="97"/>
        <v>6.1792987076041243E-2</v>
      </c>
      <c r="H204" s="30">
        <f t="shared" si="97"/>
        <v>6.2351080252975477E-2</v>
      </c>
      <c r="I204" s="30">
        <f t="shared" si="97"/>
        <v>6.7157302484736975E-2</v>
      </c>
      <c r="J204" s="30">
        <f t="shared" si="97"/>
        <v>5.4115120740642786E-2</v>
      </c>
    </row>
    <row r="208" spans="1:10">
      <c r="A208" t="s">
        <v>335</v>
      </c>
    </row>
    <row r="209" spans="1:6">
      <c r="A209" t="s">
        <v>336</v>
      </c>
      <c r="E209">
        <v>69.05</v>
      </c>
    </row>
    <row r="210" spans="1:6">
      <c r="E210">
        <v>28.25</v>
      </c>
    </row>
    <row r="211" spans="1:6">
      <c r="E211">
        <f>E209/E210</f>
        <v>2.4442477876106192</v>
      </c>
    </row>
    <row r="214" spans="1:6">
      <c r="A214" t="s">
        <v>337</v>
      </c>
      <c r="E214">
        <v>6544</v>
      </c>
      <c r="F214" t="s">
        <v>338</v>
      </c>
    </row>
    <row r="215" spans="1:6">
      <c r="E215">
        <v>178.00876500000001</v>
      </c>
      <c r="F215" t="s">
        <v>338</v>
      </c>
    </row>
    <row r="216" spans="1:6">
      <c r="E216">
        <f>E215*E209</f>
        <v>12291.50522325</v>
      </c>
    </row>
    <row r="217" spans="1:6">
      <c r="E217">
        <f>E216+E214</f>
        <v>18835.505223250002</v>
      </c>
    </row>
    <row r="218" spans="1:6">
      <c r="E218">
        <f>E217/E215</f>
        <v>105.8122347135547</v>
      </c>
    </row>
    <row r="219" spans="1:6">
      <c r="E219">
        <f>E218/E209</f>
        <v>1.5324002130855134</v>
      </c>
    </row>
    <row r="221" spans="1:6">
      <c r="E221" s="8">
        <f>E7/1000</f>
        <v>3159</v>
      </c>
    </row>
    <row r="222" spans="1:6">
      <c r="E222" s="22">
        <f>E221/E218</f>
        <v>29.854770656264453</v>
      </c>
    </row>
  </sheetData>
  <mergeCells count="1">
    <mergeCell ref="C4:D4"/>
  </mergeCells>
  <printOptions horizontalCentered="1"/>
  <pageMargins left="0.7" right="0.7" top="1.25" bottom="1" header="0.8" footer="0.8"/>
  <pageSetup scale="46" fitToHeight="5" orientation="portrait" r:id="rId1"/>
  <headerFooter>
    <oddHeader>&amp;Z&amp;F</oddHeader>
    <oddFooter>&amp;A</oddFooter>
  </headerFooter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X17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D11" sqref="D11"/>
    </sheetView>
  </sheetViews>
  <sheetFormatPr defaultRowHeight="15"/>
  <cols>
    <col min="1" max="1" width="9.140625" style="24"/>
    <col min="2" max="2" width="14.5703125" customWidth="1"/>
    <col min="3" max="3" width="54.140625" customWidth="1"/>
    <col min="4" max="4" width="12.7109375" customWidth="1"/>
    <col min="5" max="5" width="11.7109375" customWidth="1"/>
    <col min="6" max="6" width="13" customWidth="1"/>
    <col min="7" max="7" width="10" customWidth="1"/>
    <col min="8" max="8" width="17.140625" customWidth="1"/>
    <col min="11" max="11" width="13.28515625" style="2" bestFit="1" customWidth="1"/>
    <col min="12" max="12" width="13.28515625" style="3" customWidth="1"/>
    <col min="13" max="13" width="13.28515625" style="2" bestFit="1" customWidth="1"/>
    <col min="14" max="15" width="13.28515625" style="2" customWidth="1"/>
    <col min="16" max="16" width="13.28515625" style="2" bestFit="1" customWidth="1"/>
    <col min="17" max="17" width="13.28515625" style="2" customWidth="1"/>
    <col min="18" max="18" width="13.28515625" style="2" bestFit="1" customWidth="1"/>
    <col min="19" max="19" width="11.5703125" style="2" bestFit="1" customWidth="1"/>
    <col min="20" max="20" width="14.28515625" bestFit="1" customWidth="1"/>
    <col min="21" max="22" width="13.28515625" bestFit="1" customWidth="1"/>
    <col min="24" max="24" width="11.5703125" bestFit="1" customWidth="1"/>
  </cols>
  <sheetData>
    <row r="1" spans="1:24" s="1" customFormat="1" ht="30">
      <c r="A1" s="23" t="s">
        <v>154</v>
      </c>
      <c r="B1" s="1" t="s">
        <v>152</v>
      </c>
      <c r="C1" s="1" t="s">
        <v>153</v>
      </c>
      <c r="D1" s="19" t="s">
        <v>155</v>
      </c>
      <c r="E1" s="19" t="s">
        <v>159</v>
      </c>
      <c r="F1" s="1" t="s">
        <v>162</v>
      </c>
      <c r="G1" s="19" t="s">
        <v>160</v>
      </c>
      <c r="H1" s="1" t="s">
        <v>163</v>
      </c>
      <c r="I1" s="1" t="s">
        <v>185</v>
      </c>
      <c r="J1" s="1" t="s">
        <v>183</v>
      </c>
      <c r="K1" s="19" t="s">
        <v>211</v>
      </c>
      <c r="L1" s="25" t="s">
        <v>61</v>
      </c>
      <c r="M1" s="19" t="s">
        <v>208</v>
      </c>
      <c r="N1" s="19" t="s">
        <v>213</v>
      </c>
      <c r="O1" s="19" t="s">
        <v>75</v>
      </c>
      <c r="P1" s="19" t="s">
        <v>209</v>
      </c>
      <c r="Q1" s="19" t="s">
        <v>217</v>
      </c>
      <c r="R1" s="19" t="s">
        <v>210</v>
      </c>
      <c r="S1" s="19" t="s">
        <v>102</v>
      </c>
      <c r="T1" s="1" t="s">
        <v>218</v>
      </c>
      <c r="U1" s="1" t="s">
        <v>219</v>
      </c>
      <c r="V1" s="1" t="s">
        <v>220</v>
      </c>
      <c r="X1" s="1" t="s">
        <v>221</v>
      </c>
    </row>
    <row r="2" spans="1:24">
      <c r="D2" s="2"/>
      <c r="E2" s="2"/>
      <c r="G2" s="2"/>
    </row>
    <row r="3" spans="1:24">
      <c r="A3" s="24">
        <v>2010</v>
      </c>
      <c r="C3" t="s">
        <v>207</v>
      </c>
      <c r="D3" s="2">
        <v>1642000</v>
      </c>
      <c r="E3" s="2"/>
      <c r="G3" s="2"/>
      <c r="K3" s="4">
        <f>L3-P3</f>
        <v>1642000</v>
      </c>
      <c r="L3" s="3">
        <v>3064000</v>
      </c>
      <c r="M3" s="2">
        <v>3064000</v>
      </c>
      <c r="P3" s="2">
        <v>1422000</v>
      </c>
      <c r="R3" s="2">
        <v>1109000</v>
      </c>
      <c r="S3" s="2">
        <v>313000</v>
      </c>
    </row>
    <row r="4" spans="1:24">
      <c r="D4" s="2"/>
      <c r="E4" s="2"/>
      <c r="G4" s="2"/>
    </row>
    <row r="5" spans="1:24">
      <c r="A5" s="24">
        <v>2011</v>
      </c>
      <c r="C5" t="s">
        <v>212</v>
      </c>
      <c r="D5" s="2">
        <v>7220000</v>
      </c>
      <c r="E5" s="2"/>
      <c r="G5" s="2"/>
      <c r="K5" s="4">
        <f>L5-P5</f>
        <v>7974000</v>
      </c>
      <c r="L5" s="3">
        <v>12919000</v>
      </c>
      <c r="M5" s="2">
        <v>12814000</v>
      </c>
      <c r="N5" s="2">
        <f>12919-12814</f>
        <v>105</v>
      </c>
      <c r="P5" s="2">
        <v>4945000</v>
      </c>
      <c r="R5" s="2">
        <v>3847000</v>
      </c>
    </row>
    <row r="7" spans="1:24">
      <c r="A7" s="24">
        <v>2012</v>
      </c>
      <c r="C7" t="s">
        <v>214</v>
      </c>
      <c r="D7" s="2">
        <v>44560000</v>
      </c>
      <c r="E7" s="2"/>
      <c r="G7" s="2"/>
      <c r="K7" s="4"/>
    </row>
    <row r="9" spans="1:24">
      <c r="A9" s="26" t="s">
        <v>216</v>
      </c>
      <c r="C9" t="s">
        <v>215</v>
      </c>
      <c r="D9" s="2">
        <f>36688000+X9</f>
        <v>100630000</v>
      </c>
      <c r="E9" s="2">
        <v>50000</v>
      </c>
      <c r="F9">
        <f>D9/E9</f>
        <v>2012.6</v>
      </c>
      <c r="K9" s="4">
        <f>L9-P9</f>
        <v>36688000</v>
      </c>
      <c r="L9" s="3">
        <v>102727000</v>
      </c>
      <c r="M9" s="2">
        <v>59139000</v>
      </c>
      <c r="N9" s="2">
        <v>27400000</v>
      </c>
      <c r="O9" s="2">
        <v>12181000</v>
      </c>
      <c r="P9" s="2">
        <v>66039000</v>
      </c>
      <c r="Q9" s="2">
        <v>25215000</v>
      </c>
      <c r="R9" s="2">
        <v>1060000</v>
      </c>
      <c r="S9" s="2">
        <v>11885000</v>
      </c>
      <c r="T9" s="2">
        <v>15424000</v>
      </c>
      <c r="U9" s="2">
        <v>9710000</v>
      </c>
      <c r="V9" s="2">
        <v>1708000</v>
      </c>
      <c r="X9" s="8">
        <f>Q9+S9+T9+U9+V9</f>
        <v>63942000</v>
      </c>
    </row>
    <row r="11" spans="1:24">
      <c r="A11" s="24">
        <v>2012</v>
      </c>
      <c r="C11" t="s">
        <v>222</v>
      </c>
      <c r="K11" s="4">
        <f>L11-P11</f>
        <v>7872000</v>
      </c>
      <c r="L11" s="3">
        <v>12514000</v>
      </c>
      <c r="P11" s="2">
        <v>4642000</v>
      </c>
    </row>
    <row r="13" spans="1:24">
      <c r="A13" s="24">
        <v>2013</v>
      </c>
      <c r="C13" t="s">
        <v>158</v>
      </c>
      <c r="D13" s="2">
        <v>23700000</v>
      </c>
      <c r="E13" s="2">
        <v>30000</v>
      </c>
      <c r="G13" s="2"/>
      <c r="K13" s="4">
        <f>L13-P13</f>
        <v>24000000</v>
      </c>
      <c r="L13" s="3">
        <v>67000000</v>
      </c>
      <c r="M13" s="2">
        <v>67000000</v>
      </c>
      <c r="P13" s="2">
        <v>43000000</v>
      </c>
      <c r="Q13" s="2">
        <v>13000000</v>
      </c>
      <c r="R13" s="2">
        <v>26000000</v>
      </c>
      <c r="S13" s="2">
        <v>313000</v>
      </c>
    </row>
    <row r="14" spans="1:24">
      <c r="C14" t="s">
        <v>329</v>
      </c>
    </row>
    <row r="15" spans="1:24">
      <c r="A15" s="24">
        <v>2014</v>
      </c>
      <c r="C15" t="s">
        <v>223</v>
      </c>
      <c r="D15" s="2">
        <v>8900000</v>
      </c>
      <c r="E15" s="2"/>
      <c r="G15" s="2"/>
      <c r="K15" s="4">
        <f>L15-P15</f>
        <v>9000000</v>
      </c>
      <c r="L15" s="3">
        <v>17000000</v>
      </c>
      <c r="M15" s="2">
        <v>17000000</v>
      </c>
      <c r="P15" s="2">
        <v>8000000</v>
      </c>
      <c r="Q15" s="2">
        <v>2000000</v>
      </c>
      <c r="R15" s="2">
        <v>5000000</v>
      </c>
    </row>
    <row r="17" spans="1:18">
      <c r="A17" s="24">
        <v>2015</v>
      </c>
      <c r="C17" t="s">
        <v>156</v>
      </c>
      <c r="D17" s="2">
        <v>64000000</v>
      </c>
      <c r="E17" s="2"/>
      <c r="G17" s="2"/>
      <c r="K17" s="4">
        <f>L17-P17</f>
        <v>64000000</v>
      </c>
      <c r="L17" s="3">
        <v>90000000</v>
      </c>
      <c r="M17" s="2">
        <v>90000000</v>
      </c>
      <c r="P17" s="2">
        <v>26000000</v>
      </c>
      <c r="Q17" s="2">
        <v>1000000</v>
      </c>
      <c r="R17" s="2">
        <v>10000000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40"/>
  <sheetViews>
    <sheetView workbookViewId="0">
      <selection activeCell="A2" sqref="A2:XFD6"/>
    </sheetView>
  </sheetViews>
  <sheetFormatPr defaultRowHeight="15"/>
  <cols>
    <col min="2" max="2" width="23" customWidth="1"/>
    <col min="3" max="3" width="53.42578125" customWidth="1"/>
    <col min="4" max="4" width="15.28515625" style="2" customWidth="1"/>
    <col min="5" max="5" width="9.5703125" style="2" bestFit="1" customWidth="1"/>
    <col min="6" max="6" width="9.5703125" bestFit="1" customWidth="1"/>
    <col min="7" max="7" width="13.28515625" style="2" bestFit="1" customWidth="1"/>
  </cols>
  <sheetData>
    <row r="2" spans="1:10" s="1" customFormat="1" ht="45">
      <c r="A2" s="1" t="s">
        <v>154</v>
      </c>
      <c r="B2" s="1" t="s">
        <v>152</v>
      </c>
      <c r="C2" s="1" t="s">
        <v>153</v>
      </c>
      <c r="D2" s="19" t="s">
        <v>155</v>
      </c>
      <c r="E2" s="19" t="s">
        <v>159</v>
      </c>
      <c r="F2" s="1" t="s">
        <v>162</v>
      </c>
      <c r="G2" s="19" t="s">
        <v>160</v>
      </c>
      <c r="H2" s="1" t="s">
        <v>163</v>
      </c>
      <c r="I2" s="1" t="s">
        <v>185</v>
      </c>
      <c r="J2" s="1" t="s">
        <v>183</v>
      </c>
    </row>
    <row r="4" spans="1:10">
      <c r="A4" s="17">
        <v>40695</v>
      </c>
      <c r="C4" t="s">
        <v>169</v>
      </c>
      <c r="D4" s="2">
        <v>6245000</v>
      </c>
      <c r="E4" s="2">
        <v>5300</v>
      </c>
    </row>
    <row r="6" spans="1:10">
      <c r="A6">
        <v>2011</v>
      </c>
      <c r="C6" t="s">
        <v>170</v>
      </c>
      <c r="D6" s="2">
        <v>2270000</v>
      </c>
    </row>
    <row r="10" spans="1:10">
      <c r="A10" s="17">
        <v>41030</v>
      </c>
      <c r="C10" t="s">
        <v>166</v>
      </c>
      <c r="D10" s="2">
        <f>102154000+14281000</f>
        <v>116435000</v>
      </c>
      <c r="E10" s="2">
        <v>59000</v>
      </c>
      <c r="F10">
        <f>D10/E10</f>
        <v>1973.4745762711864</v>
      </c>
      <c r="G10" s="2">
        <v>27981000</v>
      </c>
      <c r="H10">
        <f>D10/G10</f>
        <v>4.1612165397948608</v>
      </c>
      <c r="I10">
        <v>3265000</v>
      </c>
    </row>
    <row r="12" spans="1:10">
      <c r="A12">
        <v>2012</v>
      </c>
      <c r="C12" t="s">
        <v>167</v>
      </c>
      <c r="D12" s="2">
        <v>19094000</v>
      </c>
    </row>
    <row r="13" spans="1:10" s="7" customFormat="1">
      <c r="A13" s="7" t="s">
        <v>171</v>
      </c>
      <c r="D13" s="11"/>
      <c r="E13" s="11"/>
      <c r="G13" s="11"/>
    </row>
    <row r="14" spans="1:10">
      <c r="A14">
        <v>2013</v>
      </c>
      <c r="C14" t="s">
        <v>158</v>
      </c>
      <c r="D14" s="2">
        <v>14997000</v>
      </c>
      <c r="E14" s="2">
        <v>12341</v>
      </c>
      <c r="F14">
        <f>D14/E14</f>
        <v>1215.2175674580667</v>
      </c>
      <c r="G14" s="2">
        <v>2103000</v>
      </c>
      <c r="H14">
        <f>D14/G14</f>
        <v>7.1312410841654783</v>
      </c>
    </row>
    <row r="15" spans="1:10">
      <c r="A15" s="7" t="s">
        <v>172</v>
      </c>
    </row>
    <row r="17" spans="1:12">
      <c r="A17">
        <v>2014</v>
      </c>
      <c r="C17" t="s">
        <v>157</v>
      </c>
      <c r="D17" s="2">
        <v>10530000</v>
      </c>
      <c r="E17" s="2">
        <v>12120</v>
      </c>
      <c r="F17">
        <f>D17/E17</f>
        <v>868.81188118811883</v>
      </c>
    </row>
    <row r="19" spans="1:12">
      <c r="A19" s="17">
        <v>42095</v>
      </c>
      <c r="B19" t="s">
        <v>151</v>
      </c>
      <c r="C19" t="s">
        <v>168</v>
      </c>
      <c r="D19" s="2">
        <v>23079000</v>
      </c>
      <c r="E19" s="2">
        <v>7400</v>
      </c>
      <c r="F19" s="18">
        <f>D19/E19</f>
        <v>3118.7837837837837</v>
      </c>
    </row>
    <row r="21" spans="1:12">
      <c r="A21">
        <v>2015</v>
      </c>
      <c r="C21" t="s">
        <v>156</v>
      </c>
      <c r="D21" s="2">
        <v>5210000</v>
      </c>
    </row>
    <row r="22" spans="1:12" s="7" customFormat="1">
      <c r="A22" s="7" t="s">
        <v>161</v>
      </c>
      <c r="D22" s="11">
        <f>D19+D21</f>
        <v>28289000</v>
      </c>
      <c r="E22" s="11">
        <v>17747</v>
      </c>
      <c r="F22">
        <f>D22/E22</f>
        <v>1594.0158900095792</v>
      </c>
      <c r="G22" s="11">
        <v>6662000</v>
      </c>
      <c r="H22" s="7">
        <f>D22/G22</f>
        <v>4.246322425697989</v>
      </c>
    </row>
    <row r="24" spans="1:12">
      <c r="A24" s="17">
        <v>42370</v>
      </c>
      <c r="B24" t="s">
        <v>164</v>
      </c>
      <c r="C24" t="s">
        <v>165</v>
      </c>
      <c r="D24" s="2">
        <v>16750000</v>
      </c>
      <c r="E24" s="2">
        <v>3868</v>
      </c>
      <c r="F24">
        <f>D24/E24</f>
        <v>4330.4033092037225</v>
      </c>
      <c r="J24">
        <v>11000</v>
      </c>
    </row>
    <row r="26" spans="1:12">
      <c r="A26" t="s">
        <v>177</v>
      </c>
      <c r="C26" t="s">
        <v>173</v>
      </c>
      <c r="E26" s="2">
        <v>123</v>
      </c>
      <c r="J26">
        <v>400</v>
      </c>
    </row>
    <row r="28" spans="1:12">
      <c r="A28" t="s">
        <v>177</v>
      </c>
      <c r="C28" t="s">
        <v>174</v>
      </c>
      <c r="E28" s="2">
        <v>525</v>
      </c>
      <c r="J28">
        <v>1600</v>
      </c>
      <c r="L28" t="s">
        <v>184</v>
      </c>
    </row>
    <row r="30" spans="1:12">
      <c r="A30" t="s">
        <v>177</v>
      </c>
      <c r="C30" t="s">
        <v>175</v>
      </c>
      <c r="E30" s="2">
        <v>72</v>
      </c>
    </row>
    <row r="32" spans="1:12">
      <c r="A32" t="s">
        <v>177</v>
      </c>
      <c r="C32" t="s">
        <v>176</v>
      </c>
      <c r="E32" s="2">
        <v>62</v>
      </c>
      <c r="L32" t="s">
        <v>184</v>
      </c>
    </row>
    <row r="34" spans="1:7">
      <c r="A34" t="s">
        <v>178</v>
      </c>
      <c r="C34" t="s">
        <v>179</v>
      </c>
      <c r="E34" s="2">
        <v>293</v>
      </c>
    </row>
    <row r="36" spans="1:7">
      <c r="A36" t="s">
        <v>178</v>
      </c>
      <c r="C36" t="s">
        <v>180</v>
      </c>
      <c r="E36" s="2">
        <v>151</v>
      </c>
    </row>
    <row r="38" spans="1:7">
      <c r="A38" t="s">
        <v>178</v>
      </c>
      <c r="C38" t="s">
        <v>181</v>
      </c>
      <c r="E38" s="2">
        <v>30</v>
      </c>
    </row>
    <row r="40" spans="1:7" s="7" customFormat="1">
      <c r="A40" s="7" t="s">
        <v>182</v>
      </c>
      <c r="D40" s="11"/>
      <c r="E40" s="11">
        <v>5395</v>
      </c>
      <c r="G40" s="11"/>
    </row>
  </sheetData>
  <pageMargins left="0.7" right="0.7" top="0.75" bottom="0.75" header="0.3" footer="0.3"/>
  <pageSetup scale="48" orientation="portrait" r:id="rId1"/>
  <headerFooter>
    <oddHeader>&amp;Z&amp;F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44"/>
  <sheetViews>
    <sheetView topLeftCell="A7" workbookViewId="0">
      <selection activeCell="G18" sqref="G18"/>
    </sheetView>
  </sheetViews>
  <sheetFormatPr defaultRowHeight="15"/>
  <cols>
    <col min="1" max="1" width="22.140625" customWidth="1"/>
    <col min="2" max="2" width="13" customWidth="1"/>
    <col min="3" max="3" width="11.5703125" style="2" bestFit="1" customWidth="1"/>
    <col min="5" max="5" width="10.5703125" bestFit="1" customWidth="1"/>
  </cols>
  <sheetData>
    <row r="1" spans="1:3">
      <c r="A1" t="s">
        <v>205</v>
      </c>
    </row>
    <row r="3" spans="1:3">
      <c r="A3" t="s">
        <v>195</v>
      </c>
      <c r="C3" s="2">
        <v>102154</v>
      </c>
    </row>
    <row r="7" spans="1:3">
      <c r="A7" t="s">
        <v>159</v>
      </c>
      <c r="C7" s="2">
        <v>59000</v>
      </c>
    </row>
    <row r="8" spans="1:3">
      <c r="A8" t="s">
        <v>162</v>
      </c>
      <c r="C8" s="21">
        <f>C3*1000/C7</f>
        <v>1731.4237288135594</v>
      </c>
    </row>
    <row r="10" spans="1:3">
      <c r="A10" t="s">
        <v>186</v>
      </c>
      <c r="C10" s="20" t="s">
        <v>194</v>
      </c>
    </row>
    <row r="11" spans="1:3">
      <c r="A11" t="s">
        <v>206</v>
      </c>
    </row>
    <row r="12" spans="1:3">
      <c r="A12" t="s">
        <v>187</v>
      </c>
      <c r="C12" s="2">
        <v>119595</v>
      </c>
    </row>
    <row r="13" spans="1:3">
      <c r="A13" t="s">
        <v>137</v>
      </c>
      <c r="C13" s="2">
        <v>6852</v>
      </c>
    </row>
    <row r="14" spans="1:3">
      <c r="A14" t="s">
        <v>188</v>
      </c>
      <c r="C14" s="2">
        <v>7525</v>
      </c>
    </row>
    <row r="15" spans="1:3">
      <c r="A15" t="s">
        <v>75</v>
      </c>
      <c r="C15" s="2">
        <v>1679</v>
      </c>
    </row>
    <row r="16" spans="1:3">
      <c r="A16" t="s">
        <v>189</v>
      </c>
      <c r="C16" s="2">
        <f>SUM(C12:C15)</f>
        <v>135651</v>
      </c>
    </row>
    <row r="17" spans="1:5">
      <c r="A17" t="s">
        <v>138</v>
      </c>
      <c r="C17" s="2">
        <v>3409</v>
      </c>
    </row>
    <row r="18" spans="1:5">
      <c r="A18" t="s">
        <v>190</v>
      </c>
      <c r="C18" s="2">
        <v>14233</v>
      </c>
    </row>
    <row r="19" spans="1:5">
      <c r="A19" t="s">
        <v>191</v>
      </c>
      <c r="C19" s="2">
        <v>15855</v>
      </c>
    </row>
    <row r="20" spans="1:5">
      <c r="A20" t="s">
        <v>192</v>
      </c>
      <c r="C20" s="2">
        <f>SUM(C17:C19)</f>
        <v>33497</v>
      </c>
    </row>
    <row r="21" spans="1:5">
      <c r="A21" t="s">
        <v>193</v>
      </c>
      <c r="C21" s="2">
        <f>C16-C20</f>
        <v>102154</v>
      </c>
    </row>
    <row r="24" spans="1:5">
      <c r="B24">
        <v>2011</v>
      </c>
    </row>
    <row r="25" spans="1:5">
      <c r="A25" t="s">
        <v>160</v>
      </c>
      <c r="B25" s="14">
        <v>37986.616000000002</v>
      </c>
      <c r="C25" s="2">
        <v>27981</v>
      </c>
      <c r="D25" s="22">
        <f>C32</f>
        <v>0.66666666666666674</v>
      </c>
      <c r="E25" s="18">
        <f>C25/D25</f>
        <v>41971.499999999993</v>
      </c>
    </row>
    <row r="26" spans="1:5">
      <c r="A26" t="s">
        <v>196</v>
      </c>
      <c r="B26">
        <f>C3/B25</f>
        <v>2.689210326079059</v>
      </c>
      <c r="C26" s="14">
        <f>C3/E25</f>
        <v>2.4338896632238547</v>
      </c>
      <c r="D26" s="22"/>
      <c r="E26" s="18"/>
    </row>
    <row r="27" spans="1:5">
      <c r="D27" s="22"/>
      <c r="E27" s="18"/>
    </row>
    <row r="28" spans="1:5">
      <c r="D28" s="22"/>
      <c r="E28" s="18"/>
    </row>
    <row r="29" spans="1:5">
      <c r="A29" t="s">
        <v>185</v>
      </c>
      <c r="B29" s="14">
        <v>3785.681</v>
      </c>
      <c r="C29" s="2">
        <v>3265</v>
      </c>
      <c r="D29" s="22">
        <f>D25</f>
        <v>0.66666666666666674</v>
      </c>
      <c r="E29" s="18">
        <f>C29/D29</f>
        <v>4897.4999999999991</v>
      </c>
    </row>
    <row r="30" spans="1:5">
      <c r="B30">
        <f>C3/B29</f>
        <v>26.984312729994947</v>
      </c>
      <c r="C30">
        <f>C3/E29</f>
        <v>20.858397141398676</v>
      </c>
    </row>
    <row r="31" spans="1:5">
      <c r="C31" s="21">
        <f>4/12</f>
        <v>0.33333333333333331</v>
      </c>
    </row>
    <row r="32" spans="1:5">
      <c r="C32" s="21">
        <f>1-C31</f>
        <v>0.66666666666666674</v>
      </c>
    </row>
    <row r="35" spans="1:2">
      <c r="A35" t="s">
        <v>197</v>
      </c>
      <c r="B35" s="18">
        <v>161921.304</v>
      </c>
    </row>
    <row r="36" spans="1:2">
      <c r="A36" t="s">
        <v>198</v>
      </c>
      <c r="B36" s="18">
        <v>261.07499999999999</v>
      </c>
    </row>
    <row r="37" spans="1:2">
      <c r="A37" t="s">
        <v>199</v>
      </c>
      <c r="B37" s="18">
        <v>76.730999999999995</v>
      </c>
    </row>
    <row r="38" spans="1:2">
      <c r="A38" t="s">
        <v>200</v>
      </c>
      <c r="B38" s="18">
        <v>5038.4769999999999</v>
      </c>
    </row>
    <row r="39" spans="1:2">
      <c r="A39" t="s">
        <v>201</v>
      </c>
      <c r="B39" s="18">
        <v>14534.713</v>
      </c>
    </row>
    <row r="40" spans="1:2">
      <c r="A40" t="s">
        <v>202</v>
      </c>
      <c r="B40" s="18">
        <f>SUM(B35:B39)</f>
        <v>181832.30000000002</v>
      </c>
    </row>
    <row r="41" spans="1:2">
      <c r="B41" s="18"/>
    </row>
    <row r="42" spans="1:2">
      <c r="A42" t="s">
        <v>203</v>
      </c>
      <c r="B42" s="18">
        <v>-54905.675999999999</v>
      </c>
    </row>
    <row r="43" spans="1:2">
      <c r="B43" s="18"/>
    </row>
    <row r="44" spans="1:2">
      <c r="A44" t="s">
        <v>204</v>
      </c>
      <c r="B44" s="18">
        <f>B40+B42</f>
        <v>126926.62400000001</v>
      </c>
    </row>
  </sheetData>
  <pageMargins left="0.7" right="0.7" top="0.75" bottom="0.75" header="0.3" footer="0.3"/>
  <pageSetup orientation="portrait" r:id="rId1"/>
  <headerFooter>
    <oddHeader>&amp;Z&amp;F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Sheet1</vt:lpstr>
      <vt:lpstr>Industry Statistics</vt:lpstr>
      <vt:lpstr>Aqua America</vt:lpstr>
      <vt:lpstr>American Water</vt:lpstr>
      <vt:lpstr>American Acquistions</vt:lpstr>
      <vt:lpstr>Aqua Acquistions</vt:lpstr>
      <vt:lpstr>Aqua's Acq of American Ohio</vt:lpstr>
      <vt:lpstr>Sheet6</vt:lpstr>
      <vt:lpstr>AmericanBalance</vt:lpstr>
      <vt:lpstr>AmericanIncome</vt:lpstr>
      <vt:lpstr>AmericanOperating_Statistics</vt:lpstr>
      <vt:lpstr>AquaBalance</vt:lpstr>
      <vt:lpstr>AquaIncome</vt:lpstr>
      <vt:lpstr>AquaOperating</vt:lpstr>
      <vt:lpstr>Balance_Sheet</vt:lpstr>
      <vt:lpstr>Income_Statement</vt:lpstr>
      <vt:lpstr>'American Water'!Print_Titles</vt:lpstr>
      <vt:lpstr>'Aqua America'!Print_Titles</vt:lpstr>
      <vt:lpstr>'Industry Statistics'!Print_Titles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2017-04-17T20:04:19Z</cp:lastPrinted>
  <dcterms:created xsi:type="dcterms:W3CDTF">2016-08-04T19:36:16Z</dcterms:created>
  <dcterms:modified xsi:type="dcterms:W3CDTF">2017-04-17T20:14:43Z</dcterms:modified>
</cp:coreProperties>
</file>