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11235" windowHeight="8895" activeTab="1"/>
  </bookViews>
  <sheets>
    <sheet name="raw demo" sheetId="1" r:id="rId1"/>
    <sheet name="Ex 1 2016 financials" sheetId="2" r:id="rId2"/>
    <sheet name="ex 2 demo" sheetId="8" r:id="rId3"/>
    <sheet name="Ex 1 2017 fin" sheetId="3" r:id="rId4"/>
    <sheet name="sewer water stats" sheetId="9" r:id="rId5"/>
  </sheets>
  <definedNames>
    <definedName name="_xlnm.Print_Area" localSheetId="1">'Ex 1 2016 financials'!$B$1:$F$70</definedName>
    <definedName name="_xlnm.Print_Area" localSheetId="3">'Ex 1 2017 fin'!$B$36:$F$100</definedName>
    <definedName name="_xlnm.Print_Area" localSheetId="2">'ex 2 demo'!$A$1:$I$29</definedName>
    <definedName name="SPWS_WBID">"325754895760417"</definedName>
    <definedName name="SPWS_WSID" localSheetId="1" hidden="1">"814792512565851"</definedName>
    <definedName name="SPWS_WSID" localSheetId="3" hidden="1">"152426760339737"</definedName>
    <definedName name="SPWS_WSID" localSheetId="2" hidden="1">"384041665327549"</definedName>
    <definedName name="SPWS_WSID" localSheetId="0" hidden="1">"275354195249081"</definedName>
    <definedName name="SPWS_WSID" localSheetId="4" hidden="1">"106809969171882"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3" l="1"/>
  <c r="F36" i="3"/>
  <c r="G34" i="9" l="1"/>
  <c r="C34" i="9"/>
  <c r="G31" i="9" l="1"/>
  <c r="E31" i="9"/>
  <c r="G28" i="9"/>
  <c r="G27" i="9"/>
  <c r="G26" i="9"/>
  <c r="E28" i="9"/>
  <c r="E27" i="9"/>
  <c r="E26" i="9"/>
  <c r="C28" i="9"/>
  <c r="G23" i="9"/>
  <c r="E23" i="9"/>
  <c r="C12" i="9"/>
  <c r="C10" i="9"/>
  <c r="C9" i="9"/>
  <c r="C8" i="9"/>
  <c r="C19" i="9"/>
  <c r="C18" i="9"/>
  <c r="C17" i="9"/>
  <c r="D118" i="3" l="1"/>
  <c r="C118" i="3"/>
  <c r="D117" i="3"/>
  <c r="C117" i="3"/>
  <c r="D112" i="3"/>
  <c r="C112" i="3"/>
  <c r="D107" i="3"/>
  <c r="C107" i="3"/>
  <c r="C111" i="3"/>
  <c r="C110" i="3"/>
  <c r="C109" i="3"/>
  <c r="C106" i="3"/>
  <c r="C105" i="3"/>
  <c r="C103" i="3"/>
  <c r="D111" i="3"/>
  <c r="D110" i="3"/>
  <c r="D109" i="3"/>
  <c r="D106" i="3"/>
  <c r="D105" i="3"/>
  <c r="D103" i="3"/>
  <c r="D96" i="3"/>
  <c r="D97" i="3" s="1"/>
  <c r="C96" i="3"/>
  <c r="C97" i="3" s="1"/>
  <c r="D74" i="3"/>
  <c r="C74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3" i="3"/>
  <c r="C72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3" i="3"/>
  <c r="D72" i="3"/>
  <c r="E111" i="3"/>
  <c r="E110" i="3"/>
  <c r="E109" i="3"/>
  <c r="E112" i="3" s="1"/>
  <c r="E106" i="3"/>
  <c r="E107" i="3" s="1"/>
  <c r="E105" i="3"/>
  <c r="E103" i="3"/>
  <c r="E96" i="3"/>
  <c r="E74" i="3"/>
  <c r="F64" i="3"/>
  <c r="F63" i="3"/>
  <c r="G50" i="3"/>
  <c r="C60" i="3"/>
  <c r="D60" i="3" s="1"/>
  <c r="E60" i="3" s="1"/>
  <c r="C59" i="3"/>
  <c r="D59" i="3" s="1"/>
  <c r="E59" i="3" s="1"/>
  <c r="D58" i="3"/>
  <c r="E58" i="3" s="1"/>
  <c r="C58" i="3"/>
  <c r="C57" i="3"/>
  <c r="D57" i="3" s="1"/>
  <c r="E57" i="3" s="1"/>
  <c r="E55" i="3"/>
  <c r="D55" i="3"/>
  <c r="C55" i="3"/>
  <c r="E50" i="3"/>
  <c r="E49" i="3"/>
  <c r="E48" i="3"/>
  <c r="E46" i="3"/>
  <c r="D51" i="3"/>
  <c r="E51" i="3" s="1"/>
  <c r="C51" i="3"/>
  <c r="E97" i="3" l="1"/>
  <c r="E117" i="3"/>
  <c r="E118" i="3" s="1"/>
  <c r="B20" i="8"/>
  <c r="F25" i="8"/>
  <c r="F24" i="8"/>
  <c r="C13" i="8"/>
  <c r="E13" i="8" s="1"/>
  <c r="C12" i="8"/>
  <c r="C14" i="8" s="1"/>
  <c r="G34" i="2"/>
  <c r="F35" i="2"/>
  <c r="F34" i="2"/>
  <c r="F2" i="2"/>
  <c r="F1" i="2"/>
  <c r="D18" i="2"/>
  <c r="D13" i="2"/>
  <c r="F13" i="8" l="1"/>
  <c r="E12" i="8"/>
  <c r="D12" i="8"/>
  <c r="D13" i="8"/>
  <c r="F12" i="8"/>
  <c r="U25" i="3" l="1"/>
  <c r="T26" i="3" s="1"/>
  <c r="E14" i="1"/>
  <c r="E11" i="1"/>
  <c r="O25" i="3" l="1"/>
  <c r="P25" i="3" s="1"/>
  <c r="D82" i="2"/>
  <c r="D81" i="2"/>
  <c r="D77" i="2"/>
  <c r="D80" i="2"/>
  <c r="D76" i="2"/>
  <c r="D74" i="2"/>
  <c r="D45" i="2"/>
  <c r="D24" i="2" s="1"/>
  <c r="D67" i="2"/>
  <c r="D25" i="2" s="1"/>
  <c r="L26" i="3"/>
  <c r="C26" i="3" s="1"/>
  <c r="D26" i="3" s="1"/>
  <c r="L25" i="3"/>
  <c r="K32" i="3" s="1"/>
  <c r="K27" i="3"/>
  <c r="K28" i="3"/>
  <c r="J28" i="3"/>
  <c r="J27" i="3"/>
  <c r="C19" i="3"/>
  <c r="F18" i="3"/>
  <c r="F16" i="3"/>
  <c r="D26" i="2" l="1"/>
  <c r="L27" i="3"/>
  <c r="K34" i="3" s="1"/>
  <c r="D78" i="2"/>
  <c r="C25" i="3"/>
  <c r="D25" i="3" s="1"/>
  <c r="G45" i="2" s="1"/>
  <c r="D83" i="2"/>
  <c r="D88" i="2"/>
  <c r="D89" i="2" s="1"/>
  <c r="L28" i="3"/>
  <c r="C28" i="3" s="1"/>
  <c r="D68" i="2"/>
  <c r="K29" i="3"/>
  <c r="J29" i="3"/>
  <c r="F19" i="3"/>
  <c r="C27" i="3" l="1"/>
  <c r="D27" i="3" s="1"/>
  <c r="Q25" i="3"/>
  <c r="F27" i="3"/>
  <c r="L29" i="3"/>
  <c r="F28" i="3"/>
  <c r="D28" i="3"/>
  <c r="G67" i="2" s="1"/>
  <c r="K35" i="3"/>
  <c r="C29" i="3"/>
  <c r="F29" i="3" s="1"/>
  <c r="D29" i="3" l="1"/>
</calcChain>
</file>

<file path=xl/sharedStrings.xml><?xml version="1.0" encoding="utf-8"?>
<sst xmlns="http://schemas.openxmlformats.org/spreadsheetml/2006/main" count="248" uniqueCount="130">
  <si>
    <t>https://factfinder.census.gov/faces/nav/jsf/pages/community_facts.xhtml?src=bkmk</t>
  </si>
  <si>
    <t>Mahoning township, Montour County, Pennsylvania</t>
  </si>
  <si>
    <t>Bookmark/Save </t>
  </si>
  <si>
    <t> Print</t>
  </si>
  <si>
    <t>Description</t>
  </si>
  <si>
    <t>Measure</t>
  </si>
  <si>
    <t>Source</t>
  </si>
  <si>
    <t>Population</t>
  </si>
  <si>
    <t>Census 2010 Total Population</t>
  </si>
  <si>
    <t>2010 Demographic Profile</t>
  </si>
  <si>
    <t>2017 Population Estimate (as of July 1, 2017)</t>
  </si>
  <si>
    <t>N/A</t>
  </si>
  <si>
    <t>2017 Population Estimates</t>
  </si>
  <si>
    <t>2016 ACS 5-Year Population Estimate</t>
  </si>
  <si>
    <t>2012-2016 American Community Survey 5-Year Estimates</t>
  </si>
  <si>
    <t>Median Age</t>
  </si>
  <si>
    <t>Number of Companies</t>
  </si>
  <si>
    <t>2012 Survey of Business Owners</t>
  </si>
  <si>
    <t>Educational Attainment: Percent high school graduate or higher</t>
  </si>
  <si>
    <t>Count of Governments</t>
  </si>
  <si>
    <t>2012 Census of Governments</t>
  </si>
  <si>
    <t>Total housing units</t>
  </si>
  <si>
    <t>Median Household Income</t>
  </si>
  <si>
    <t>Foreign Born Population</t>
  </si>
  <si>
    <t>Individuals below poverty level</t>
  </si>
  <si>
    <t>Race and Hispanic Origin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</si>
  <si>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</si>
  <si>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</si>
  <si>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</si>
  <si>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</si>
  <si>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</si>
  <si>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 alone</t>
  </si>
  <si>
    <t>Two or More Races</t>
  </si>
  <si>
    <t>Hispanic or Latino (of any race)</t>
  </si>
  <si>
    <t>White alone, Not Hispanic or Latino</t>
  </si>
  <si>
    <t>Veterans</t>
  </si>
  <si>
    <r>
      <t> </t>
    </r>
    <r>
      <rPr>
        <b/>
        <sz val="8"/>
        <color rgb="FF1C71C6"/>
        <rFont val="Arial"/>
        <family val="2"/>
      </rPr>
      <t>Want more?</t>
    </r>
    <r>
      <rPr>
        <b/>
        <sz val="8"/>
        <color rgb="FF555555"/>
        <rFont val="Arial"/>
        <family val="2"/>
      </rPr>
      <t> Need help? Use </t>
    </r>
    <r>
      <rPr>
        <b/>
        <sz val="8"/>
        <color rgb="FF1C71C6"/>
        <rFont val="Arial"/>
        <family val="2"/>
      </rPr>
      <t>Guided Search</t>
    </r>
    <r>
      <rPr>
        <b/>
        <sz val="8"/>
        <color rgb="FF555555"/>
        <rFont val="Arial"/>
        <family val="2"/>
      </rPr>
      <t> or visit Census.gov's </t>
    </r>
    <r>
      <rPr>
        <b/>
        <sz val="8"/>
        <color rgb="FF1C71C6"/>
        <rFont val="Arial"/>
        <family val="2"/>
      </rPr>
      <t>Quick Facts</t>
    </r>
    <r>
      <rPr>
        <b/>
        <sz val="8"/>
        <color rgb="FF555555"/>
        <rFont val="Arial"/>
        <family val="2"/>
      </rPr>
      <t>.</t>
    </r>
  </si>
  <si>
    <t>Statement of Revenues, Expenses and Changes in Net Position Modified Cash Basis</t>
  </si>
  <si>
    <t>For the Year Ended September 30, 2016</t>
  </si>
  <si>
    <t>OPERATING REVENUE</t>
  </si>
  <si>
    <t>Total Operating Revenue</t>
  </si>
  <si>
    <t>OPERATING EXPENSE</t>
  </si>
  <si>
    <t>Water Services Purchased</t>
  </si>
  <si>
    <t>Sewer Services Purchased</t>
  </si>
  <si>
    <t>Payroll and Benefits</t>
  </si>
  <si>
    <t>Administration</t>
  </si>
  <si>
    <t>Telephone</t>
  </si>
  <si>
    <t>Rent</t>
  </si>
  <si>
    <t>Insurance</t>
  </si>
  <si>
    <t>Professional Fees</t>
  </si>
  <si>
    <t>Office Expenses and Advertising</t>
  </si>
  <si>
    <t>Utilities</t>
  </si>
  <si>
    <t>Vehicle Expense</t>
  </si>
  <si>
    <t>Sewer and Water Supplies</t>
  </si>
  <si>
    <t>Water Analysis</t>
  </si>
  <si>
    <t>Outside Services</t>
  </si>
  <si>
    <t>Engineering Fees</t>
  </si>
  <si>
    <t>Maintenance</t>
  </si>
  <si>
    <t>Dues and Subscriptions</t>
  </si>
  <si>
    <t>Amortization</t>
  </si>
  <si>
    <t>Depreciation</t>
  </si>
  <si>
    <t>Total Operating Expense</t>
  </si>
  <si>
    <t>OPERATING INCOME (LOSS)</t>
  </si>
  <si>
    <t>Selected Audited Financial Information</t>
  </si>
  <si>
    <t>Balance Sheet</t>
  </si>
  <si>
    <t>Total Assets</t>
  </si>
  <si>
    <t>Retained Earnings</t>
  </si>
  <si>
    <t>Total Fund Equity</t>
  </si>
  <si>
    <t>Total Revenues</t>
  </si>
  <si>
    <t>Total Expenditures</t>
  </si>
  <si>
    <t>Excess/Deficit of Revenues Over Expenditures</t>
  </si>
  <si>
    <t>Water</t>
  </si>
  <si>
    <t>Sewer</t>
  </si>
  <si>
    <t>Total</t>
  </si>
  <si>
    <t>4 Month to</t>
  </si>
  <si>
    <t>Sale of Services/User Charges</t>
  </si>
  <si>
    <t>Intererest Income &amp; Subsidies</t>
  </si>
  <si>
    <t>Annualized to</t>
  </si>
  <si>
    <t>Statement of Income and Expenditures</t>
  </si>
  <si>
    <t>Source of Information: PDF Financial Statements</t>
  </si>
  <si>
    <t>Charges for Services</t>
  </si>
  <si>
    <t>Miscellaneous Revenues</t>
  </si>
  <si>
    <t>Services</t>
  </si>
  <si>
    <t>Pay</t>
  </si>
  <si>
    <t>Township of Mahoning Sewer and Water Systems Assets</t>
  </si>
  <si>
    <t>Township of Mahoning</t>
  </si>
  <si>
    <t>Op Exp (Excludes Dep &amp; Amort)</t>
  </si>
  <si>
    <t>Dep &amp; Amort</t>
  </si>
  <si>
    <t>RCN</t>
  </si>
  <si>
    <t>Cash and Investments</t>
  </si>
  <si>
    <t>Source of Information: Audited Financial Statements</t>
  </si>
  <si>
    <t>Total Capital Assets, Net</t>
  </si>
  <si>
    <t>Debt</t>
  </si>
  <si>
    <t>Total Capital</t>
  </si>
  <si>
    <t>Year Ended</t>
  </si>
  <si>
    <t>BALANCE SHEET</t>
  </si>
  <si>
    <t>STATEMENT OF REVENUES AND EXPENDITURES</t>
  </si>
  <si>
    <t>Mahoning Township Authority</t>
  </si>
  <si>
    <t>EXHIBIT 2</t>
  </si>
  <si>
    <t>Population and Housing Units</t>
  </si>
  <si>
    <t>EDU and Customer Count</t>
  </si>
  <si>
    <t>Penetration of Service Area</t>
  </si>
  <si>
    <t>Township</t>
  </si>
  <si>
    <t>Housing Units</t>
  </si>
  <si>
    <t>Average Size</t>
  </si>
  <si>
    <t>Customers</t>
  </si>
  <si>
    <t>EDUs</t>
  </si>
  <si>
    <t>Cost of sales and services</t>
  </si>
  <si>
    <t>Salaries</t>
  </si>
  <si>
    <t>Total Operating Expenses</t>
  </si>
  <si>
    <t>Statement of Revenues and Expenditures</t>
  </si>
  <si>
    <t>For the Period October 1, 2016 to February 2, 2017</t>
  </si>
  <si>
    <t>Allocation</t>
  </si>
  <si>
    <t>Allocated For the Year Ended September 30, 2016</t>
  </si>
  <si>
    <t>Estmated</t>
  </si>
  <si>
    <t>Estimated</t>
  </si>
  <si>
    <t>Actuals</t>
  </si>
  <si>
    <t>and October 1, 2016 to February 2, 2017 financials</t>
  </si>
  <si>
    <t>Source of Information: 2016 Audited Financial StatementsFebruary 2, 2017 financials</t>
  </si>
  <si>
    <t>Source of Information: October 1, 2016 to February 2, 2017 financials</t>
  </si>
  <si>
    <t>Mahoning Township Authority Seperated by Sewer &amp; Water</t>
  </si>
  <si>
    <t>OCN</t>
  </si>
  <si>
    <t>Equity</t>
  </si>
  <si>
    <t>Capx</t>
  </si>
  <si>
    <t>Book</t>
  </si>
  <si>
    <t>oc</t>
  </si>
  <si>
    <t>acc</t>
  </si>
  <si>
    <t>net</t>
  </si>
  <si>
    <t>customers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</si>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</sst>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&quot;$&quot;#,##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444444"/>
      <name val="Arial"/>
      <family val="2"/>
    </font>
    <font>
      <b/>
      <sz val="9"/>
      <color rgb="FF3A4D63"/>
      <name val="Arial"/>
      <family val="2"/>
    </font>
    <font>
      <sz val="9"/>
      <color rgb="FF3A4D63"/>
      <name val="Arial"/>
      <family val="2"/>
    </font>
    <font>
      <b/>
      <sz val="8"/>
      <color rgb="FF555555"/>
      <name val="Arial"/>
      <family val="2"/>
    </font>
    <font>
      <b/>
      <sz val="8"/>
      <color rgb="FF1C71C6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theme="1"/>
      <name val="Times New Roman"/>
      <family val="1"/>
    </font>
    <font>
      <u/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DF0"/>
        <bgColor indexed="64"/>
      </patternFill>
    </fill>
    <fill>
      <patternFill patternType="solid">
        <fgColor rgb="FFF2F7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C6CBD0"/>
      </left>
      <right style="medium">
        <color rgb="FFC6CBD0"/>
      </right>
      <top style="medium">
        <color rgb="FFC6CBD0"/>
      </top>
      <bottom style="medium">
        <color rgb="FFC6CBD0"/>
      </bottom>
      <diagonal/>
    </border>
    <border>
      <left style="medium">
        <color rgb="FFC6CBD0"/>
      </left>
      <right/>
      <top style="medium">
        <color rgb="FFC6CBD0"/>
      </top>
      <bottom style="medium">
        <color rgb="FFC6CBD0"/>
      </bottom>
      <diagonal/>
    </border>
    <border>
      <left/>
      <right/>
      <top style="medium">
        <color rgb="FFC6CBD0"/>
      </top>
      <bottom style="medium">
        <color rgb="FFC6CBD0"/>
      </bottom>
      <diagonal/>
    </border>
    <border>
      <left/>
      <right style="medium">
        <color rgb="FFC6CBD0"/>
      </right>
      <top style="medium">
        <color rgb="FFC6CBD0"/>
      </top>
      <bottom style="medium">
        <color rgb="FFC6CBD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left" vertical="center" wrapText="1" indent="2"/>
    </xf>
    <xf numFmtId="0" fontId="7" fillId="0" borderId="0" xfId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 indent="3"/>
    </xf>
    <xf numFmtId="3" fontId="4" fillId="5" borderId="1" xfId="0" applyNumberFormat="1" applyFont="1" applyFill="1" applyBorder="1" applyAlignment="1">
      <alignment horizontal="right" vertical="center" wrapText="1"/>
    </xf>
    <xf numFmtId="0" fontId="7" fillId="5" borderId="1" xfId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 indent="3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1" xfId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0" fontId="4" fillId="5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 indent="3"/>
    </xf>
    <xf numFmtId="0" fontId="10" fillId="0" borderId="0" xfId="0" applyFont="1" applyFill="1" applyBorder="1" applyAlignment="1">
      <alignment horizontal="centerContinuous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Alignment="1">
      <alignment horizontal="centerContinuous"/>
    </xf>
    <xf numFmtId="0" fontId="12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/>
    </xf>
    <xf numFmtId="5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5" fontId="10" fillId="0" borderId="5" xfId="0" applyNumberFormat="1" applyFont="1" applyFill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5" xfId="0" applyNumberFormat="1" applyFont="1" applyFill="1" applyBorder="1" applyAlignment="1">
      <alignment horizontal="right"/>
    </xf>
    <xf numFmtId="5" fontId="10" fillId="0" borderId="6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/>
    <xf numFmtId="37" fontId="10" fillId="0" borderId="0" xfId="0" applyNumberFormat="1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center" vertical="top"/>
    </xf>
    <xf numFmtId="7" fontId="10" fillId="0" borderId="0" xfId="0" applyNumberFormat="1" applyFont="1" applyFill="1" applyBorder="1" applyAlignment="1">
      <alignment horizontal="left" vertical="top"/>
    </xf>
    <xf numFmtId="9" fontId="10" fillId="0" borderId="0" xfId="3" applyFont="1" applyFill="1" applyBorder="1" applyAlignment="1">
      <alignment horizontal="left" vertical="top"/>
    </xf>
    <xf numFmtId="37" fontId="10" fillId="0" borderId="0" xfId="0" applyNumberFormat="1" applyFont="1" applyFill="1" applyBorder="1" applyAlignment="1">
      <alignment horizontal="center"/>
    </xf>
    <xf numFmtId="7" fontId="10" fillId="0" borderId="0" xfId="0" applyNumberFormat="1" applyFont="1" applyFill="1" applyBorder="1" applyAlignment="1">
      <alignment horizontal="left"/>
    </xf>
    <xf numFmtId="37" fontId="10" fillId="0" borderId="7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5" fontId="0" fillId="0" borderId="0" xfId="0" applyNumberFormat="1"/>
    <xf numFmtId="165" fontId="0" fillId="0" borderId="0" xfId="2" applyNumberFormat="1" applyFont="1"/>
    <xf numFmtId="5" fontId="9" fillId="0" borderId="0" xfId="0" applyNumberFormat="1" applyFont="1"/>
    <xf numFmtId="37" fontId="9" fillId="0" borderId="0" xfId="0" applyNumberFormat="1" applyFont="1"/>
    <xf numFmtId="0" fontId="9" fillId="0" borderId="0" xfId="0" applyFont="1" applyAlignment="1">
      <alignment horizontal="right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Continuous"/>
    </xf>
    <xf numFmtId="0" fontId="10" fillId="0" borderId="0" xfId="0" applyFont="1" applyFill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7" fontId="9" fillId="0" borderId="8" xfId="0" applyNumberFormat="1" applyFont="1" applyBorder="1"/>
    <xf numFmtId="37" fontId="9" fillId="0" borderId="5" xfId="0" applyNumberFormat="1" applyFont="1" applyBorder="1"/>
    <xf numFmtId="5" fontId="9" fillId="6" borderId="0" xfId="0" applyNumberFormat="1" applyFont="1" applyFill="1"/>
    <xf numFmtId="37" fontId="9" fillId="6" borderId="0" xfId="0" applyNumberFormat="1" applyFont="1" applyFill="1"/>
    <xf numFmtId="0" fontId="10" fillId="0" borderId="0" xfId="0" applyFont="1" applyFill="1" applyBorder="1" applyAlignment="1">
      <alignment horizontal="left" wrapText="1" indent="1"/>
    </xf>
    <xf numFmtId="0" fontId="14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 vertical="top"/>
    </xf>
    <xf numFmtId="0" fontId="11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9" fontId="9" fillId="0" borderId="0" xfId="3" applyFont="1" applyAlignment="1">
      <alignment horizontal="center"/>
    </xf>
    <xf numFmtId="2" fontId="9" fillId="0" borderId="5" xfId="0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centerContinuous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5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9" fontId="10" fillId="0" borderId="0" xfId="3" applyFont="1" applyFill="1" applyBorder="1" applyAlignment="1">
      <alignment horizontal="center" vertical="top"/>
    </xf>
    <xf numFmtId="9" fontId="10" fillId="0" borderId="0" xfId="0" applyNumberFormat="1" applyFont="1" applyFill="1" applyBorder="1" applyAlignment="1">
      <alignment horizontal="center" vertical="top"/>
    </xf>
    <xf numFmtId="9" fontId="9" fillId="0" borderId="0" xfId="3" applyFont="1"/>
    <xf numFmtId="0" fontId="9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9" fillId="0" borderId="0" xfId="0" applyFont="1" applyAlignment="1">
      <alignment horizontal="left" indent="17"/>
    </xf>
    <xf numFmtId="0" fontId="1" fillId="0" borderId="0" xfId="0" applyFont="1" applyAlignment="1">
      <alignment horizontal="center"/>
    </xf>
    <xf numFmtId="5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165" fontId="13" fillId="7" borderId="0" xfId="2" applyNumberFormat="1" applyFont="1" applyFill="1"/>
    <xf numFmtId="165" fontId="0" fillId="0" borderId="0" xfId="0" applyNumberFormat="1"/>
    <xf numFmtId="43" fontId="0" fillId="0" borderId="0" xfId="0" applyNumberFormat="1"/>
    <xf numFmtId="165" fontId="0" fillId="2" borderId="0" xfId="2" applyNumberFormat="1" applyFont="1" applyFill="1" applyBorder="1" applyAlignment="1">
      <alignment horizontal="left" vertical="top"/>
    </xf>
    <xf numFmtId="165" fontId="13" fillId="2" borderId="5" xfId="0" applyNumberFormat="1" applyFont="1" applyFill="1" applyBorder="1" applyAlignment="1">
      <alignment horizontal="center"/>
    </xf>
    <xf numFmtId="0" fontId="13" fillId="2" borderId="0" xfId="0" applyFont="1" applyFill="1"/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9" fillId="0" borderId="0" xfId="0" quotePrefix="1" applyFont="1"/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171450</xdr:rowOff>
    </xdr:to>
    <xdr:pic>
      <xdr:nvPicPr>
        <xdr:cNvPr id="2" name="Picture 1" descr="https://factfinder.census.gov/common/img/button_sep.gif">
          <a:extLst>
            <a:ext uri="{FF2B5EF4-FFF2-40B4-BE49-F238E27FC236}">
              <a16:creationId xmlns:a16="http://schemas.microsoft.com/office/drawing/2014/main" id="{D17F0DF1-E9A8-453E-8D05-F814A005A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"/>
          <a:ext cx="285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47625</xdr:colOff>
      <xdr:row>30</xdr:row>
      <xdr:rowOff>47625</xdr:rowOff>
    </xdr:to>
    <xdr:pic>
      <xdr:nvPicPr>
        <xdr:cNvPr id="3" name="Picture 2" descr="https://factfinder.census.gov/common/img/bullet_sm_gold.png">
          <a:extLst>
            <a:ext uri="{FF2B5EF4-FFF2-40B4-BE49-F238E27FC236}">
              <a16:creationId xmlns:a16="http://schemas.microsoft.com/office/drawing/2014/main" id="{72011E75-91F3-4E18-B835-7F2ADDA7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480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actfinder.census.gov/bkmk/table/1.0/en/ACS/16_5YR/B25001/0600000US4209346656" TargetMode="External"/><Relationship Id="rId13" Type="http://schemas.openxmlformats.org/officeDocument/2006/relationships/hyperlink" Target="http://factfinder.census.gov/bkmk/table/1.0/en/ACS/16_5YR/DP05/0600000US4209346656" TargetMode="External"/><Relationship Id="rId18" Type="http://schemas.openxmlformats.org/officeDocument/2006/relationships/hyperlink" Target="http://factfinder.census.gov/bkmk/table/1.0/en/ACS/16_5YR/DP05/0600000US4209346656" TargetMode="External"/><Relationship Id="rId3" Type="http://schemas.openxmlformats.org/officeDocument/2006/relationships/hyperlink" Target="http://factfinder.census.gov/bkmk/table/1.0/en/DEC/10_DP/DPDP1/0600000US4209346656" TargetMode="External"/><Relationship Id="rId21" Type="http://schemas.openxmlformats.org/officeDocument/2006/relationships/hyperlink" Target="http://factfinder.census.gov/bkmk/table/1.0/en/ACS/16_5YR/B21001/0600000US4209346656" TargetMode="External"/><Relationship Id="rId7" Type="http://schemas.openxmlformats.org/officeDocument/2006/relationships/hyperlink" Target="http://factfinder.census.gov/bkmk/table/1.0/en/ACS/16_5YR/S1501/0600000US4209346656" TargetMode="External"/><Relationship Id="rId12" Type="http://schemas.openxmlformats.org/officeDocument/2006/relationships/hyperlink" Target="http://factfinder.census.gov/bkmk/table/1.0/en/ACS/16_5YR/DP05/0600000US4209346656" TargetMode="External"/><Relationship Id="rId17" Type="http://schemas.openxmlformats.org/officeDocument/2006/relationships/hyperlink" Target="http://factfinder.census.gov/bkmk/table/1.0/en/ACS/16_5YR/DP05/0600000US4209346656" TargetMode="External"/><Relationship Id="rId2" Type="http://schemas.openxmlformats.org/officeDocument/2006/relationships/hyperlink" Target="javascript:printCF();" TargetMode="External"/><Relationship Id="rId16" Type="http://schemas.openxmlformats.org/officeDocument/2006/relationships/hyperlink" Target="http://factfinder.census.gov/bkmk/table/1.0/en/ACS/16_5YR/DP05/0600000US4209346656" TargetMode="External"/><Relationship Id="rId20" Type="http://schemas.openxmlformats.org/officeDocument/2006/relationships/hyperlink" Target="http://factfinder.census.gov/bkmk/table/1.0/en/ACS/16_5YR/DP05/0600000US4209346656" TargetMode="External"/><Relationship Id="rId1" Type="http://schemas.openxmlformats.org/officeDocument/2006/relationships/hyperlink" Target="javascript:openCFBookmark();" TargetMode="External"/><Relationship Id="rId6" Type="http://schemas.openxmlformats.org/officeDocument/2006/relationships/hyperlink" Target="http://factfinder.census.gov/bkmk/table/1.0/en/SBO/2012/00CSA01/E600000US4209346656" TargetMode="External"/><Relationship Id="rId11" Type="http://schemas.openxmlformats.org/officeDocument/2006/relationships/hyperlink" Target="http://factfinder.census.gov/bkmk/table/1.0/en/ACS/16_5YR/DP03/0600000US4209346656" TargetMode="External"/><Relationship Id="rId5" Type="http://schemas.openxmlformats.org/officeDocument/2006/relationships/hyperlink" Target="http://factfinder.census.gov/bkmk/table/1.0/en/ACS/16_5YR/B01002/0600000US4209346656" TargetMode="External"/><Relationship Id="rId15" Type="http://schemas.openxmlformats.org/officeDocument/2006/relationships/hyperlink" Target="http://factfinder.census.gov/bkmk/table/1.0/en/ACS/16_5YR/DP05/0600000US4209346656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factfinder.census.gov/bkmk/table/1.0/en/ACS/16_5YR/B05002/0600000US4209346656" TargetMode="External"/><Relationship Id="rId19" Type="http://schemas.openxmlformats.org/officeDocument/2006/relationships/hyperlink" Target="http://factfinder.census.gov/bkmk/table/1.0/en/ACS/16_5YR/DP05/0600000US4209346656" TargetMode="External"/><Relationship Id="rId4" Type="http://schemas.openxmlformats.org/officeDocument/2006/relationships/hyperlink" Target="http://factfinder.census.gov/bkmk/table/1.0/en/ACS/16_5YR/DP05/0600000US4209346656" TargetMode="External"/><Relationship Id="rId9" Type="http://schemas.openxmlformats.org/officeDocument/2006/relationships/hyperlink" Target="http://factfinder.census.gov/bkmk/table/1.0/en/ACS/16_5YR/S1901/0600000US4209346656" TargetMode="External"/><Relationship Id="rId14" Type="http://schemas.openxmlformats.org/officeDocument/2006/relationships/hyperlink" Target="http://factfinder.census.gov/bkmk/table/1.0/en/ACS/16_5YR/DP05/0600000US4209346656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F21" sqref="F21"/>
    </sheetView>
  </sheetViews>
  <sheetFormatPr defaultRowHeight="15" x14ac:dyDescent="0.25"/>
  <cols>
    <col min="1" max="1" width="70" customWidth="1"/>
    <col min="3" max="3" width="74.285156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4" spans="1:10" ht="16.5" x14ac:dyDescent="0.25">
      <c r="A4" s="2" t="s">
        <v>1</v>
      </c>
    </row>
    <row r="5" spans="1:10" x14ac:dyDescent="0.25">
      <c r="A5" s="3" t="s">
        <v>2</v>
      </c>
    </row>
    <row r="6" spans="1:10" ht="15.75" thickBot="1" x14ac:dyDescent="0.3">
      <c r="A6" s="3" t="s">
        <v>3</v>
      </c>
    </row>
    <row r="7" spans="1:10" ht="24.75" thickBot="1" x14ac:dyDescent="0.3">
      <c r="A7" s="4" t="s">
        <v>4</v>
      </c>
      <c r="B7" s="4" t="s">
        <v>5</v>
      </c>
      <c r="C7" s="4" t="s">
        <v>6</v>
      </c>
    </row>
    <row r="8" spans="1:10" ht="15.75" thickBot="1" x14ac:dyDescent="0.3">
      <c r="A8" s="84" t="s">
        <v>7</v>
      </c>
      <c r="B8" s="85"/>
      <c r="C8" s="86"/>
    </row>
    <row r="9" spans="1:10" ht="15.75" thickBot="1" x14ac:dyDescent="0.3">
      <c r="A9" s="5" t="s">
        <v>8</v>
      </c>
      <c r="B9" s="6">
        <v>4171</v>
      </c>
      <c r="C9" s="7" t="s">
        <v>9</v>
      </c>
    </row>
    <row r="10" spans="1:10" ht="15.75" thickBot="1" x14ac:dyDescent="0.3">
      <c r="A10" s="8" t="s">
        <v>10</v>
      </c>
      <c r="B10" s="9" t="s">
        <v>11</v>
      </c>
      <c r="C10" s="10" t="s">
        <v>12</v>
      </c>
    </row>
    <row r="11" spans="1:10" ht="15.75" thickBot="1" x14ac:dyDescent="0.3">
      <c r="A11" s="5" t="s">
        <v>13</v>
      </c>
      <c r="B11" s="6">
        <v>4218</v>
      </c>
      <c r="C11" s="7" t="s">
        <v>14</v>
      </c>
      <c r="E11">
        <f>+B11/B16</f>
        <v>2.3870967741935485</v>
      </c>
    </row>
    <row r="12" spans="1:10" ht="15.75" thickBot="1" x14ac:dyDescent="0.3">
      <c r="A12" s="10" t="s">
        <v>15</v>
      </c>
      <c r="B12" s="9">
        <v>46.4</v>
      </c>
      <c r="C12" s="11" t="s">
        <v>14</v>
      </c>
    </row>
    <row r="13" spans="1:10" ht="15.75" thickBot="1" x14ac:dyDescent="0.3">
      <c r="A13" s="12" t="s">
        <v>16</v>
      </c>
      <c r="B13" s="13">
        <v>259</v>
      </c>
      <c r="C13" s="7" t="s">
        <v>17</v>
      </c>
      <c r="E13">
        <v>2403</v>
      </c>
    </row>
    <row r="14" spans="1:10" ht="15.75" thickBot="1" x14ac:dyDescent="0.3">
      <c r="A14" s="10" t="s">
        <v>18</v>
      </c>
      <c r="B14" s="14">
        <v>0.93</v>
      </c>
      <c r="C14" s="11" t="s">
        <v>14</v>
      </c>
      <c r="E14">
        <f>+B11/E13</f>
        <v>1.7553058676654183</v>
      </c>
    </row>
    <row r="15" spans="1:10" ht="15.75" thickBot="1" x14ac:dyDescent="0.3">
      <c r="A15" s="12" t="s">
        <v>19</v>
      </c>
      <c r="B15" s="13" t="s">
        <v>11</v>
      </c>
      <c r="C15" s="12" t="s">
        <v>20</v>
      </c>
    </row>
    <row r="16" spans="1:10" ht="15.75" thickBot="1" x14ac:dyDescent="0.3">
      <c r="A16" s="10" t="s">
        <v>21</v>
      </c>
      <c r="B16" s="15">
        <v>1767</v>
      </c>
      <c r="C16" s="11" t="s">
        <v>14</v>
      </c>
    </row>
    <row r="17" spans="1:3" ht="15.75" thickBot="1" x14ac:dyDescent="0.3">
      <c r="A17" s="12" t="s">
        <v>22</v>
      </c>
      <c r="B17" s="6">
        <v>62201</v>
      </c>
      <c r="C17" s="7" t="s">
        <v>14</v>
      </c>
    </row>
    <row r="18" spans="1:3" ht="15.75" thickBot="1" x14ac:dyDescent="0.3">
      <c r="A18" s="10" t="s">
        <v>23</v>
      </c>
      <c r="B18" s="9">
        <v>358</v>
      </c>
      <c r="C18" s="11" t="s">
        <v>14</v>
      </c>
    </row>
    <row r="19" spans="1:3" ht="15.75" thickBot="1" x14ac:dyDescent="0.3">
      <c r="A19" s="12" t="s">
        <v>24</v>
      </c>
      <c r="B19" s="16">
        <v>8.3000000000000004E-2</v>
      </c>
      <c r="C19" s="7" t="s">
        <v>14</v>
      </c>
    </row>
    <row r="20" spans="1:3" ht="15.75" thickBot="1" x14ac:dyDescent="0.3">
      <c r="A20" s="84" t="s">
        <v>25</v>
      </c>
      <c r="B20" s="85"/>
      <c r="C20" s="86"/>
    </row>
    <row r="21" spans="1:3" ht="15.75" thickBot="1" x14ac:dyDescent="0.3">
      <c r="A21" s="5" t="s">
        <v>26</v>
      </c>
      <c r="B21" s="6">
        <v>3532</v>
      </c>
      <c r="C21" s="7" t="s">
        <v>14</v>
      </c>
    </row>
    <row r="22" spans="1:3" ht="15.75" thickBot="1" x14ac:dyDescent="0.3">
      <c r="A22" s="8" t="s">
        <v>27</v>
      </c>
      <c r="B22" s="9">
        <v>214</v>
      </c>
      <c r="C22" s="11" t="s">
        <v>14</v>
      </c>
    </row>
    <row r="23" spans="1:3" ht="15.75" thickBot="1" x14ac:dyDescent="0.3">
      <c r="A23" s="5" t="s">
        <v>28</v>
      </c>
      <c r="B23" s="13">
        <v>0</v>
      </c>
      <c r="C23" s="7" t="s">
        <v>14</v>
      </c>
    </row>
    <row r="24" spans="1:3" ht="15.75" thickBot="1" x14ac:dyDescent="0.3">
      <c r="A24" s="8" t="s">
        <v>29</v>
      </c>
      <c r="B24" s="9">
        <v>400</v>
      </c>
      <c r="C24" s="11" t="s">
        <v>14</v>
      </c>
    </row>
    <row r="25" spans="1:3" ht="15.75" thickBot="1" x14ac:dyDescent="0.3">
      <c r="A25" s="5" t="s">
        <v>30</v>
      </c>
      <c r="B25" s="13">
        <v>0</v>
      </c>
      <c r="C25" s="7" t="s">
        <v>14</v>
      </c>
    </row>
    <row r="26" spans="1:3" ht="15.75" thickBot="1" x14ac:dyDescent="0.3">
      <c r="A26" s="8" t="s">
        <v>31</v>
      </c>
      <c r="B26" s="9">
        <v>9</v>
      </c>
      <c r="C26" s="11" t="s">
        <v>14</v>
      </c>
    </row>
    <row r="27" spans="1:3" ht="15.75" thickBot="1" x14ac:dyDescent="0.3">
      <c r="A27" s="5" t="s">
        <v>32</v>
      </c>
      <c r="B27" s="13">
        <v>63</v>
      </c>
      <c r="C27" s="7" t="s">
        <v>14</v>
      </c>
    </row>
    <row r="28" spans="1:3" ht="15.75" thickBot="1" x14ac:dyDescent="0.3">
      <c r="A28" s="8" t="s">
        <v>33</v>
      </c>
      <c r="B28" s="9">
        <v>240</v>
      </c>
      <c r="C28" s="11" t="s">
        <v>14</v>
      </c>
    </row>
    <row r="29" spans="1:3" ht="15.75" thickBot="1" x14ac:dyDescent="0.3">
      <c r="A29" s="5" t="s">
        <v>34</v>
      </c>
      <c r="B29" s="6">
        <v>3363</v>
      </c>
      <c r="C29" s="7" t="s">
        <v>14</v>
      </c>
    </row>
    <row r="30" spans="1:3" ht="15.75" thickBot="1" x14ac:dyDescent="0.3">
      <c r="A30" s="10" t="s">
        <v>35</v>
      </c>
      <c r="B30" s="9">
        <v>278</v>
      </c>
      <c r="C30" s="11" t="s">
        <v>14</v>
      </c>
    </row>
    <row r="31" spans="1:3" x14ac:dyDescent="0.25">
      <c r="A31" s="17" t="s">
        <v>36</v>
      </c>
    </row>
  </sheetData>
  <mergeCells count="2">
    <mergeCell ref="A8:C8"/>
    <mergeCell ref="A20:C20"/>
  </mergeCells>
  <hyperlinks>
    <hyperlink ref="A5" r:id="rId1" display="javascript:openCFBookmark();"/>
    <hyperlink ref="A6" r:id="rId2" display="javascript:printCF();"/>
    <hyperlink ref="C9" r:id="rId3" display="http://factfinder.census.gov/bkmk/table/1.0/en/DEC/10_DP/DPDP1/0600000US4209346656"/>
    <hyperlink ref="C11" r:id="rId4" display="http://factfinder.census.gov/bkmk/table/1.0/en/ACS/16_5YR/DP05/0600000US4209346656"/>
    <hyperlink ref="C12" r:id="rId5" display="http://factfinder.census.gov/bkmk/table/1.0/en/ACS/16_5YR/B01002/0600000US4209346656"/>
    <hyperlink ref="C13" r:id="rId6" display="http://factfinder.census.gov/bkmk/table/1.0/en/SBO/2012/00CSA01/E600000US4209346656"/>
    <hyperlink ref="C14" r:id="rId7" display="http://factfinder.census.gov/bkmk/table/1.0/en/ACS/16_5YR/S1501/0600000US4209346656"/>
    <hyperlink ref="C16" r:id="rId8" display="http://factfinder.census.gov/bkmk/table/1.0/en/ACS/16_5YR/B25001/0600000US4209346656"/>
    <hyperlink ref="C17" r:id="rId9" display="http://factfinder.census.gov/bkmk/table/1.0/en/ACS/16_5YR/S1901/0600000US4209346656"/>
    <hyperlink ref="C18" r:id="rId10" display="http://factfinder.census.gov/bkmk/table/1.0/en/ACS/16_5YR/B05002/0600000US4209346656"/>
    <hyperlink ref="C19" r:id="rId11" display="http://factfinder.census.gov/bkmk/table/1.0/en/ACS/16_5YR/DP03/0600000US4209346656"/>
    <hyperlink ref="C21" r:id="rId12" display="http://factfinder.census.gov/bkmk/table/1.0/en/ACS/16_5YR/DP05/0600000US4209346656"/>
    <hyperlink ref="C22" r:id="rId13" display="http://factfinder.census.gov/bkmk/table/1.0/en/ACS/16_5YR/DP05/0600000US4209346656"/>
    <hyperlink ref="C23" r:id="rId14" display="http://factfinder.census.gov/bkmk/table/1.0/en/ACS/16_5YR/DP05/0600000US4209346656"/>
    <hyperlink ref="C24" r:id="rId15" display="http://factfinder.census.gov/bkmk/table/1.0/en/ACS/16_5YR/DP05/0600000US4209346656"/>
    <hyperlink ref="C25" r:id="rId16" display="http://factfinder.census.gov/bkmk/table/1.0/en/ACS/16_5YR/DP05/0600000US4209346656"/>
    <hyperlink ref="C26" r:id="rId17" display="http://factfinder.census.gov/bkmk/table/1.0/en/ACS/16_5YR/DP05/0600000US4209346656"/>
    <hyperlink ref="C27" r:id="rId18" display="http://factfinder.census.gov/bkmk/table/1.0/en/ACS/16_5YR/DP05/0600000US4209346656"/>
    <hyperlink ref="C28" r:id="rId19" display="http://factfinder.census.gov/bkmk/table/1.0/en/ACS/16_5YR/DP05/0600000US4209346656"/>
    <hyperlink ref="C29" r:id="rId20" display="http://factfinder.census.gov/bkmk/table/1.0/en/ACS/16_5YR/DP05/0600000US4209346656"/>
    <hyperlink ref="C30" r:id="rId21" display="http://factfinder.census.gov/bkmk/table/1.0/en/ACS/16_5YR/B21001/0600000US4209346656"/>
  </hyperlinks>
  <pageMargins left="0.7" right="0.7" top="0.75" bottom="0.75" header="0.3" footer="0.3"/>
  <pageSetup orientation="portrait" horizontalDpi="1200" verticalDpi="1200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9"/>
  <sheetViews>
    <sheetView tabSelected="1" view="pageBreakPreview" zoomScale="60" zoomScaleNormal="100" workbookViewId="0">
      <selection activeCell="O34" sqref="O34"/>
    </sheetView>
  </sheetViews>
  <sheetFormatPr defaultRowHeight="15.75" x14ac:dyDescent="0.25"/>
  <cols>
    <col min="1" max="2" width="9.140625" style="32"/>
    <col min="3" max="3" width="68.85546875" style="32" customWidth="1"/>
    <col min="4" max="4" width="15.140625" style="32" bestFit="1" customWidth="1"/>
    <col min="5" max="5" width="9.140625" style="32"/>
    <col min="6" max="6" width="5.7109375" style="32" customWidth="1"/>
    <col min="7" max="7" width="12" style="32" bestFit="1" customWidth="1"/>
    <col min="8" max="16384" width="9.140625" style="32"/>
  </cols>
  <sheetData>
    <row r="1" spans="3:8" ht="18.75" x14ac:dyDescent="0.3">
      <c r="F1" s="56" t="str">
        <f>+"EXHIBIT "&amp;G1</f>
        <v>EXHIBIT 1</v>
      </c>
      <c r="G1" s="57">
        <v>1</v>
      </c>
      <c r="H1" s="57"/>
    </row>
    <row r="2" spans="3:8" ht="37.5" customHeight="1" x14ac:dyDescent="0.25">
      <c r="F2" s="58" t="str">
        <f>+"Page "&amp;G2&amp;" of "&amp;H2</f>
        <v>Page 1 of 4</v>
      </c>
      <c r="G2" s="57">
        <v>1</v>
      </c>
      <c r="H2" s="57">
        <v>4</v>
      </c>
    </row>
    <row r="3" spans="3:8" x14ac:dyDescent="0.25">
      <c r="C3" s="20" t="s">
        <v>97</v>
      </c>
      <c r="D3" s="47"/>
    </row>
    <row r="4" spans="3:8" x14ac:dyDescent="0.25">
      <c r="C4" s="47" t="s">
        <v>63</v>
      </c>
      <c r="D4" s="47"/>
    </row>
    <row r="5" spans="3:8" x14ac:dyDescent="0.25">
      <c r="C5" s="20" t="s">
        <v>38</v>
      </c>
      <c r="D5" s="47"/>
    </row>
    <row r="6" spans="3:8" x14ac:dyDescent="0.25">
      <c r="C6" s="19"/>
      <c r="D6" s="19"/>
    </row>
    <row r="7" spans="3:8" x14ac:dyDescent="0.25">
      <c r="C7" s="19"/>
      <c r="D7" s="19" t="s">
        <v>94</v>
      </c>
    </row>
    <row r="8" spans="3:8" x14ac:dyDescent="0.25">
      <c r="C8" s="19"/>
      <c r="D8" s="34">
        <v>42643</v>
      </c>
    </row>
    <row r="9" spans="3:8" x14ac:dyDescent="0.25">
      <c r="C9" s="21" t="s">
        <v>95</v>
      </c>
      <c r="D9" s="19"/>
    </row>
    <row r="10" spans="3:8" x14ac:dyDescent="0.25">
      <c r="C10" s="19"/>
      <c r="D10" s="19"/>
    </row>
    <row r="11" spans="3:8" x14ac:dyDescent="0.25">
      <c r="C11" s="22" t="s">
        <v>89</v>
      </c>
      <c r="D11" s="23">
        <v>2789433</v>
      </c>
    </row>
    <row r="12" spans="3:8" x14ac:dyDescent="0.25">
      <c r="C12" s="22" t="s">
        <v>91</v>
      </c>
      <c r="D12" s="26">
        <v>2951022</v>
      </c>
    </row>
    <row r="13" spans="3:8" ht="16.5" thickBot="1" x14ac:dyDescent="0.3">
      <c r="C13" s="48" t="s">
        <v>65</v>
      </c>
      <c r="D13" s="25">
        <f>SUM(D11:D12)</f>
        <v>5740455</v>
      </c>
    </row>
    <row r="14" spans="3:8" ht="16.5" thickTop="1" x14ac:dyDescent="0.25">
      <c r="C14" s="48"/>
      <c r="D14" s="23"/>
    </row>
    <row r="15" spans="3:8" x14ac:dyDescent="0.25">
      <c r="C15" s="22"/>
      <c r="D15" s="26"/>
    </row>
    <row r="16" spans="3:8" x14ac:dyDescent="0.25">
      <c r="C16" s="22" t="s">
        <v>92</v>
      </c>
      <c r="D16" s="23">
        <v>0</v>
      </c>
    </row>
    <row r="17" spans="3:4" x14ac:dyDescent="0.25">
      <c r="C17" s="22" t="s">
        <v>67</v>
      </c>
      <c r="D17" s="26">
        <v>5675460</v>
      </c>
    </row>
    <row r="18" spans="3:4" ht="16.5" thickBot="1" x14ac:dyDescent="0.3">
      <c r="C18" s="48" t="s">
        <v>93</v>
      </c>
      <c r="D18" s="25">
        <f>SUM(D16:D17)</f>
        <v>5675460</v>
      </c>
    </row>
    <row r="19" spans="3:4" ht="16.5" thickTop="1" x14ac:dyDescent="0.25">
      <c r="C19" s="22"/>
      <c r="D19" s="26"/>
    </row>
    <row r="20" spans="3:4" x14ac:dyDescent="0.25">
      <c r="C20" s="22"/>
      <c r="D20" s="26"/>
    </row>
    <row r="21" spans="3:4" x14ac:dyDescent="0.25">
      <c r="C21" s="22"/>
      <c r="D21" s="26"/>
    </row>
    <row r="22" spans="3:4" x14ac:dyDescent="0.25">
      <c r="C22" s="30" t="s">
        <v>96</v>
      </c>
      <c r="D22" s="26"/>
    </row>
    <row r="23" spans="3:4" x14ac:dyDescent="0.25">
      <c r="C23" s="22"/>
      <c r="D23" s="26"/>
    </row>
    <row r="24" spans="3:4" x14ac:dyDescent="0.25">
      <c r="C24" s="22" t="s">
        <v>68</v>
      </c>
      <c r="D24" s="23">
        <f>+D45</f>
        <v>1887240</v>
      </c>
    </row>
    <row r="25" spans="3:4" x14ac:dyDescent="0.25">
      <c r="C25" s="22" t="s">
        <v>69</v>
      </c>
      <c r="D25" s="26">
        <f>+D67</f>
        <v>2061181</v>
      </c>
    </row>
    <row r="26" spans="3:4" ht="16.5" thickBot="1" x14ac:dyDescent="0.3">
      <c r="C26" s="55" t="s">
        <v>70</v>
      </c>
      <c r="D26" s="25">
        <f>+D24-D25</f>
        <v>-173941</v>
      </c>
    </row>
    <row r="27" spans="3:4" ht="16.5" thickTop="1" x14ac:dyDescent="0.25">
      <c r="C27" s="31"/>
      <c r="D27" s="23"/>
    </row>
    <row r="28" spans="3:4" x14ac:dyDescent="0.25">
      <c r="C28" s="31"/>
      <c r="D28" s="23"/>
    </row>
    <row r="29" spans="3:4" x14ac:dyDescent="0.25">
      <c r="C29" s="31"/>
      <c r="D29" s="23"/>
    </row>
    <row r="30" spans="3:4" x14ac:dyDescent="0.25">
      <c r="C30" s="32" t="s">
        <v>90</v>
      </c>
      <c r="D30" s="33"/>
    </row>
    <row r="34" spans="3:8" ht="18.75" x14ac:dyDescent="0.3">
      <c r="F34" s="56" t="str">
        <f>+"EXHIBIT "&amp;G34</f>
        <v>EXHIBIT 1</v>
      </c>
      <c r="G34" s="57">
        <f>+G1</f>
        <v>1</v>
      </c>
      <c r="H34" s="57"/>
    </row>
    <row r="35" spans="3:8" ht="33.75" customHeight="1" x14ac:dyDescent="0.25">
      <c r="F35" s="58" t="str">
        <f>+"Page "&amp;G35&amp;" of "&amp;H35</f>
        <v>Page 2 of 4</v>
      </c>
      <c r="G35" s="57">
        <v>2</v>
      </c>
      <c r="H35" s="57">
        <v>4</v>
      </c>
    </row>
    <row r="36" spans="3:8" x14ac:dyDescent="0.25">
      <c r="C36" s="20" t="s">
        <v>97</v>
      </c>
      <c r="D36" s="47"/>
    </row>
    <row r="37" spans="3:8" x14ac:dyDescent="0.25">
      <c r="C37" s="47" t="s">
        <v>37</v>
      </c>
      <c r="D37" s="47"/>
    </row>
    <row r="38" spans="3:8" x14ac:dyDescent="0.25">
      <c r="C38" s="20" t="s">
        <v>38</v>
      </c>
      <c r="D38" s="47"/>
    </row>
    <row r="40" spans="3:8" x14ac:dyDescent="0.25">
      <c r="D40" s="19" t="s">
        <v>94</v>
      </c>
    </row>
    <row r="41" spans="3:8" x14ac:dyDescent="0.25">
      <c r="D41" s="34">
        <v>42643</v>
      </c>
    </row>
    <row r="42" spans="3:8" x14ac:dyDescent="0.25">
      <c r="C42" s="32" t="s">
        <v>39</v>
      </c>
    </row>
    <row r="43" spans="3:8" x14ac:dyDescent="0.25">
      <c r="C43" s="49" t="s">
        <v>80</v>
      </c>
      <c r="D43" s="43">
        <v>1829023</v>
      </c>
    </row>
    <row r="44" spans="3:8" x14ac:dyDescent="0.25">
      <c r="C44" s="49" t="s">
        <v>81</v>
      </c>
      <c r="D44" s="44">
        <v>58217</v>
      </c>
    </row>
    <row r="45" spans="3:8" x14ac:dyDescent="0.25">
      <c r="C45" s="50" t="s">
        <v>40</v>
      </c>
      <c r="D45" s="51">
        <f>SUM(D43:D44)</f>
        <v>1887240</v>
      </c>
      <c r="G45" s="53">
        <f>+'Ex 1 2017 fin'!D25</f>
        <v>1867209</v>
      </c>
    </row>
    <row r="46" spans="3:8" x14ac:dyDescent="0.25">
      <c r="D46" s="44"/>
    </row>
    <row r="47" spans="3:8" x14ac:dyDescent="0.25">
      <c r="C47" s="32" t="s">
        <v>41</v>
      </c>
      <c r="D47" s="44"/>
    </row>
    <row r="48" spans="3:8" x14ac:dyDescent="0.25">
      <c r="C48" s="49" t="s">
        <v>42</v>
      </c>
      <c r="D48" s="44">
        <v>360835</v>
      </c>
    </row>
    <row r="49" spans="1:4" x14ac:dyDescent="0.25">
      <c r="C49" s="49" t="s">
        <v>43</v>
      </c>
      <c r="D49" s="44">
        <v>975272</v>
      </c>
    </row>
    <row r="50" spans="1:4" x14ac:dyDescent="0.25">
      <c r="A50" s="32" t="s">
        <v>83</v>
      </c>
      <c r="C50" s="49" t="s">
        <v>44</v>
      </c>
      <c r="D50" s="44">
        <v>181930</v>
      </c>
    </row>
    <row r="51" spans="1:4" x14ac:dyDescent="0.25">
      <c r="C51" s="49" t="s">
        <v>45</v>
      </c>
      <c r="D51" s="44">
        <v>2479</v>
      </c>
    </row>
    <row r="52" spans="1:4" x14ac:dyDescent="0.25">
      <c r="A52" s="32" t="s">
        <v>51</v>
      </c>
      <c r="C52" s="49" t="s">
        <v>46</v>
      </c>
      <c r="D52" s="44">
        <v>11483</v>
      </c>
    </row>
    <row r="53" spans="1:4" x14ac:dyDescent="0.25">
      <c r="C53" s="49" t="s">
        <v>47</v>
      </c>
      <c r="D53" s="44">
        <v>7500</v>
      </c>
    </row>
    <row r="54" spans="1:4" x14ac:dyDescent="0.25">
      <c r="C54" s="49" t="s">
        <v>48</v>
      </c>
      <c r="D54" s="44">
        <v>19390</v>
      </c>
    </row>
    <row r="55" spans="1:4" x14ac:dyDescent="0.25">
      <c r="A55" s="19" t="s">
        <v>82</v>
      </c>
      <c r="C55" s="49" t="s">
        <v>49</v>
      </c>
      <c r="D55" s="44">
        <v>183782</v>
      </c>
    </row>
    <row r="56" spans="1:4" x14ac:dyDescent="0.25">
      <c r="C56" s="49" t="s">
        <v>50</v>
      </c>
      <c r="D56" s="44">
        <v>8300</v>
      </c>
    </row>
    <row r="57" spans="1:4" x14ac:dyDescent="0.25">
      <c r="A57" s="32" t="s">
        <v>51</v>
      </c>
      <c r="C57" s="49" t="s">
        <v>51</v>
      </c>
      <c r="D57" s="44">
        <v>24948</v>
      </c>
    </row>
    <row r="58" spans="1:4" x14ac:dyDescent="0.25">
      <c r="C58" s="49" t="s">
        <v>52</v>
      </c>
      <c r="D58" s="44">
        <v>1029</v>
      </c>
    </row>
    <row r="59" spans="1:4" x14ac:dyDescent="0.25">
      <c r="C59" s="49" t="s">
        <v>53</v>
      </c>
      <c r="D59" s="44">
        <v>28152</v>
      </c>
    </row>
    <row r="60" spans="1:4" x14ac:dyDescent="0.25">
      <c r="C60" s="49" t="s">
        <v>54</v>
      </c>
      <c r="D60" s="44">
        <v>1985</v>
      </c>
    </row>
    <row r="61" spans="1:4" x14ac:dyDescent="0.25">
      <c r="A61" s="19" t="s">
        <v>82</v>
      </c>
      <c r="C61" s="49" t="s">
        <v>55</v>
      </c>
      <c r="D61" s="44">
        <v>18426</v>
      </c>
    </row>
    <row r="62" spans="1:4" x14ac:dyDescent="0.25">
      <c r="A62" s="19" t="s">
        <v>82</v>
      </c>
      <c r="C62" s="49" t="s">
        <v>56</v>
      </c>
      <c r="D62" s="44">
        <v>18502</v>
      </c>
    </row>
    <row r="63" spans="1:4" x14ac:dyDescent="0.25">
      <c r="C63" s="49" t="s">
        <v>57</v>
      </c>
      <c r="D63" s="44">
        <v>82093</v>
      </c>
    </row>
    <row r="64" spans="1:4" x14ac:dyDescent="0.25">
      <c r="C64" s="49" t="s">
        <v>58</v>
      </c>
      <c r="D64" s="44">
        <v>3854</v>
      </c>
    </row>
    <row r="65" spans="1:7" x14ac:dyDescent="0.25">
      <c r="C65" s="49" t="s">
        <v>59</v>
      </c>
      <c r="D65" s="44">
        <v>13616</v>
      </c>
    </row>
    <row r="66" spans="1:7" x14ac:dyDescent="0.25">
      <c r="C66" s="49" t="s">
        <v>60</v>
      </c>
      <c r="D66" s="44">
        <v>117605</v>
      </c>
    </row>
    <row r="67" spans="1:7" x14ac:dyDescent="0.25">
      <c r="C67" s="50" t="s">
        <v>61</v>
      </c>
      <c r="D67" s="51">
        <f>SUM(D48:D66)</f>
        <v>2061181</v>
      </c>
      <c r="G67" s="54">
        <f>+'Ex 1 2017 fin'!D28</f>
        <v>2117706</v>
      </c>
    </row>
    <row r="68" spans="1:7" ht="33" customHeight="1" thickBot="1" x14ac:dyDescent="0.3">
      <c r="C68" s="32" t="s">
        <v>62</v>
      </c>
      <c r="D68" s="52">
        <f>+D45-D67</f>
        <v>-173941</v>
      </c>
    </row>
    <row r="69" spans="1:7" ht="16.5" thickTop="1" x14ac:dyDescent="0.25">
      <c r="D69" s="44"/>
    </row>
    <row r="70" spans="1:7" x14ac:dyDescent="0.25">
      <c r="C70" s="32" t="s">
        <v>90</v>
      </c>
      <c r="D70" s="44"/>
    </row>
    <row r="71" spans="1:7" x14ac:dyDescent="0.25">
      <c r="D71" s="44"/>
    </row>
    <row r="72" spans="1:7" x14ac:dyDescent="0.25">
      <c r="D72" s="44"/>
    </row>
    <row r="73" spans="1:7" x14ac:dyDescent="0.25">
      <c r="D73" s="44"/>
    </row>
    <row r="74" spans="1:7" x14ac:dyDescent="0.25">
      <c r="A74" s="32" t="s">
        <v>83</v>
      </c>
      <c r="C74" s="49" t="s">
        <v>44</v>
      </c>
      <c r="D74" s="44">
        <f>+D50</f>
        <v>181930</v>
      </c>
    </row>
    <row r="75" spans="1:7" x14ac:dyDescent="0.25">
      <c r="C75" s="49"/>
      <c r="D75" s="44"/>
    </row>
    <row r="76" spans="1:7" x14ac:dyDescent="0.25">
      <c r="A76" s="32" t="s">
        <v>51</v>
      </c>
      <c r="C76" s="49" t="s">
        <v>46</v>
      </c>
      <c r="D76" s="44">
        <f t="shared" ref="D76" si="0">+D52</f>
        <v>11483</v>
      </c>
    </row>
    <row r="77" spans="1:7" x14ac:dyDescent="0.25">
      <c r="A77" s="32" t="s">
        <v>51</v>
      </c>
      <c r="C77" s="49" t="s">
        <v>51</v>
      </c>
      <c r="D77" s="44">
        <f>+D57</f>
        <v>24948</v>
      </c>
    </row>
    <row r="78" spans="1:7" ht="16.5" thickBot="1" x14ac:dyDescent="0.3">
      <c r="C78" s="49"/>
      <c r="D78" s="52">
        <f>SUM(D76:D77)</f>
        <v>36431</v>
      </c>
    </row>
    <row r="79" spans="1:7" ht="16.5" thickTop="1" x14ac:dyDescent="0.25">
      <c r="C79" s="49"/>
      <c r="D79" s="44"/>
    </row>
    <row r="80" spans="1:7" x14ac:dyDescent="0.25">
      <c r="A80" s="19" t="s">
        <v>82</v>
      </c>
      <c r="C80" s="49" t="s">
        <v>49</v>
      </c>
      <c r="D80" s="44">
        <f>+D55</f>
        <v>183782</v>
      </c>
    </row>
    <row r="81" spans="1:4" x14ac:dyDescent="0.25">
      <c r="A81" s="19" t="s">
        <v>82</v>
      </c>
      <c r="C81" s="49" t="s">
        <v>55</v>
      </c>
      <c r="D81" s="44">
        <f>+D61</f>
        <v>18426</v>
      </c>
    </row>
    <row r="82" spans="1:4" x14ac:dyDescent="0.25">
      <c r="A82" s="19" t="s">
        <v>82</v>
      </c>
      <c r="C82" s="49" t="s">
        <v>56</v>
      </c>
      <c r="D82" s="44">
        <f>+D62</f>
        <v>18502</v>
      </c>
    </row>
    <row r="83" spans="1:4" ht="16.5" thickBot="1" x14ac:dyDescent="0.3">
      <c r="D83" s="52">
        <f>SUM(D80:D82)</f>
        <v>220710</v>
      </c>
    </row>
    <row r="84" spans="1:4" ht="16.5" thickTop="1" x14ac:dyDescent="0.25"/>
    <row r="88" spans="1:4" x14ac:dyDescent="0.25">
      <c r="C88" s="32" t="s">
        <v>86</v>
      </c>
      <c r="D88" s="44">
        <f>+D67-D65-D66</f>
        <v>1929960</v>
      </c>
    </row>
    <row r="89" spans="1:4" x14ac:dyDescent="0.25">
      <c r="C89" s="32" t="s">
        <v>87</v>
      </c>
      <c r="D89" s="44">
        <f>+D67-D88</f>
        <v>131221</v>
      </c>
    </row>
  </sheetData>
  <printOptions horizontalCentered="1"/>
  <pageMargins left="0.7" right="0.2" top="0.25" bottom="0.75" header="0.3" footer="0.3"/>
  <pageSetup scale="89" orientation="portrait" horizontalDpi="1200" verticalDpi="1200" r:id="rId1"/>
  <rowBreaks count="1" manualBreakCount="1">
    <brk id="33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N26"/>
  <sheetViews>
    <sheetView view="pageBreakPreview" zoomScale="60" zoomScaleNormal="100" workbookViewId="0">
      <selection activeCell="T35" sqref="T35"/>
    </sheetView>
  </sheetViews>
  <sheetFormatPr defaultRowHeight="15.75" x14ac:dyDescent="0.25"/>
  <cols>
    <col min="1" max="1" width="9.140625" style="32"/>
    <col min="2" max="2" width="26.140625" style="32" customWidth="1"/>
    <col min="3" max="8" width="9.7109375" style="32" customWidth="1"/>
    <col min="9" max="9" width="2.42578125" style="32" customWidth="1"/>
    <col min="10" max="13" width="9.7109375" style="32" customWidth="1"/>
    <col min="14" max="16384" width="9.140625" style="32"/>
  </cols>
  <sheetData>
    <row r="1" spans="2:14" x14ac:dyDescent="0.25">
      <c r="I1" s="45" t="s">
        <v>98</v>
      </c>
    </row>
    <row r="2" spans="2:14" ht="56.25" customHeight="1" x14ac:dyDescent="0.25"/>
    <row r="3" spans="2:14" x14ac:dyDescent="0.25">
      <c r="B3" s="20" t="s">
        <v>84</v>
      </c>
      <c r="C3" s="47"/>
      <c r="D3" s="47"/>
      <c r="E3" s="47"/>
      <c r="F3" s="47"/>
      <c r="G3" s="47"/>
      <c r="H3" s="47"/>
      <c r="N3" t="s">
        <v>84</v>
      </c>
    </row>
    <row r="4" spans="2:14" x14ac:dyDescent="0.25">
      <c r="B4" s="47" t="s">
        <v>99</v>
      </c>
      <c r="C4" s="47"/>
      <c r="D4" s="47"/>
      <c r="E4" s="47"/>
      <c r="F4" s="47"/>
      <c r="G4" s="47"/>
      <c r="H4" s="47"/>
      <c r="N4" t="s">
        <v>85</v>
      </c>
    </row>
    <row r="5" spans="2:14" x14ac:dyDescent="0.25">
      <c r="B5" s="47" t="s">
        <v>100</v>
      </c>
      <c r="C5" s="47"/>
      <c r="D5" s="47"/>
      <c r="E5" s="47"/>
      <c r="F5" s="47"/>
      <c r="G5" s="47"/>
      <c r="H5" s="47"/>
    </row>
    <row r="6" spans="2:14" x14ac:dyDescent="0.25">
      <c r="B6" s="20" t="s">
        <v>101</v>
      </c>
      <c r="C6" s="47"/>
      <c r="D6" s="47"/>
      <c r="E6" s="47"/>
      <c r="F6" s="47"/>
      <c r="G6" s="47"/>
      <c r="H6" s="47"/>
    </row>
    <row r="7" spans="2:14" x14ac:dyDescent="0.25">
      <c r="B7" s="20"/>
      <c r="C7" s="47"/>
      <c r="D7" s="47"/>
      <c r="E7" s="47"/>
      <c r="F7" s="47"/>
      <c r="G7" s="47"/>
      <c r="H7" s="47"/>
    </row>
    <row r="10" spans="2:14" x14ac:dyDescent="0.25">
      <c r="C10" s="59" t="s">
        <v>102</v>
      </c>
    </row>
    <row r="11" spans="2:14" x14ac:dyDescent="0.25">
      <c r="C11" s="59"/>
    </row>
    <row r="12" spans="2:14" x14ac:dyDescent="0.25">
      <c r="B12" s="32" t="s">
        <v>7</v>
      </c>
      <c r="C12" s="60">
        <f>+'raw demo'!B11</f>
        <v>4218</v>
      </c>
      <c r="D12" s="46">
        <f>+C12/D24</f>
        <v>2.9069607167470708</v>
      </c>
      <c r="E12" s="46">
        <f>+C12/E24</f>
        <v>3.5564924114671164</v>
      </c>
      <c r="F12" s="46">
        <f>+C12/F24</f>
        <v>1.5995449374288964</v>
      </c>
    </row>
    <row r="13" spans="2:14" x14ac:dyDescent="0.25">
      <c r="B13" s="32" t="s">
        <v>103</v>
      </c>
      <c r="C13" s="60">
        <f>+'raw demo'!B16</f>
        <v>1767</v>
      </c>
      <c r="D13" s="61">
        <f>+D24/C13</f>
        <v>0.82116581777023201</v>
      </c>
      <c r="E13" s="61">
        <f>+E24/C13</f>
        <v>0.6711941143180532</v>
      </c>
      <c r="F13" s="61">
        <f>+F24/C13</f>
        <v>1.4923599320882852</v>
      </c>
    </row>
    <row r="14" spans="2:14" ht="16.5" thickBot="1" x14ac:dyDescent="0.3">
      <c r="B14" s="49" t="s">
        <v>104</v>
      </c>
      <c r="C14" s="62">
        <f>+C12/C13</f>
        <v>2.3870967741935485</v>
      </c>
    </row>
    <row r="15" spans="2:14" ht="16.5" thickTop="1" x14ac:dyDescent="0.25">
      <c r="B15" s="49"/>
      <c r="C15" s="63"/>
    </row>
    <row r="16" spans="2:14" x14ac:dyDescent="0.25">
      <c r="B16" s="49"/>
      <c r="C16" s="63"/>
    </row>
    <row r="17" spans="2:8" x14ac:dyDescent="0.25">
      <c r="B17" s="49"/>
      <c r="C17" s="63"/>
    </row>
    <row r="18" spans="2:8" x14ac:dyDescent="0.25">
      <c r="B18" s="49"/>
      <c r="C18" s="63"/>
    </row>
    <row r="19" spans="2:8" x14ac:dyDescent="0.25">
      <c r="B19" s="49"/>
      <c r="C19" s="63"/>
    </row>
    <row r="20" spans="2:8" x14ac:dyDescent="0.25">
      <c r="B20" s="20" t="str">
        <f>+B3</f>
        <v>Township of Mahoning Sewer and Water Systems Assets</v>
      </c>
      <c r="C20" s="64"/>
      <c r="D20" s="20"/>
      <c r="E20" s="20"/>
      <c r="F20" s="20"/>
      <c r="G20" s="20"/>
      <c r="H20" s="20"/>
    </row>
    <row r="22" spans="2:8" x14ac:dyDescent="0.25">
      <c r="D22" s="59" t="s">
        <v>72</v>
      </c>
      <c r="E22" s="59" t="s">
        <v>71</v>
      </c>
      <c r="F22" s="59" t="s">
        <v>73</v>
      </c>
    </row>
    <row r="23" spans="2:8" x14ac:dyDescent="0.25">
      <c r="D23" s="59"/>
    </row>
    <row r="24" spans="2:8" x14ac:dyDescent="0.25">
      <c r="B24" s="32" t="s">
        <v>105</v>
      </c>
      <c r="D24" s="44">
        <v>1451</v>
      </c>
      <c r="E24" s="44">
        <v>1186</v>
      </c>
      <c r="F24" s="44">
        <f>+E24+D24</f>
        <v>2637</v>
      </c>
    </row>
    <row r="25" spans="2:8" x14ac:dyDescent="0.25">
      <c r="B25" s="32" t="s">
        <v>106</v>
      </c>
      <c r="D25" s="44">
        <v>2194</v>
      </c>
      <c r="E25" s="44">
        <v>1367</v>
      </c>
      <c r="F25" s="44">
        <f>+E25+D25</f>
        <v>3561</v>
      </c>
    </row>
    <row r="26" spans="2:8" x14ac:dyDescent="0.25">
      <c r="C26" s="44"/>
    </row>
  </sheetData>
  <printOptions horizontalCentered="1"/>
  <pageMargins left="0.7" right="0.2" top="0.2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V119"/>
  <sheetViews>
    <sheetView view="pageBreakPreview" topLeftCell="A55" zoomScale="60" zoomScaleNormal="100" workbookViewId="0">
      <selection activeCell="F8" sqref="F8"/>
    </sheetView>
  </sheetViews>
  <sheetFormatPr defaultRowHeight="15.75" x14ac:dyDescent="0.25"/>
  <cols>
    <col min="1" max="1" width="9.140625" style="19"/>
    <col min="2" max="2" width="40.85546875" style="19" customWidth="1"/>
    <col min="3" max="4" width="16.7109375" style="19" customWidth="1"/>
    <col min="5" max="5" width="18.42578125" style="19" customWidth="1"/>
    <col min="6" max="6" width="15.42578125" style="19" customWidth="1"/>
    <col min="7" max="9" width="9.140625" style="19"/>
    <col min="10" max="12" width="10.28515625" style="19" bestFit="1" customWidth="1"/>
    <col min="13" max="16" width="9.140625" style="19"/>
    <col min="17" max="17" width="15" style="19" bestFit="1" customWidth="1"/>
    <col min="18" max="19" width="9.140625" style="19"/>
    <col min="20" max="22" width="10.85546875" style="19" bestFit="1" customWidth="1"/>
    <col min="23" max="16384" width="9.140625" style="19"/>
  </cols>
  <sheetData>
    <row r="6" spans="2:6" x14ac:dyDescent="0.25">
      <c r="C6" s="18"/>
    </row>
    <row r="7" spans="2:6" x14ac:dyDescent="0.25">
      <c r="B7" s="20" t="s">
        <v>63</v>
      </c>
      <c r="C7" s="18"/>
    </row>
    <row r="13" spans="2:6" x14ac:dyDescent="0.25">
      <c r="C13" s="34">
        <v>42768</v>
      </c>
    </row>
    <row r="14" spans="2:6" x14ac:dyDescent="0.25">
      <c r="B14" s="21" t="s">
        <v>64</v>
      </c>
    </row>
    <row r="16" spans="2:6" ht="16.5" thickBot="1" x14ac:dyDescent="0.3">
      <c r="B16" s="22" t="s">
        <v>65</v>
      </c>
      <c r="C16" s="28">
        <v>5715107</v>
      </c>
      <c r="D16" s="22"/>
      <c r="E16" s="22"/>
      <c r="F16" s="24">
        <f>+C16/1000000</f>
        <v>5.7151069999999997</v>
      </c>
    </row>
    <row r="17" spans="2:22" ht="16.5" thickTop="1" x14ac:dyDescent="0.25">
      <c r="B17" s="22"/>
      <c r="C17" s="26"/>
      <c r="D17" s="22"/>
      <c r="E17" s="22"/>
      <c r="F17" s="24"/>
    </row>
    <row r="18" spans="2:22" x14ac:dyDescent="0.25">
      <c r="B18" s="22" t="s">
        <v>66</v>
      </c>
      <c r="C18" s="26">
        <v>5628940</v>
      </c>
      <c r="D18" s="22"/>
      <c r="E18" s="22"/>
      <c r="F18" s="24">
        <f>+C18/1000000</f>
        <v>5.6289400000000001</v>
      </c>
    </row>
    <row r="19" spans="2:22" ht="16.5" thickBot="1" x14ac:dyDescent="0.3">
      <c r="B19" s="22" t="s">
        <v>67</v>
      </c>
      <c r="C19" s="27">
        <f>SUM(C18)</f>
        <v>5628940</v>
      </c>
      <c r="D19" s="22"/>
      <c r="E19" s="22"/>
      <c r="F19" s="24">
        <f>+C19/1000000</f>
        <v>5.6289400000000001</v>
      </c>
    </row>
    <row r="20" spans="2:22" ht="16.5" thickTop="1" x14ac:dyDescent="0.25">
      <c r="B20" s="22"/>
      <c r="C20" s="26"/>
      <c r="D20" s="22"/>
      <c r="E20" s="22"/>
      <c r="F20" s="29"/>
    </row>
    <row r="21" spans="2:22" x14ac:dyDescent="0.25">
      <c r="B21" s="22"/>
      <c r="C21" s="37" t="s">
        <v>74</v>
      </c>
      <c r="D21" s="40" t="s">
        <v>77</v>
      </c>
      <c r="E21" s="22"/>
      <c r="F21" s="29"/>
    </row>
    <row r="22" spans="2:22" x14ac:dyDescent="0.25">
      <c r="B22" s="22"/>
      <c r="C22" s="34">
        <v>42768</v>
      </c>
      <c r="D22" s="34">
        <v>42768</v>
      </c>
      <c r="E22" s="22"/>
      <c r="F22" s="29"/>
    </row>
    <row r="23" spans="2:22" x14ac:dyDescent="0.25">
      <c r="B23" s="30" t="s">
        <v>78</v>
      </c>
      <c r="C23" s="26"/>
      <c r="D23" s="22"/>
      <c r="E23" s="22"/>
      <c r="F23" s="29"/>
      <c r="J23" s="19" t="s">
        <v>71</v>
      </c>
      <c r="K23" s="19" t="s">
        <v>72</v>
      </c>
      <c r="L23" s="19" t="s">
        <v>73</v>
      </c>
      <c r="S23" s="19" t="s">
        <v>71</v>
      </c>
      <c r="T23" s="19" t="s">
        <v>72</v>
      </c>
      <c r="U23" s="19" t="s">
        <v>73</v>
      </c>
    </row>
    <row r="24" spans="2:22" x14ac:dyDescent="0.25">
      <c r="B24" s="22"/>
      <c r="C24" s="26"/>
      <c r="D24" s="22"/>
      <c r="E24" s="22"/>
      <c r="F24" s="29"/>
    </row>
    <row r="25" spans="2:22" x14ac:dyDescent="0.25">
      <c r="B25" s="22" t="s">
        <v>75</v>
      </c>
      <c r="C25" s="23">
        <f>+L25</f>
        <v>622403</v>
      </c>
      <c r="D25" s="23">
        <f t="shared" ref="D25:D26" si="0">+C25*3</f>
        <v>1867209</v>
      </c>
      <c r="E25" s="22"/>
      <c r="F25" s="29"/>
      <c r="J25" s="23">
        <v>242272</v>
      </c>
      <c r="K25" s="23">
        <v>380131</v>
      </c>
      <c r="L25" s="23">
        <f t="shared" ref="L25:L26" si="1">+K25+J25</f>
        <v>622403</v>
      </c>
      <c r="O25" s="19">
        <f>(0.4*0.1)+(0.6*0.15)</f>
        <v>0.13</v>
      </c>
      <c r="P25" s="19">
        <f>1+O25</f>
        <v>1.1299999999999999</v>
      </c>
      <c r="Q25" s="35">
        <f>+P25*D25</f>
        <v>2109946.17</v>
      </c>
      <c r="S25" s="41">
        <v>754896</v>
      </c>
      <c r="T25" s="41">
        <v>1132344</v>
      </c>
      <c r="U25" s="41">
        <f>+T25+S25</f>
        <v>1887240</v>
      </c>
      <c r="V25" s="41">
        <v>1829023</v>
      </c>
    </row>
    <row r="26" spans="2:22" x14ac:dyDescent="0.25">
      <c r="B26" s="22" t="s">
        <v>76</v>
      </c>
      <c r="C26" s="39">
        <f>+L26</f>
        <v>9753</v>
      </c>
      <c r="D26" s="39">
        <f t="shared" si="0"/>
        <v>29259</v>
      </c>
      <c r="E26" s="22"/>
      <c r="F26" s="29"/>
      <c r="J26" s="39">
        <v>4865</v>
      </c>
      <c r="K26" s="39">
        <v>4888</v>
      </c>
      <c r="L26" s="39">
        <f t="shared" si="1"/>
        <v>9753</v>
      </c>
      <c r="T26" s="36">
        <f>+T25/U25</f>
        <v>0.6</v>
      </c>
    </row>
    <row r="27" spans="2:22" x14ac:dyDescent="0.25">
      <c r="B27" s="22" t="s">
        <v>68</v>
      </c>
      <c r="C27" s="26">
        <f>+L27</f>
        <v>632156</v>
      </c>
      <c r="D27" s="26">
        <f>+C27*3</f>
        <v>1896468</v>
      </c>
      <c r="E27" s="23"/>
      <c r="F27" s="24">
        <f t="shared" ref="F27:F29" si="2">+C27/1000000</f>
        <v>0.63215600000000005</v>
      </c>
      <c r="J27" s="26">
        <f>247137</f>
        <v>247137</v>
      </c>
      <c r="K27" s="26">
        <f>385019</f>
        <v>385019</v>
      </c>
      <c r="L27" s="26">
        <f>+K27+J27</f>
        <v>632156</v>
      </c>
    </row>
    <row r="28" spans="2:22" x14ac:dyDescent="0.25">
      <c r="B28" s="22" t="s">
        <v>69</v>
      </c>
      <c r="C28" s="26">
        <f>+L28</f>
        <v>705902</v>
      </c>
      <c r="D28" s="26">
        <f>+C28*3</f>
        <v>2117706</v>
      </c>
      <c r="E28" s="26"/>
      <c r="F28" s="24">
        <f t="shared" si="2"/>
        <v>0.70590200000000003</v>
      </c>
      <c r="J28" s="26">
        <f>275037</f>
        <v>275037</v>
      </c>
      <c r="K28" s="26">
        <f>430865</f>
        <v>430865</v>
      </c>
      <c r="L28" s="26">
        <f>+K28+J28</f>
        <v>705902</v>
      </c>
    </row>
    <row r="29" spans="2:22" ht="32.25" thickBot="1" x14ac:dyDescent="0.3">
      <c r="B29" s="31" t="s">
        <v>70</v>
      </c>
      <c r="C29" s="25">
        <f>+C27-C28</f>
        <v>-73746</v>
      </c>
      <c r="D29" s="25">
        <f>+D27-D28</f>
        <v>-221238</v>
      </c>
      <c r="E29" s="23"/>
      <c r="F29" s="24">
        <f t="shared" si="2"/>
        <v>-7.3746000000000006E-2</v>
      </c>
      <c r="J29" s="25">
        <f>+J27-J28</f>
        <v>-27900</v>
      </c>
      <c r="K29" s="25">
        <f>+K27-K28</f>
        <v>-45846</v>
      </c>
      <c r="L29" s="25">
        <f>+L27-L28</f>
        <v>-73746</v>
      </c>
    </row>
    <row r="30" spans="2:22" ht="16.5" thickTop="1" x14ac:dyDescent="0.25">
      <c r="B30" s="31"/>
      <c r="C30" s="23"/>
      <c r="D30" s="22"/>
      <c r="E30" s="22"/>
      <c r="F30" s="24"/>
    </row>
    <row r="31" spans="2:22" x14ac:dyDescent="0.25">
      <c r="B31" s="31"/>
      <c r="C31" s="23"/>
      <c r="D31" s="38"/>
      <c r="E31" s="22"/>
      <c r="F31" s="24"/>
    </row>
    <row r="32" spans="2:22" x14ac:dyDescent="0.25">
      <c r="B32" s="31"/>
      <c r="C32" s="23"/>
      <c r="D32" s="22"/>
      <c r="E32" s="22"/>
      <c r="F32" s="24"/>
      <c r="K32" s="36">
        <f t="shared" ref="K32" si="3">+K25/L25</f>
        <v>0.61074737750300045</v>
      </c>
    </row>
    <row r="33" spans="2:11" x14ac:dyDescent="0.25">
      <c r="B33" s="32" t="s">
        <v>79</v>
      </c>
      <c r="C33" s="33"/>
      <c r="K33" s="36"/>
    </row>
    <row r="34" spans="2:11" x14ac:dyDescent="0.25">
      <c r="C34" s="33"/>
      <c r="K34" s="36">
        <f>+K27/L27</f>
        <v>0.60905694164098734</v>
      </c>
    </row>
    <row r="35" spans="2:11" x14ac:dyDescent="0.25">
      <c r="C35" s="33"/>
      <c r="K35" s="36">
        <f>+K28/L28</f>
        <v>0.61037509455986805</v>
      </c>
    </row>
    <row r="36" spans="2:11" ht="18.75" x14ac:dyDescent="0.3">
      <c r="F36" s="56" t="str">
        <f>+"EXHIBIT "&amp;G36</f>
        <v>EXHIBIT 1</v>
      </c>
      <c r="G36" s="57">
        <v>1</v>
      </c>
    </row>
    <row r="37" spans="2:11" ht="18.75" x14ac:dyDescent="0.2">
      <c r="F37" s="58" t="str">
        <f>+"Page "&amp;G37&amp;" of "&amp;H37</f>
        <v>Page 3 of 4</v>
      </c>
      <c r="G37" s="57">
        <v>3</v>
      </c>
      <c r="H37" s="19">
        <v>4</v>
      </c>
    </row>
    <row r="38" spans="2:11" x14ac:dyDescent="0.25">
      <c r="B38" s="20" t="s">
        <v>120</v>
      </c>
      <c r="C38" s="18"/>
      <c r="D38" s="47"/>
      <c r="E38" s="47"/>
    </row>
    <row r="39" spans="2:11" x14ac:dyDescent="0.25">
      <c r="B39" s="47" t="s">
        <v>110</v>
      </c>
      <c r="C39" s="18"/>
      <c r="D39" s="47"/>
      <c r="E39" s="47"/>
    </row>
    <row r="40" spans="2:11" x14ac:dyDescent="0.25">
      <c r="B40" s="20" t="s">
        <v>111</v>
      </c>
      <c r="C40" s="18"/>
      <c r="D40" s="47"/>
      <c r="E40" s="47"/>
    </row>
    <row r="44" spans="2:11" x14ac:dyDescent="0.25">
      <c r="C44" s="67" t="s">
        <v>71</v>
      </c>
      <c r="D44" s="67" t="s">
        <v>72</v>
      </c>
      <c r="E44" s="67" t="s">
        <v>73</v>
      </c>
    </row>
    <row r="46" spans="2:11" x14ac:dyDescent="0.25">
      <c r="B46" s="22" t="s">
        <v>75</v>
      </c>
      <c r="C46" s="65">
        <v>242272</v>
      </c>
      <c r="D46" s="65">
        <v>380131</v>
      </c>
      <c r="E46" s="65">
        <f>+D46+C46</f>
        <v>622403</v>
      </c>
    </row>
    <row r="47" spans="2:11" x14ac:dyDescent="0.25">
      <c r="C47" s="65"/>
      <c r="D47" s="65"/>
      <c r="E47" s="65"/>
    </row>
    <row r="48" spans="2:11" x14ac:dyDescent="0.25">
      <c r="B48" s="19" t="s">
        <v>107</v>
      </c>
      <c r="C48" s="65">
        <v>243464</v>
      </c>
      <c r="D48" s="65">
        <v>390409</v>
      </c>
      <c r="E48" s="65">
        <f t="shared" ref="E48:E51" si="4">+D48+C48</f>
        <v>633873</v>
      </c>
    </row>
    <row r="49" spans="1:8" x14ac:dyDescent="0.25">
      <c r="B49" s="19" t="s">
        <v>108</v>
      </c>
      <c r="C49" s="65">
        <v>12127</v>
      </c>
      <c r="D49" s="65">
        <v>18189</v>
      </c>
      <c r="E49" s="65">
        <f t="shared" si="4"/>
        <v>30316</v>
      </c>
    </row>
    <row r="50" spans="1:8" x14ac:dyDescent="0.25">
      <c r="B50" s="19" t="s">
        <v>60</v>
      </c>
      <c r="C50" s="65">
        <v>19446</v>
      </c>
      <c r="D50" s="65">
        <v>22267</v>
      </c>
      <c r="E50" s="65">
        <f t="shared" si="4"/>
        <v>41713</v>
      </c>
      <c r="G50" s="19">
        <f>+E50/0.33</f>
        <v>126403.0303030303</v>
      </c>
    </row>
    <row r="51" spans="1:8" ht="16.5" thickBot="1" x14ac:dyDescent="0.3">
      <c r="B51" s="19" t="s">
        <v>109</v>
      </c>
      <c r="C51" s="66">
        <f>SUM(C48:C50)</f>
        <v>275037</v>
      </c>
      <c r="D51" s="66">
        <f>SUM(D48:D50)</f>
        <v>430865</v>
      </c>
      <c r="E51" s="66">
        <f t="shared" si="4"/>
        <v>705902</v>
      </c>
    </row>
    <row r="52" spans="1:8" ht="16.5" thickTop="1" x14ac:dyDescent="0.25">
      <c r="C52" s="65"/>
      <c r="D52" s="65"/>
      <c r="E52" s="65"/>
    </row>
    <row r="53" spans="1:8" x14ac:dyDescent="0.25">
      <c r="C53" s="65"/>
      <c r="D53" s="65"/>
      <c r="E53" s="65"/>
    </row>
    <row r="54" spans="1:8" x14ac:dyDescent="0.25">
      <c r="C54" s="65"/>
      <c r="D54" s="65"/>
      <c r="E54" s="65"/>
    </row>
    <row r="55" spans="1:8" x14ac:dyDescent="0.25">
      <c r="B55" s="22" t="s">
        <v>75</v>
      </c>
      <c r="C55" s="68">
        <f>ROUND(+C46/E46,2)</f>
        <v>0.39</v>
      </c>
      <c r="D55" s="69">
        <f>1-C55</f>
        <v>0.61</v>
      </c>
      <c r="E55" s="69">
        <f>+D55+C55</f>
        <v>1</v>
      </c>
    </row>
    <row r="57" spans="1:8" x14ac:dyDescent="0.25">
      <c r="B57" s="19" t="s">
        <v>107</v>
      </c>
      <c r="C57" s="68">
        <f t="shared" ref="C57:C60" si="5">ROUND(+C48/E48,2)</f>
        <v>0.38</v>
      </c>
      <c r="D57" s="69">
        <f t="shared" ref="D57:D60" si="6">1-C57</f>
        <v>0.62</v>
      </c>
      <c r="E57" s="69">
        <f t="shared" ref="E57:E60" si="7">+D57+C57</f>
        <v>1</v>
      </c>
    </row>
    <row r="58" spans="1:8" x14ac:dyDescent="0.25">
      <c r="B58" s="19" t="s">
        <v>108</v>
      </c>
      <c r="C58" s="68">
        <f t="shared" si="5"/>
        <v>0.4</v>
      </c>
      <c r="D58" s="69">
        <f t="shared" si="6"/>
        <v>0.6</v>
      </c>
      <c r="E58" s="69">
        <f t="shared" si="7"/>
        <v>1</v>
      </c>
    </row>
    <row r="59" spans="1:8" x14ac:dyDescent="0.25">
      <c r="B59" s="19" t="s">
        <v>60</v>
      </c>
      <c r="C59" s="68">
        <f t="shared" si="5"/>
        <v>0.47</v>
      </c>
      <c r="D59" s="69">
        <f t="shared" si="6"/>
        <v>0.53</v>
      </c>
      <c r="E59" s="69">
        <f t="shared" si="7"/>
        <v>1</v>
      </c>
    </row>
    <row r="60" spans="1:8" x14ac:dyDescent="0.25">
      <c r="B60" s="19" t="s">
        <v>109</v>
      </c>
      <c r="C60" s="68">
        <f t="shared" si="5"/>
        <v>0.39</v>
      </c>
      <c r="D60" s="69">
        <f t="shared" si="6"/>
        <v>0.61</v>
      </c>
      <c r="E60" s="69">
        <f t="shared" si="7"/>
        <v>1</v>
      </c>
    </row>
    <row r="62" spans="1:8" x14ac:dyDescent="0.25">
      <c r="B62" s="19" t="s">
        <v>119</v>
      </c>
    </row>
    <row r="63" spans="1:8" ht="18.75" x14ac:dyDescent="0.3">
      <c r="A63" s="32"/>
      <c r="B63" s="32"/>
      <c r="C63" s="32"/>
      <c r="D63" s="32"/>
      <c r="E63" s="32"/>
      <c r="F63" s="56" t="str">
        <f>+"EXHIBIT "&amp;G63</f>
        <v>EXHIBIT 1</v>
      </c>
      <c r="G63" s="57">
        <v>1</v>
      </c>
    </row>
    <row r="64" spans="1:8" ht="18.75" x14ac:dyDescent="0.25">
      <c r="A64" s="32"/>
      <c r="B64" s="32"/>
      <c r="C64" s="32"/>
      <c r="D64" s="32"/>
      <c r="E64" s="32"/>
      <c r="F64" s="58" t="str">
        <f>+"Page "&amp;G64&amp;" of "&amp;H64</f>
        <v>Page 4 of 4</v>
      </c>
      <c r="G64" s="57">
        <v>4</v>
      </c>
      <c r="H64" s="19">
        <v>4</v>
      </c>
    </row>
    <row r="65" spans="1:9" x14ac:dyDescent="0.25">
      <c r="A65" s="32"/>
      <c r="B65" s="20" t="s">
        <v>120</v>
      </c>
      <c r="C65" s="18"/>
      <c r="D65" s="47"/>
      <c r="E65" s="47"/>
      <c r="F65" s="32"/>
      <c r="G65" s="87" t="s">
        <v>129</v>
      </c>
    </row>
    <row r="66" spans="1:9" x14ac:dyDescent="0.25">
      <c r="A66" s="32"/>
      <c r="B66" s="47" t="s">
        <v>37</v>
      </c>
      <c r="C66" s="18"/>
      <c r="D66" s="47"/>
      <c r="E66" s="47"/>
      <c r="F66" s="32"/>
      <c r="G66" s="87" t="s">
        <v>129</v>
      </c>
    </row>
    <row r="67" spans="1:9" x14ac:dyDescent="0.25">
      <c r="A67" s="32"/>
      <c r="B67" s="20" t="s">
        <v>113</v>
      </c>
      <c r="C67" s="18"/>
      <c r="D67" s="47"/>
      <c r="E67" s="47"/>
      <c r="F67" s="32"/>
      <c r="G67" s="87" t="s">
        <v>129</v>
      </c>
    </row>
    <row r="68" spans="1:9" x14ac:dyDescent="0.25">
      <c r="A68" s="32"/>
      <c r="B68" s="32"/>
      <c r="C68" s="32"/>
      <c r="D68" s="32"/>
      <c r="E68" s="32"/>
      <c r="F68" s="32"/>
      <c r="G68" s="32"/>
    </row>
    <row r="69" spans="1:9" x14ac:dyDescent="0.25">
      <c r="A69" s="32"/>
      <c r="B69" s="32"/>
      <c r="C69" s="67" t="s">
        <v>114</v>
      </c>
      <c r="D69" s="67" t="s">
        <v>115</v>
      </c>
      <c r="E69" s="71" t="s">
        <v>116</v>
      </c>
      <c r="F69" s="32"/>
      <c r="G69" s="32" t="s">
        <v>71</v>
      </c>
    </row>
    <row r="70" spans="1:9" x14ac:dyDescent="0.25">
      <c r="A70" s="32"/>
      <c r="B70" s="32"/>
      <c r="C70" s="72" t="s">
        <v>72</v>
      </c>
      <c r="D70" s="34" t="s">
        <v>71</v>
      </c>
      <c r="E70" s="59" t="s">
        <v>73</v>
      </c>
      <c r="F70" s="32"/>
      <c r="G70" s="32" t="s">
        <v>112</v>
      </c>
    </row>
    <row r="71" spans="1:9" x14ac:dyDescent="0.25">
      <c r="A71" s="32"/>
      <c r="B71" s="32" t="s">
        <v>39</v>
      </c>
      <c r="D71" s="32"/>
      <c r="E71" s="32"/>
      <c r="F71" s="32"/>
      <c r="G71" s="32"/>
    </row>
    <row r="72" spans="1:9" x14ac:dyDescent="0.25">
      <c r="A72" s="32"/>
      <c r="B72" s="49" t="s">
        <v>80</v>
      </c>
      <c r="C72" s="43">
        <f>+E72-D72</f>
        <v>1115704</v>
      </c>
      <c r="D72" s="43">
        <f>+ROUND(+E72*G72,0)</f>
        <v>713319</v>
      </c>
      <c r="E72" s="43">
        <v>1829023</v>
      </c>
      <c r="F72" s="32"/>
      <c r="G72" s="70">
        <v>0.39</v>
      </c>
    </row>
    <row r="73" spans="1:9" x14ac:dyDescent="0.25">
      <c r="A73" s="32"/>
      <c r="B73" s="49" t="s">
        <v>81</v>
      </c>
      <c r="C73" s="44">
        <f>+E73-D73</f>
        <v>35512</v>
      </c>
      <c r="D73" s="44">
        <f>+ROUND(+E73*G73,0)</f>
        <v>22705</v>
      </c>
      <c r="E73" s="44">
        <v>58217</v>
      </c>
      <c r="F73" s="32"/>
      <c r="G73" s="70">
        <v>0.39</v>
      </c>
    </row>
    <row r="74" spans="1:9" x14ac:dyDescent="0.25">
      <c r="A74" s="32"/>
      <c r="B74" s="50" t="s">
        <v>40</v>
      </c>
      <c r="C74" s="51">
        <f t="shared" ref="C74:D74" si="8">SUM(C72:C73)</f>
        <v>1151216</v>
      </c>
      <c r="D74" s="51">
        <f t="shared" si="8"/>
        <v>736024</v>
      </c>
      <c r="E74" s="51">
        <f>SUM(E72:E73)</f>
        <v>1887240</v>
      </c>
      <c r="F74" s="32"/>
      <c r="G74" s="70"/>
    </row>
    <row r="75" spans="1:9" x14ac:dyDescent="0.25">
      <c r="A75" s="32"/>
      <c r="B75" s="32"/>
      <c r="C75" s="44"/>
      <c r="D75" s="44"/>
      <c r="E75" s="44"/>
      <c r="F75" s="32"/>
      <c r="G75" s="70"/>
      <c r="H75" s="22"/>
      <c r="I75" s="68"/>
    </row>
    <row r="76" spans="1:9" x14ac:dyDescent="0.25">
      <c r="A76" s="32"/>
      <c r="B76" s="32" t="s">
        <v>41</v>
      </c>
      <c r="C76" s="44"/>
      <c r="D76" s="44"/>
      <c r="E76" s="44"/>
      <c r="F76" s="32"/>
      <c r="G76" s="70"/>
    </row>
    <row r="77" spans="1:9" x14ac:dyDescent="0.25">
      <c r="A77" s="32"/>
      <c r="B77" s="49" t="s">
        <v>42</v>
      </c>
      <c r="C77" s="44">
        <f t="shared" ref="C77:C95" si="9">+E77-D77</f>
        <v>0</v>
      </c>
      <c r="D77" s="44">
        <f t="shared" ref="D77:D95" si="10">+ROUND(+E77*G77,0)</f>
        <v>360835</v>
      </c>
      <c r="E77" s="44">
        <v>360835</v>
      </c>
      <c r="F77" s="32"/>
      <c r="G77" s="70">
        <v>1</v>
      </c>
      <c r="I77" s="68"/>
    </row>
    <row r="78" spans="1:9" x14ac:dyDescent="0.25">
      <c r="A78" s="32"/>
      <c r="B78" s="49" t="s">
        <v>43</v>
      </c>
      <c r="C78" s="44">
        <f t="shared" si="9"/>
        <v>975272</v>
      </c>
      <c r="D78" s="44">
        <f t="shared" si="10"/>
        <v>0</v>
      </c>
      <c r="E78" s="44">
        <v>975272</v>
      </c>
      <c r="F78" s="32"/>
      <c r="G78" s="70">
        <v>0</v>
      </c>
      <c r="I78" s="68"/>
    </row>
    <row r="79" spans="1:9" x14ac:dyDescent="0.25">
      <c r="A79" s="32" t="s">
        <v>83</v>
      </c>
      <c r="B79" s="49" t="s">
        <v>44</v>
      </c>
      <c r="C79" s="44">
        <f t="shared" si="9"/>
        <v>109158</v>
      </c>
      <c r="D79" s="44">
        <f t="shared" si="10"/>
        <v>72772</v>
      </c>
      <c r="E79" s="44">
        <v>181930</v>
      </c>
      <c r="F79" s="32"/>
      <c r="G79" s="70">
        <v>0.4</v>
      </c>
      <c r="I79" s="68"/>
    </row>
    <row r="80" spans="1:9" x14ac:dyDescent="0.25">
      <c r="A80" s="32"/>
      <c r="B80" s="49" t="s">
        <v>45</v>
      </c>
      <c r="C80" s="44">
        <f t="shared" si="9"/>
        <v>1537</v>
      </c>
      <c r="D80" s="44">
        <f t="shared" si="10"/>
        <v>942</v>
      </c>
      <c r="E80" s="44">
        <v>2479</v>
      </c>
      <c r="F80" s="32"/>
      <c r="G80" s="70">
        <v>0.38</v>
      </c>
      <c r="I80" s="68"/>
    </row>
    <row r="81" spans="1:7" x14ac:dyDescent="0.25">
      <c r="A81" s="32" t="s">
        <v>51</v>
      </c>
      <c r="B81" s="49" t="s">
        <v>46</v>
      </c>
      <c r="C81" s="44">
        <f t="shared" si="9"/>
        <v>7119</v>
      </c>
      <c r="D81" s="44">
        <f t="shared" si="10"/>
        <v>4364</v>
      </c>
      <c r="E81" s="44">
        <v>11483</v>
      </c>
      <c r="F81" s="32"/>
      <c r="G81" s="70">
        <v>0.38</v>
      </c>
    </row>
    <row r="82" spans="1:7" x14ac:dyDescent="0.25">
      <c r="A82" s="32"/>
      <c r="B82" s="49" t="s">
        <v>47</v>
      </c>
      <c r="C82" s="44">
        <f t="shared" si="9"/>
        <v>4650</v>
      </c>
      <c r="D82" s="44">
        <f t="shared" si="10"/>
        <v>2850</v>
      </c>
      <c r="E82" s="44">
        <v>7500</v>
      </c>
      <c r="F82" s="32"/>
      <c r="G82" s="70">
        <v>0.38</v>
      </c>
    </row>
    <row r="83" spans="1:7" x14ac:dyDescent="0.25">
      <c r="A83" s="32"/>
      <c r="B83" s="49" t="s">
        <v>48</v>
      </c>
      <c r="C83" s="44">
        <f t="shared" si="9"/>
        <v>12022</v>
      </c>
      <c r="D83" s="44">
        <f t="shared" si="10"/>
        <v>7368</v>
      </c>
      <c r="E83" s="44">
        <v>19390</v>
      </c>
      <c r="F83" s="32"/>
      <c r="G83" s="70">
        <v>0.38</v>
      </c>
    </row>
    <row r="84" spans="1:7" x14ac:dyDescent="0.25">
      <c r="A84" s="19" t="s">
        <v>82</v>
      </c>
      <c r="B84" s="49" t="s">
        <v>49</v>
      </c>
      <c r="C84" s="44">
        <f t="shared" si="9"/>
        <v>113945</v>
      </c>
      <c r="D84" s="44">
        <f t="shared" si="10"/>
        <v>69837</v>
      </c>
      <c r="E84" s="44">
        <v>183782</v>
      </c>
      <c r="F84" s="32"/>
      <c r="G84" s="70">
        <v>0.38</v>
      </c>
    </row>
    <row r="85" spans="1:7" x14ac:dyDescent="0.25">
      <c r="A85" s="32"/>
      <c r="B85" s="49" t="s">
        <v>50</v>
      </c>
      <c r="C85" s="44">
        <f t="shared" si="9"/>
        <v>5146</v>
      </c>
      <c r="D85" s="44">
        <f t="shared" si="10"/>
        <v>3154</v>
      </c>
      <c r="E85" s="44">
        <v>8300</v>
      </c>
      <c r="F85" s="32"/>
      <c r="G85" s="70">
        <v>0.38</v>
      </c>
    </row>
    <row r="86" spans="1:7" x14ac:dyDescent="0.25">
      <c r="A86" s="32" t="s">
        <v>51</v>
      </c>
      <c r="B86" s="49" t="s">
        <v>51</v>
      </c>
      <c r="C86" s="44">
        <f t="shared" si="9"/>
        <v>15468</v>
      </c>
      <c r="D86" s="44">
        <f t="shared" si="10"/>
        <v>9480</v>
      </c>
      <c r="E86" s="44">
        <v>24948</v>
      </c>
      <c r="F86" s="32"/>
      <c r="G86" s="70">
        <v>0.38</v>
      </c>
    </row>
    <row r="87" spans="1:7" x14ac:dyDescent="0.25">
      <c r="A87" s="32"/>
      <c r="B87" s="49" t="s">
        <v>52</v>
      </c>
      <c r="C87" s="44">
        <f t="shared" si="9"/>
        <v>638</v>
      </c>
      <c r="D87" s="44">
        <f t="shared" si="10"/>
        <v>391</v>
      </c>
      <c r="E87" s="44">
        <v>1029</v>
      </c>
      <c r="F87" s="32"/>
      <c r="G87" s="70">
        <v>0.38</v>
      </c>
    </row>
    <row r="88" spans="1:7" x14ac:dyDescent="0.25">
      <c r="A88" s="32"/>
      <c r="B88" s="49" t="s">
        <v>53</v>
      </c>
      <c r="C88" s="44">
        <f t="shared" si="9"/>
        <v>17454</v>
      </c>
      <c r="D88" s="44">
        <f t="shared" si="10"/>
        <v>10698</v>
      </c>
      <c r="E88" s="44">
        <v>28152</v>
      </c>
      <c r="F88" s="32"/>
      <c r="G88" s="70">
        <v>0.38</v>
      </c>
    </row>
    <row r="89" spans="1:7" x14ac:dyDescent="0.25">
      <c r="A89" s="32"/>
      <c r="B89" s="49" t="s">
        <v>54</v>
      </c>
      <c r="C89" s="44">
        <f t="shared" si="9"/>
        <v>1231</v>
      </c>
      <c r="D89" s="44">
        <f t="shared" si="10"/>
        <v>754</v>
      </c>
      <c r="E89" s="44">
        <v>1985</v>
      </c>
      <c r="F89" s="32"/>
      <c r="G89" s="70">
        <v>0.38</v>
      </c>
    </row>
    <row r="90" spans="1:7" x14ac:dyDescent="0.25">
      <c r="A90" s="19" t="s">
        <v>82</v>
      </c>
      <c r="B90" s="49" t="s">
        <v>55</v>
      </c>
      <c r="C90" s="44">
        <f t="shared" si="9"/>
        <v>11424</v>
      </c>
      <c r="D90" s="44">
        <f t="shared" si="10"/>
        <v>7002</v>
      </c>
      <c r="E90" s="44">
        <v>18426</v>
      </c>
      <c r="F90" s="32"/>
      <c r="G90" s="70">
        <v>0.38</v>
      </c>
    </row>
    <row r="91" spans="1:7" x14ac:dyDescent="0.25">
      <c r="A91" s="19" t="s">
        <v>82</v>
      </c>
      <c r="B91" s="49" t="s">
        <v>56</v>
      </c>
      <c r="C91" s="44">
        <f t="shared" si="9"/>
        <v>11471</v>
      </c>
      <c r="D91" s="44">
        <f t="shared" si="10"/>
        <v>7031</v>
      </c>
      <c r="E91" s="44">
        <v>18502</v>
      </c>
      <c r="F91" s="32"/>
      <c r="G91" s="70">
        <v>0.38</v>
      </c>
    </row>
    <row r="92" spans="1:7" x14ac:dyDescent="0.25">
      <c r="A92" s="32"/>
      <c r="B92" s="49" t="s">
        <v>57</v>
      </c>
      <c r="C92" s="44">
        <f t="shared" si="9"/>
        <v>50898</v>
      </c>
      <c r="D92" s="44">
        <f t="shared" si="10"/>
        <v>31195</v>
      </c>
      <c r="E92" s="44">
        <v>82093</v>
      </c>
      <c r="F92" s="32"/>
      <c r="G92" s="70">
        <v>0.38</v>
      </c>
    </row>
    <row r="93" spans="1:7" x14ac:dyDescent="0.25">
      <c r="A93" s="32"/>
      <c r="B93" s="49" t="s">
        <v>58</v>
      </c>
      <c r="C93" s="44">
        <f t="shared" si="9"/>
        <v>2389</v>
      </c>
      <c r="D93" s="44">
        <f t="shared" si="10"/>
        <v>1465</v>
      </c>
      <c r="E93" s="44">
        <v>3854</v>
      </c>
      <c r="F93" s="32"/>
      <c r="G93" s="70">
        <v>0.38</v>
      </c>
    </row>
    <row r="94" spans="1:7" x14ac:dyDescent="0.25">
      <c r="A94" s="32"/>
      <c r="B94" s="49" t="s">
        <v>59</v>
      </c>
      <c r="C94" s="44">
        <f t="shared" si="9"/>
        <v>8442</v>
      </c>
      <c r="D94" s="44">
        <f t="shared" si="10"/>
        <v>5174</v>
      </c>
      <c r="E94" s="44">
        <v>13616</v>
      </c>
      <c r="F94" s="32"/>
      <c r="G94" s="70">
        <v>0.38</v>
      </c>
    </row>
    <row r="95" spans="1:7" x14ac:dyDescent="0.25">
      <c r="A95" s="32"/>
      <c r="B95" s="49" t="s">
        <v>60</v>
      </c>
      <c r="C95" s="44">
        <f t="shared" si="9"/>
        <v>62331</v>
      </c>
      <c r="D95" s="44">
        <f t="shared" si="10"/>
        <v>55274</v>
      </c>
      <c r="E95" s="44">
        <v>117605</v>
      </c>
      <c r="F95" s="32"/>
      <c r="G95" s="70">
        <v>0.47</v>
      </c>
    </row>
    <row r="96" spans="1:7" x14ac:dyDescent="0.25">
      <c r="A96" s="32"/>
      <c r="B96" s="50" t="s">
        <v>61</v>
      </c>
      <c r="C96" s="51">
        <f t="shared" ref="C96:D96" si="11">SUM(C77:C95)</f>
        <v>1410595</v>
      </c>
      <c r="D96" s="51">
        <f t="shared" si="11"/>
        <v>650586</v>
      </c>
      <c r="E96" s="51">
        <f>SUM(E77:E95)</f>
        <v>2061181</v>
      </c>
      <c r="F96" s="32"/>
      <c r="G96" s="70"/>
    </row>
    <row r="97" spans="1:7" ht="16.5" thickBot="1" x14ac:dyDescent="0.3">
      <c r="A97" s="32"/>
      <c r="B97" s="32" t="s">
        <v>62</v>
      </c>
      <c r="C97" s="52">
        <f t="shared" ref="C97:D97" si="12">+C74-C96</f>
        <v>-259379</v>
      </c>
      <c r="D97" s="52">
        <f t="shared" si="12"/>
        <v>85438</v>
      </c>
      <c r="E97" s="52">
        <f>+E74-E96</f>
        <v>-173941</v>
      </c>
      <c r="F97" s="32"/>
      <c r="G97" s="70"/>
    </row>
    <row r="98" spans="1:7" ht="16.5" thickTop="1" x14ac:dyDescent="0.25">
      <c r="A98" s="32"/>
      <c r="B98" s="32"/>
      <c r="C98" s="44"/>
      <c r="D98" s="44"/>
      <c r="E98" s="44"/>
      <c r="F98" s="32"/>
      <c r="G98" s="32"/>
    </row>
    <row r="99" spans="1:7" x14ac:dyDescent="0.25">
      <c r="A99" s="32"/>
      <c r="B99" s="32" t="s">
        <v>118</v>
      </c>
      <c r="C99" s="44"/>
      <c r="D99" s="44"/>
      <c r="E99" s="44"/>
      <c r="F99" s="32"/>
      <c r="G99" s="32"/>
    </row>
    <row r="100" spans="1:7" x14ac:dyDescent="0.25">
      <c r="A100" s="32"/>
      <c r="B100" s="73" t="s">
        <v>117</v>
      </c>
      <c r="C100" s="44"/>
      <c r="D100" s="44"/>
      <c r="E100" s="44"/>
      <c r="F100" s="32"/>
      <c r="G100" s="32"/>
    </row>
    <row r="101" spans="1:7" x14ac:dyDescent="0.25">
      <c r="A101" s="32"/>
      <c r="B101" s="32"/>
      <c r="C101" s="44"/>
      <c r="D101" s="44"/>
      <c r="E101" s="44"/>
      <c r="F101" s="32"/>
      <c r="G101" s="32"/>
    </row>
    <row r="102" spans="1:7" x14ac:dyDescent="0.25">
      <c r="A102" s="32"/>
      <c r="B102" s="32"/>
      <c r="C102" s="44"/>
      <c r="D102" s="44"/>
      <c r="E102" s="44"/>
      <c r="F102" s="32"/>
      <c r="G102" s="32"/>
    </row>
    <row r="103" spans="1:7" x14ac:dyDescent="0.25">
      <c r="A103" s="32" t="s">
        <v>83</v>
      </c>
      <c r="B103" s="49" t="s">
        <v>44</v>
      </c>
      <c r="C103" s="44">
        <f t="shared" ref="C103" si="13">+E103-D103</f>
        <v>109158</v>
      </c>
      <c r="D103" s="44">
        <f>+D79</f>
        <v>72772</v>
      </c>
      <c r="E103" s="44">
        <f>+E79</f>
        <v>181930</v>
      </c>
      <c r="F103" s="32"/>
      <c r="G103" s="32"/>
    </row>
    <row r="104" spans="1:7" x14ac:dyDescent="0.25">
      <c r="A104" s="32"/>
      <c r="B104" s="49"/>
      <c r="C104" s="44"/>
      <c r="D104" s="44"/>
      <c r="E104" s="44"/>
      <c r="F104" s="32"/>
      <c r="G104" s="32"/>
    </row>
    <row r="105" spans="1:7" x14ac:dyDescent="0.25">
      <c r="A105" s="32" t="s">
        <v>51</v>
      </c>
      <c r="B105" s="49" t="s">
        <v>46</v>
      </c>
      <c r="C105" s="44">
        <f t="shared" ref="C105:C106" si="14">+E105-D105</f>
        <v>7119</v>
      </c>
      <c r="D105" s="44">
        <f>+D81</f>
        <v>4364</v>
      </c>
      <c r="E105" s="44">
        <f t="shared" ref="E105" si="15">+E81</f>
        <v>11483</v>
      </c>
      <c r="F105" s="32"/>
      <c r="G105" s="32"/>
    </row>
    <row r="106" spans="1:7" x14ac:dyDescent="0.25">
      <c r="A106" s="32" t="s">
        <v>51</v>
      </c>
      <c r="B106" s="49" t="s">
        <v>51</v>
      </c>
      <c r="C106" s="44">
        <f t="shared" si="14"/>
        <v>15468</v>
      </c>
      <c r="D106" s="44">
        <f>+D86</f>
        <v>9480</v>
      </c>
      <c r="E106" s="44">
        <f>+E86</f>
        <v>24948</v>
      </c>
      <c r="F106" s="32"/>
      <c r="G106" s="32"/>
    </row>
    <row r="107" spans="1:7" ht="16.5" thickBot="1" x14ac:dyDescent="0.3">
      <c r="A107" s="32"/>
      <c r="B107" s="49"/>
      <c r="C107" s="52">
        <f t="shared" ref="C107:D107" si="16">SUM(C105:C106)</f>
        <v>22587</v>
      </c>
      <c r="D107" s="52">
        <f t="shared" si="16"/>
        <v>13844</v>
      </c>
      <c r="E107" s="52">
        <f>SUM(E105:E106)</f>
        <v>36431</v>
      </c>
      <c r="F107" s="32"/>
      <c r="G107" s="32"/>
    </row>
    <row r="108" spans="1:7" ht="16.5" thickTop="1" x14ac:dyDescent="0.25">
      <c r="A108" s="32"/>
      <c r="B108" s="49"/>
      <c r="C108" s="44"/>
      <c r="D108" s="44"/>
      <c r="E108" s="44"/>
      <c r="F108" s="32"/>
      <c r="G108" s="32"/>
    </row>
    <row r="109" spans="1:7" x14ac:dyDescent="0.25">
      <c r="A109" s="19" t="s">
        <v>82</v>
      </c>
      <c r="B109" s="49" t="s">
        <v>49</v>
      </c>
      <c r="C109" s="44">
        <f t="shared" ref="C109:C111" si="17">+E109-D109</f>
        <v>113945</v>
      </c>
      <c r="D109" s="44">
        <f>+D84</f>
        <v>69837</v>
      </c>
      <c r="E109" s="44">
        <f>+E84</f>
        <v>183782</v>
      </c>
      <c r="F109" s="32"/>
      <c r="G109" s="32"/>
    </row>
    <row r="110" spans="1:7" x14ac:dyDescent="0.25">
      <c r="A110" s="19" t="s">
        <v>82</v>
      </c>
      <c r="B110" s="49" t="s">
        <v>55</v>
      </c>
      <c r="C110" s="44">
        <f t="shared" si="17"/>
        <v>11424</v>
      </c>
      <c r="D110" s="44">
        <f>+D90</f>
        <v>7002</v>
      </c>
      <c r="E110" s="44">
        <f>+E90</f>
        <v>18426</v>
      </c>
      <c r="F110" s="32"/>
      <c r="G110" s="32"/>
    </row>
    <row r="111" spans="1:7" x14ac:dyDescent="0.25">
      <c r="A111" s="19" t="s">
        <v>82</v>
      </c>
      <c r="B111" s="49" t="s">
        <v>56</v>
      </c>
      <c r="C111" s="44">
        <f t="shared" si="17"/>
        <v>11471</v>
      </c>
      <c r="D111" s="44">
        <f>+D91</f>
        <v>7031</v>
      </c>
      <c r="E111" s="44">
        <f>+E91</f>
        <v>18502</v>
      </c>
      <c r="F111" s="32"/>
      <c r="G111" s="32"/>
    </row>
    <row r="112" spans="1:7" ht="16.5" thickBot="1" x14ac:dyDescent="0.3">
      <c r="A112" s="32"/>
      <c r="B112" s="32"/>
      <c r="C112" s="52">
        <f t="shared" ref="C112:D112" si="18">SUM(C109:C111)</f>
        <v>136840</v>
      </c>
      <c r="D112" s="52">
        <f t="shared" si="18"/>
        <v>83870</v>
      </c>
      <c r="E112" s="52">
        <f>SUM(E109:E111)</f>
        <v>220710</v>
      </c>
      <c r="F112" s="32"/>
      <c r="G112" s="32"/>
    </row>
    <row r="113" spans="1:7" ht="16.5" thickTop="1" x14ac:dyDescent="0.25">
      <c r="A113" s="32"/>
      <c r="B113" s="32"/>
      <c r="C113" s="32"/>
      <c r="D113" s="32"/>
      <c r="E113" s="32"/>
      <c r="F113" s="32"/>
      <c r="G113" s="32"/>
    </row>
    <row r="114" spans="1:7" x14ac:dyDescent="0.25">
      <c r="A114" s="32"/>
      <c r="B114" s="32"/>
      <c r="C114" s="32"/>
      <c r="D114" s="32"/>
      <c r="E114" s="32"/>
      <c r="F114" s="32"/>
      <c r="G114" s="32"/>
    </row>
    <row r="115" spans="1:7" x14ac:dyDescent="0.25">
      <c r="A115" s="32"/>
      <c r="B115" s="32"/>
      <c r="C115" s="32"/>
      <c r="D115" s="32"/>
      <c r="E115" s="32"/>
      <c r="F115" s="32"/>
      <c r="G115" s="32"/>
    </row>
    <row r="116" spans="1:7" x14ac:dyDescent="0.25">
      <c r="A116" s="32"/>
      <c r="B116" s="32"/>
      <c r="C116" s="32"/>
      <c r="D116" s="32"/>
      <c r="E116" s="32"/>
      <c r="F116" s="32"/>
      <c r="G116" s="32"/>
    </row>
    <row r="117" spans="1:7" x14ac:dyDescent="0.25">
      <c r="A117" s="32"/>
      <c r="B117" s="32" t="s">
        <v>86</v>
      </c>
      <c r="C117" s="44">
        <f t="shared" ref="C117:D117" si="19">+C96-C94-C95</f>
        <v>1339822</v>
      </c>
      <c r="D117" s="44">
        <f t="shared" si="19"/>
        <v>590138</v>
      </c>
      <c r="E117" s="44">
        <f>+E96-E94-E95</f>
        <v>1929960</v>
      </c>
      <c r="F117" s="32"/>
      <c r="G117" s="32"/>
    </row>
    <row r="118" spans="1:7" x14ac:dyDescent="0.25">
      <c r="A118" s="32"/>
      <c r="B118" s="32" t="s">
        <v>87</v>
      </c>
      <c r="C118" s="44">
        <f t="shared" ref="C118:D118" si="20">+C96-C117</f>
        <v>70773</v>
      </c>
      <c r="D118" s="44">
        <f t="shared" si="20"/>
        <v>60448</v>
      </c>
      <c r="E118" s="44">
        <f>+E96-E117</f>
        <v>131221</v>
      </c>
      <c r="F118" s="32"/>
      <c r="G118" s="32"/>
    </row>
    <row r="119" spans="1:7" x14ac:dyDescent="0.25">
      <c r="A119" s="32"/>
      <c r="B119" s="32"/>
      <c r="C119" s="32"/>
      <c r="D119" s="32"/>
      <c r="E119" s="32"/>
      <c r="F119" s="32"/>
      <c r="G119" s="32"/>
    </row>
  </sheetData>
  <pageMargins left="0.7" right="0.2" top="0.25" bottom="0.5" header="0.3" footer="0.3"/>
  <pageSetup scale="90" orientation="portrait" horizontalDpi="1200" verticalDpi="1200" r:id="rId1"/>
  <rowBreaks count="1" manualBreakCount="1">
    <brk id="62" min="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4"/>
  <sheetViews>
    <sheetView topLeftCell="A5" workbookViewId="0">
      <pane xSplit="2" ySplit="1" topLeftCell="C6" activePane="bottomRight" state="frozen"/>
      <selection activeCell="A5" sqref="A5"/>
      <selection pane="topRight" activeCell="C5" sqref="C5"/>
      <selection pane="bottomLeft" activeCell="A6" sqref="A6"/>
      <selection pane="bottomRight" activeCell="K29" sqref="K29"/>
    </sheetView>
  </sheetViews>
  <sheetFormatPr defaultRowHeight="15" x14ac:dyDescent="0.25"/>
  <cols>
    <col min="3" max="3" width="11.5703125" bestFit="1" customWidth="1"/>
    <col min="5" max="5" width="13.28515625" bestFit="1" customWidth="1"/>
    <col min="7" max="7" width="13.28515625" bestFit="1" customWidth="1"/>
  </cols>
  <sheetData>
    <row r="5" spans="3:7" ht="18.75" x14ac:dyDescent="0.3">
      <c r="C5" s="77" t="s">
        <v>73</v>
      </c>
      <c r="D5" s="77"/>
      <c r="E5" s="77" t="s">
        <v>72</v>
      </c>
      <c r="F5" s="77"/>
      <c r="G5" s="77" t="s">
        <v>71</v>
      </c>
    </row>
    <row r="7" spans="3:7" x14ac:dyDescent="0.25">
      <c r="C7" s="74" t="s">
        <v>121</v>
      </c>
      <c r="E7" s="74"/>
      <c r="G7" s="74"/>
    </row>
    <row r="8" spans="3:7" x14ac:dyDescent="0.25">
      <c r="C8" s="42">
        <f t="shared" ref="C8:C10" si="0">+E8+G8</f>
        <v>10225921</v>
      </c>
      <c r="E8" s="42">
        <v>4931649</v>
      </c>
      <c r="G8" s="42">
        <v>5294272</v>
      </c>
    </row>
    <row r="9" spans="3:7" x14ac:dyDescent="0.25">
      <c r="C9" s="42">
        <f t="shared" si="0"/>
        <v>3483924</v>
      </c>
      <c r="E9" s="42">
        <v>1696790</v>
      </c>
      <c r="G9" s="42">
        <v>1787134</v>
      </c>
    </row>
    <row r="10" spans="3:7" x14ac:dyDescent="0.25">
      <c r="C10" s="42">
        <f t="shared" si="0"/>
        <v>6741997</v>
      </c>
      <c r="E10" s="42">
        <v>3234859</v>
      </c>
      <c r="G10" s="42">
        <v>3507138</v>
      </c>
    </row>
    <row r="11" spans="3:7" x14ac:dyDescent="0.25">
      <c r="C11" s="42"/>
      <c r="E11" s="42"/>
      <c r="G11" s="42"/>
    </row>
    <row r="12" spans="3:7" x14ac:dyDescent="0.25">
      <c r="C12" s="42">
        <f>+E12+G12</f>
        <v>172803</v>
      </c>
      <c r="E12" s="42">
        <v>81927</v>
      </c>
      <c r="G12" s="42">
        <v>90876</v>
      </c>
    </row>
    <row r="16" spans="3:7" x14ac:dyDescent="0.25">
      <c r="C16" s="74" t="s">
        <v>88</v>
      </c>
      <c r="E16" s="74"/>
      <c r="G16" s="74"/>
    </row>
    <row r="17" spans="1:7" x14ac:dyDescent="0.25">
      <c r="C17" s="42">
        <f>+E17+G17</f>
        <v>28797620</v>
      </c>
      <c r="E17" s="42">
        <v>14097938</v>
      </c>
      <c r="G17" s="42">
        <v>14699682</v>
      </c>
    </row>
    <row r="18" spans="1:7" x14ac:dyDescent="0.25">
      <c r="C18" s="42">
        <f t="shared" ref="C18:C19" si="1">+E18+G18</f>
        <v>11907050</v>
      </c>
      <c r="E18" s="42">
        <v>6106704</v>
      </c>
      <c r="G18" s="42">
        <v>5800346</v>
      </c>
    </row>
    <row r="19" spans="1:7" x14ac:dyDescent="0.25">
      <c r="C19" s="42">
        <f t="shared" si="1"/>
        <v>16890570</v>
      </c>
      <c r="E19" s="42">
        <v>7991234</v>
      </c>
      <c r="G19" s="42">
        <v>8899336</v>
      </c>
    </row>
    <row r="20" spans="1:7" x14ac:dyDescent="0.25">
      <c r="E20" s="75"/>
    </row>
    <row r="21" spans="1:7" x14ac:dyDescent="0.25">
      <c r="E21" s="76"/>
    </row>
    <row r="23" spans="1:7" x14ac:dyDescent="0.25">
      <c r="B23" t="s">
        <v>122</v>
      </c>
      <c r="C23" s="78">
        <v>5675460</v>
      </c>
      <c r="E23" s="80">
        <f>ROUND((+E10/C10)*C23,0)</f>
        <v>2723127</v>
      </c>
      <c r="G23" s="79">
        <f>+C23-E23</f>
        <v>2952333</v>
      </c>
    </row>
    <row r="24" spans="1:7" x14ac:dyDescent="0.25">
      <c r="G24" s="79"/>
    </row>
    <row r="25" spans="1:7" x14ac:dyDescent="0.25">
      <c r="A25" t="s">
        <v>124</v>
      </c>
      <c r="G25" s="79"/>
    </row>
    <row r="26" spans="1:7" x14ac:dyDescent="0.25">
      <c r="A26" t="s">
        <v>125</v>
      </c>
      <c r="C26" s="81">
        <v>5536556</v>
      </c>
      <c r="E26">
        <f>ROUND(E8/C8*C26,0)</f>
        <v>2670112</v>
      </c>
      <c r="G26" s="79">
        <f t="shared" ref="G26:G28" si="2">+C26-E26</f>
        <v>2866444</v>
      </c>
    </row>
    <row r="27" spans="1:7" x14ac:dyDescent="0.25">
      <c r="A27" t="s">
        <v>126</v>
      </c>
      <c r="C27" s="81">
        <v>2585534</v>
      </c>
      <c r="E27">
        <f t="shared" ref="E27:E28" si="3">ROUND(E9/C9*C27,0)</f>
        <v>1259243</v>
      </c>
      <c r="G27" s="79">
        <f t="shared" si="2"/>
        <v>1326291</v>
      </c>
    </row>
    <row r="28" spans="1:7" ht="15.75" thickBot="1" x14ac:dyDescent="0.3">
      <c r="A28" t="s">
        <v>127</v>
      </c>
      <c r="C28" s="82">
        <f>+C26-C27</f>
        <v>2951022</v>
      </c>
      <c r="E28">
        <f t="shared" si="3"/>
        <v>1415922</v>
      </c>
      <c r="G28" s="79">
        <f t="shared" si="2"/>
        <v>1535100</v>
      </c>
    </row>
    <row r="29" spans="1:7" ht="15.75" thickTop="1" x14ac:dyDescent="0.25">
      <c r="G29" s="79"/>
    </row>
    <row r="30" spans="1:7" x14ac:dyDescent="0.25">
      <c r="G30" s="79"/>
    </row>
    <row r="31" spans="1:7" x14ac:dyDescent="0.25">
      <c r="A31">
        <v>2016</v>
      </c>
      <c r="B31" t="s">
        <v>123</v>
      </c>
      <c r="C31" s="57">
        <v>135908</v>
      </c>
      <c r="E31">
        <f>ROUND(E8/C8*C31,0)</f>
        <v>65544</v>
      </c>
      <c r="G31" s="79">
        <f t="shared" ref="G31" si="4">+C31-E31</f>
        <v>70364</v>
      </c>
    </row>
    <row r="32" spans="1:7" x14ac:dyDescent="0.25">
      <c r="G32" s="79"/>
    </row>
    <row r="33" spans="2:7" x14ac:dyDescent="0.25">
      <c r="G33" s="79"/>
    </row>
    <row r="34" spans="2:7" x14ac:dyDescent="0.25">
      <c r="B34" t="s">
        <v>128</v>
      </c>
      <c r="C34" s="83">
        <f>1186+1451</f>
        <v>2637</v>
      </c>
      <c r="E34">
        <v>1451</v>
      </c>
      <c r="G34" s="79">
        <f t="shared" ref="G34" si="5">+C34-E34</f>
        <v>1186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raw demo</vt:lpstr>
      <vt:lpstr>Ex 1 2016 financials</vt:lpstr>
      <vt:lpstr>ex 2 demo</vt:lpstr>
      <vt:lpstr>Ex 1 2017 fin</vt:lpstr>
      <vt:lpstr>sewer water stats</vt:lpstr>
      <vt:lpstr>'Ex 1 2016 financials'!Print_Area</vt:lpstr>
      <vt:lpstr>'Ex 1 2017 fin'!Print_Area</vt:lpstr>
      <vt:lpstr>'ex 2 demo'!Print_Area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cp:lastPrinted>2018-06-15T20:34:14Z</cp:lastPrinted>
  <dcterms:created xsi:type="dcterms:W3CDTF">2018-05-22T15:08:50Z</dcterms:created>
  <dcterms:modified xsi:type="dcterms:W3CDTF">2018-06-20T18:22:32Z</dcterms:modified>
</cp:coreProperties>
</file>