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K455" i="1"/>
  <c r="L453" i="1"/>
  <c r="L455" i="1" s="1"/>
  <c r="P451" i="1"/>
  <c r="O451" i="1"/>
  <c r="Q451" i="1" s="1"/>
  <c r="K451" i="1"/>
  <c r="L450" i="1"/>
  <c r="L449" i="1"/>
  <c r="L451" i="1" s="1"/>
  <c r="K424" i="1"/>
  <c r="K419" i="1"/>
  <c r="L408" i="1"/>
  <c r="M408" i="1" s="1"/>
  <c r="L407" i="1"/>
  <c r="M407" i="1" s="1"/>
  <c r="L406" i="1"/>
  <c r="M406" i="1" s="1"/>
  <c r="H403" i="1"/>
  <c r="L400" i="1"/>
  <c r="K400" i="1"/>
  <c r="J400" i="1"/>
  <c r="L398" i="1"/>
  <c r="K398" i="1"/>
  <c r="L397" i="1"/>
  <c r="K397" i="1"/>
  <c r="L391" i="1"/>
  <c r="L390" i="1"/>
  <c r="L386" i="1"/>
  <c r="L385" i="1"/>
  <c r="M371" i="1"/>
  <c r="AA360" i="1"/>
  <c r="J353" i="1"/>
  <c r="J350" i="1"/>
  <c r="K345" i="1"/>
  <c r="S344" i="1"/>
  <c r="T344" i="1" s="1"/>
  <c r="U344" i="1" s="1"/>
  <c r="V344" i="1" s="1"/>
  <c r="W344" i="1" s="1"/>
  <c r="X344" i="1" s="1"/>
  <c r="Y344" i="1" s="1"/>
  <c r="Z344" i="1" s="1"/>
  <c r="K343" i="1"/>
  <c r="M342" i="1"/>
  <c r="J335" i="1"/>
  <c r="I335" i="1"/>
  <c r="M333" i="1"/>
  <c r="L333" i="1"/>
  <c r="M334" i="1" s="1"/>
  <c r="M344" i="1" s="1"/>
  <c r="K332" i="1"/>
  <c r="J332" i="1"/>
  <c r="I332" i="1"/>
  <c r="H332" i="1"/>
  <c r="H336" i="1" s="1"/>
  <c r="M330" i="1"/>
  <c r="M323" i="1"/>
  <c r="K314" i="1"/>
  <c r="L311" i="1" s="1"/>
  <c r="L309" i="1"/>
  <c r="O308" i="1"/>
  <c r="N308" i="1"/>
  <c r="N305" i="1"/>
  <c r="N306" i="1" s="1"/>
  <c r="M305" i="1"/>
  <c r="M311" i="1" s="1"/>
  <c r="M304" i="1"/>
  <c r="M309" i="1" s="1"/>
  <c r="M310" i="1" s="1"/>
  <c r="L304" i="1"/>
  <c r="T303" i="1"/>
  <c r="U303" i="1" s="1"/>
  <c r="S303" i="1"/>
  <c r="R303" i="1"/>
  <c r="T301" i="1"/>
  <c r="S301" i="1"/>
  <c r="R301" i="1"/>
  <c r="Q301" i="1"/>
  <c r="P301" i="1"/>
  <c r="O301" i="1"/>
  <c r="N301" i="1"/>
  <c r="M300" i="1"/>
  <c r="L300" i="1"/>
  <c r="K296" i="1"/>
  <c r="L305" i="1" s="1"/>
  <c r="L306" i="1" s="1"/>
  <c r="L307" i="1" s="1"/>
  <c r="I293" i="1"/>
  <c r="L292" i="1"/>
  <c r="M292" i="1" s="1"/>
  <c r="N292" i="1" s="1"/>
  <c r="K292" i="1"/>
  <c r="J292" i="1"/>
  <c r="I292" i="1"/>
  <c r="H292" i="1"/>
  <c r="H293" i="1" s="1"/>
  <c r="K291" i="1"/>
  <c r="J291" i="1"/>
  <c r="J293" i="1" s="1"/>
  <c r="I291" i="1"/>
  <c r="H291" i="1"/>
  <c r="H289" i="1"/>
  <c r="J288" i="1"/>
  <c r="I288" i="1"/>
  <c r="H288" i="1"/>
  <c r="J287" i="1"/>
  <c r="I287" i="1"/>
  <c r="H287" i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G252" i="1"/>
  <c r="T251" i="1"/>
  <c r="T252" i="1" s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AE149" i="1"/>
  <c r="T148" i="1" s="1"/>
  <c r="Q120" i="1"/>
  <c r="K169" i="1" s="1"/>
  <c r="K120" i="1"/>
  <c r="K153" i="1" s="1"/>
  <c r="Q119" i="1"/>
  <c r="K168" i="1" s="1"/>
  <c r="K119" i="1"/>
  <c r="K152" i="1" s="1"/>
  <c r="AE117" i="1"/>
  <c r="AE100" i="1"/>
  <c r="T99" i="1" s="1"/>
  <c r="AE99" i="1"/>
  <c r="T98" i="1"/>
  <c r="AE84" i="1"/>
  <c r="T83" i="1" s="1"/>
  <c r="AE83" i="1"/>
  <c r="AE165" i="1" s="1"/>
  <c r="T164" i="1" s="1"/>
  <c r="T82" i="1"/>
  <c r="D77" i="1"/>
  <c r="D76" i="1"/>
  <c r="F75" i="1"/>
  <c r="D75" i="1"/>
  <c r="D74" i="1"/>
  <c r="F73" i="1"/>
  <c r="D73" i="1"/>
  <c r="D72" i="1"/>
  <c r="F71" i="1"/>
  <c r="D71" i="1"/>
  <c r="AC70" i="1"/>
  <c r="AB145" i="1" s="1"/>
  <c r="D70" i="1"/>
  <c r="F69" i="1"/>
  <c r="D69" i="1"/>
  <c r="D68" i="1"/>
  <c r="F67" i="1"/>
  <c r="D67" i="1"/>
  <c r="D66" i="1"/>
  <c r="F65" i="1"/>
  <c r="D65" i="1"/>
  <c r="D64" i="1"/>
  <c r="F63" i="1"/>
  <c r="D63" i="1"/>
  <c r="D62" i="1"/>
  <c r="F61" i="1"/>
  <c r="D61" i="1"/>
  <c r="D60" i="1"/>
  <c r="F59" i="1"/>
  <c r="D59" i="1"/>
  <c r="AC58" i="1"/>
  <c r="AB95" i="1" s="1"/>
  <c r="AD95" i="1" s="1"/>
  <c r="Q94" i="1" s="1"/>
  <c r="D58" i="1"/>
  <c r="F57" i="1"/>
  <c r="D57" i="1"/>
  <c r="D56" i="1"/>
  <c r="F55" i="1"/>
  <c r="D55" i="1"/>
  <c r="AC54" i="1"/>
  <c r="AB79" i="1" s="1"/>
  <c r="N54" i="1"/>
  <c r="D54" i="1"/>
  <c r="N53" i="1"/>
  <c r="O53" i="1" s="1"/>
  <c r="D53" i="1"/>
  <c r="F51" i="1"/>
  <c r="M49" i="1"/>
  <c r="L49" i="1"/>
  <c r="K49" i="1"/>
  <c r="J49" i="1"/>
  <c r="I49" i="1"/>
  <c r="H49" i="1"/>
  <c r="F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F43" i="1"/>
  <c r="F39" i="1"/>
  <c r="F37" i="1"/>
  <c r="K35" i="1"/>
  <c r="K48" i="1" s="1"/>
  <c r="J35" i="1"/>
  <c r="J48" i="1" s="1"/>
  <c r="J296" i="1" s="1"/>
  <c r="I35" i="1"/>
  <c r="I48" i="1" s="1"/>
  <c r="I296" i="1" s="1"/>
  <c r="H35" i="1"/>
  <c r="H48" i="1" s="1"/>
  <c r="H296" i="1" s="1"/>
  <c r="B35" i="1"/>
  <c r="K34" i="1"/>
  <c r="J34" i="1"/>
  <c r="I34" i="1"/>
  <c r="H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D33" i="1"/>
  <c r="D32" i="1"/>
  <c r="D31" i="1"/>
  <c r="AC30" i="1"/>
  <c r="AC31" i="1" s="1"/>
  <c r="N30" i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D30" i="1"/>
  <c r="D29" i="1"/>
  <c r="M28" i="1"/>
  <c r="N28" i="1" s="1"/>
  <c r="L28" i="1"/>
  <c r="L34" i="1" s="1"/>
  <c r="G27" i="1"/>
  <c r="F26" i="1"/>
  <c r="AA24" i="1"/>
  <c r="K24" i="1"/>
  <c r="K347" i="1" s="1"/>
  <c r="J24" i="1"/>
  <c r="J347" i="1" s="1"/>
  <c r="I24" i="1"/>
  <c r="I40" i="1" s="1"/>
  <c r="I50" i="1" s="1"/>
  <c r="H24" i="1"/>
  <c r="D23" i="1"/>
  <c r="L22" i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M21" i="1"/>
  <c r="M332" i="1" s="1"/>
  <c r="L21" i="1"/>
  <c r="L332" i="1" s="1"/>
  <c r="G20" i="1"/>
  <c r="I19" i="1"/>
  <c r="F19" i="1"/>
  <c r="O18" i="1"/>
  <c r="N18" i="1"/>
  <c r="M18" i="1"/>
  <c r="F18" i="1"/>
  <c r="C18" i="1"/>
  <c r="M14" i="1"/>
  <c r="U14" i="1" s="1"/>
  <c r="U13" i="1"/>
  <c r="D13" i="1"/>
  <c r="M12" i="1"/>
  <c r="U12" i="1" s="1"/>
  <c r="U11" i="1"/>
  <c r="U10" i="1"/>
  <c r="H9" i="1"/>
  <c r="AC74" i="1" s="1"/>
  <c r="L6" i="1"/>
  <c r="L5" i="1"/>
  <c r="L4" i="1"/>
  <c r="O28" i="1" l="1"/>
  <c r="N31" i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C19" i="1"/>
  <c r="C20" i="1" s="1"/>
  <c r="M24" i="1"/>
  <c r="H36" i="1"/>
  <c r="H38" i="1" s="1"/>
  <c r="B40" i="1"/>
  <c r="G40" i="1" s="1"/>
  <c r="H40" i="1"/>
  <c r="H50" i="1" s="1"/>
  <c r="L336" i="1"/>
  <c r="J349" i="1"/>
  <c r="J352" i="1"/>
  <c r="M34" i="1"/>
  <c r="I36" i="1"/>
  <c r="I38" i="1" s="1"/>
  <c r="O57" i="1"/>
  <c r="O54" i="1"/>
  <c r="K349" i="1"/>
  <c r="G35" i="1"/>
  <c r="J36" i="1"/>
  <c r="J38" i="1" s="1"/>
  <c r="J40" i="1"/>
  <c r="J50" i="1" s="1"/>
  <c r="P53" i="1"/>
  <c r="I403" i="1"/>
  <c r="I285" i="1"/>
  <c r="AB161" i="1"/>
  <c r="J19" i="1"/>
  <c r="L24" i="1"/>
  <c r="K36" i="1"/>
  <c r="K38" i="1" s="1"/>
  <c r="K40" i="1"/>
  <c r="K50" i="1" s="1"/>
  <c r="B41" i="1"/>
  <c r="G41" i="1" s="1"/>
  <c r="AD79" i="1"/>
  <c r="Q78" i="1" s="1"/>
  <c r="N83" i="1"/>
  <c r="N57" i="1"/>
  <c r="K78" i="1"/>
  <c r="AC66" i="1"/>
  <c r="N99" i="1"/>
  <c r="AC62" i="1"/>
  <c r="K94" i="1"/>
  <c r="K144" i="1"/>
  <c r="N149" i="1"/>
  <c r="AD145" i="1"/>
  <c r="Q144" i="1" s="1"/>
  <c r="AE133" i="1"/>
  <c r="T132" i="1" s="1"/>
  <c r="J397" i="1"/>
  <c r="J289" i="1"/>
  <c r="J398" i="1" s="1"/>
  <c r="AE116" i="1"/>
  <c r="AE132" i="1"/>
  <c r="T131" i="1" s="1"/>
  <c r="AE150" i="1"/>
  <c r="T149" i="1" s="1"/>
  <c r="AE166" i="1"/>
  <c r="T165" i="1" s="1"/>
  <c r="L310" i="1"/>
  <c r="K293" i="1"/>
  <c r="L291" i="1"/>
  <c r="V303" i="1"/>
  <c r="L312" i="1"/>
  <c r="I289" i="1"/>
  <c r="J338" i="1"/>
  <c r="J336" i="1"/>
  <c r="N334" i="1"/>
  <c r="N333" i="1" s="1"/>
  <c r="M287" i="1"/>
  <c r="O305" i="1"/>
  <c r="P308" i="1"/>
  <c r="M346" i="1"/>
  <c r="M306" i="1"/>
  <c r="M307" i="1" s="1"/>
  <c r="M312" i="1" s="1"/>
  <c r="I338" i="1"/>
  <c r="I336" i="1"/>
  <c r="M335" i="1"/>
  <c r="M338" i="1" s="1"/>
  <c r="K350" i="1"/>
  <c r="L345" i="1" s="1"/>
  <c r="K333" i="1"/>
  <c r="K336" i="1" s="1"/>
  <c r="K41" i="1" l="1"/>
  <c r="K42" i="1"/>
  <c r="K44" i="1" s="1"/>
  <c r="K47" i="1" s="1"/>
  <c r="K52" i="1" s="1"/>
  <c r="H41" i="1"/>
  <c r="H42" i="1"/>
  <c r="H44" i="1" s="1"/>
  <c r="H47" i="1" s="1"/>
  <c r="H52" i="1" s="1"/>
  <c r="N323" i="1"/>
  <c r="N300" i="1" s="1"/>
  <c r="N304" i="1" s="1"/>
  <c r="M288" i="1"/>
  <c r="M35" i="1"/>
  <c r="C21" i="1"/>
  <c r="F21" i="1" s="1"/>
  <c r="C22" i="1"/>
  <c r="F22" i="1" s="1"/>
  <c r="O333" i="1"/>
  <c r="O335" i="1" s="1"/>
  <c r="O332" i="1" s="1"/>
  <c r="O334" i="1"/>
  <c r="N335" i="1"/>
  <c r="N332" i="1" s="1"/>
  <c r="J41" i="1"/>
  <c r="J42" i="1"/>
  <c r="J44" i="1" s="1"/>
  <c r="J47" i="1" s="1"/>
  <c r="J52" i="1" s="1"/>
  <c r="I42" i="1"/>
  <c r="I44" i="1" s="1"/>
  <c r="I47" i="1" s="1"/>
  <c r="I52" i="1" s="1"/>
  <c r="I41" i="1"/>
  <c r="N346" i="1"/>
  <c r="M366" i="1"/>
  <c r="M400" i="1"/>
  <c r="P305" i="1"/>
  <c r="O306" i="1"/>
  <c r="L314" i="1"/>
  <c r="L35" i="1"/>
  <c r="AB128" i="1"/>
  <c r="N66" i="1"/>
  <c r="N61" i="1"/>
  <c r="N65" i="1" s="1"/>
  <c r="N69" i="1" s="1"/>
  <c r="N58" i="1"/>
  <c r="L347" i="1"/>
  <c r="M372" i="1"/>
  <c r="M373" i="1" s="1"/>
  <c r="L40" i="1"/>
  <c r="O34" i="1"/>
  <c r="P28" i="1"/>
  <c r="M397" i="1"/>
  <c r="M289" i="1"/>
  <c r="N311" i="1"/>
  <c r="C23" i="1"/>
  <c r="F23" i="1" s="1"/>
  <c r="N34" i="1"/>
  <c r="L335" i="1"/>
  <c r="L338" i="1" s="1"/>
  <c r="K335" i="1"/>
  <c r="K338" i="1" s="1"/>
  <c r="N344" i="1"/>
  <c r="N330" i="1"/>
  <c r="L293" i="1"/>
  <c r="L384" i="1" s="1"/>
  <c r="M291" i="1"/>
  <c r="J403" i="1"/>
  <c r="J285" i="1"/>
  <c r="K19" i="1"/>
  <c r="AD161" i="1"/>
  <c r="Q160" i="1" s="1"/>
  <c r="N165" i="1"/>
  <c r="K160" i="1"/>
  <c r="P57" i="1"/>
  <c r="P54" i="1"/>
  <c r="Q53" i="1"/>
  <c r="P18" i="1"/>
  <c r="O58" i="1"/>
  <c r="O61" i="1"/>
  <c r="O65" i="1" s="1"/>
  <c r="O69" i="1" s="1"/>
  <c r="B42" i="1"/>
  <c r="G42" i="1" s="1"/>
  <c r="L350" i="1"/>
  <c r="M345" i="1" s="1"/>
  <c r="L353" i="1"/>
  <c r="Q308" i="1"/>
  <c r="K353" i="1"/>
  <c r="W303" i="1"/>
  <c r="AB112" i="1"/>
  <c r="O62" i="1"/>
  <c r="N62" i="1"/>
  <c r="K352" i="1"/>
  <c r="M347" i="1"/>
  <c r="N372" i="1"/>
  <c r="M40" i="1"/>
  <c r="M50" i="1" s="1"/>
  <c r="M350" i="1" l="1"/>
  <c r="M353" i="1"/>
  <c r="N291" i="1"/>
  <c r="N293" i="1" s="1"/>
  <c r="M293" i="1"/>
  <c r="N345" i="1"/>
  <c r="M349" i="1"/>
  <c r="M352" i="1"/>
  <c r="R308" i="1"/>
  <c r="O73" i="1"/>
  <c r="O74" i="1" s="1"/>
  <c r="O70" i="1"/>
  <c r="B49" i="1"/>
  <c r="G49" i="1" s="1"/>
  <c r="M398" i="1"/>
  <c r="N371" i="1"/>
  <c r="N373" i="1" s="1"/>
  <c r="L352" i="1"/>
  <c r="L349" i="1"/>
  <c r="N73" i="1"/>
  <c r="N74" i="1" s="1"/>
  <c r="N70" i="1"/>
  <c r="M48" i="1"/>
  <c r="M36" i="1"/>
  <c r="M38" i="1" s="1"/>
  <c r="X303" i="1"/>
  <c r="P61" i="1"/>
  <c r="P58" i="1"/>
  <c r="K403" i="1"/>
  <c r="K285" i="1"/>
  <c r="L19" i="1"/>
  <c r="L387" i="1"/>
  <c r="L50" i="1"/>
  <c r="O66" i="1"/>
  <c r="L48" i="1"/>
  <c r="L36" i="1"/>
  <c r="L38" i="1" s="1"/>
  <c r="Q305" i="1"/>
  <c r="P306" i="1"/>
  <c r="Q57" i="1"/>
  <c r="Q54" i="1"/>
  <c r="R53" i="1"/>
  <c r="Q18" i="1"/>
  <c r="Q111" i="1"/>
  <c r="T116" i="1"/>
  <c r="AD128" i="1"/>
  <c r="Q127" i="1" s="1"/>
  <c r="P333" i="1"/>
  <c r="P334" i="1"/>
  <c r="K111" i="1"/>
  <c r="AD112" i="1"/>
  <c r="N116" i="1"/>
  <c r="Q28" i="1"/>
  <c r="P34" i="1"/>
  <c r="B50" i="1"/>
  <c r="G50" i="1" s="1"/>
  <c r="N366" i="1"/>
  <c r="N23" i="1" s="1"/>
  <c r="N25" i="1" s="1"/>
  <c r="O344" i="1"/>
  <c r="O346" i="1" s="1"/>
  <c r="O330" i="1"/>
  <c r="C24" i="1"/>
  <c r="N49" i="1"/>
  <c r="N309" i="1"/>
  <c r="N307" i="1"/>
  <c r="M360" i="1" l="1"/>
  <c r="N355" i="1"/>
  <c r="Q334" i="1"/>
  <c r="Q333" i="1" s="1"/>
  <c r="L403" i="1"/>
  <c r="L285" i="1"/>
  <c r="L329" i="1" s="1"/>
  <c r="M19" i="1"/>
  <c r="L41" i="1"/>
  <c r="L388" i="1" s="1"/>
  <c r="L42" i="1"/>
  <c r="Q306" i="1"/>
  <c r="R305" i="1"/>
  <c r="M42" i="1"/>
  <c r="M44" i="1" s="1"/>
  <c r="M47" i="1" s="1"/>
  <c r="M52" i="1" s="1"/>
  <c r="M41" i="1"/>
  <c r="N310" i="1"/>
  <c r="N312" i="1" s="1"/>
  <c r="N287" i="1"/>
  <c r="Y303" i="1"/>
  <c r="S308" i="1"/>
  <c r="R28" i="1"/>
  <c r="Q34" i="1"/>
  <c r="S53" i="1"/>
  <c r="R57" i="1"/>
  <c r="R18" i="1"/>
  <c r="R54" i="1"/>
  <c r="N353" i="1"/>
  <c r="N350" i="1"/>
  <c r="O345" i="1" s="1"/>
  <c r="Q61" i="1"/>
  <c r="Q58" i="1"/>
  <c r="P65" i="1"/>
  <c r="P62" i="1"/>
  <c r="F24" i="1"/>
  <c r="B247" i="1" s="1"/>
  <c r="H247" i="1" s="1"/>
  <c r="P335" i="1"/>
  <c r="P332" i="1" s="1"/>
  <c r="P344" i="1"/>
  <c r="P346" i="1" s="1"/>
  <c r="P330" i="1"/>
  <c r="C25" i="1"/>
  <c r="B58" i="1"/>
  <c r="B54" i="1"/>
  <c r="L360" i="1"/>
  <c r="M365" i="1" s="1"/>
  <c r="M355" i="1"/>
  <c r="M363" i="1"/>
  <c r="N363" i="1"/>
  <c r="O323" i="1" l="1"/>
  <c r="O300" i="1" s="1"/>
  <c r="O304" i="1" s="1"/>
  <c r="N35" i="1"/>
  <c r="N288" i="1"/>
  <c r="O353" i="1"/>
  <c r="O350" i="1"/>
  <c r="P345" i="1" s="1"/>
  <c r="R334" i="1"/>
  <c r="R330" i="1" s="1"/>
  <c r="Q335" i="1"/>
  <c r="Q332" i="1" s="1"/>
  <c r="R34" i="1"/>
  <c r="S28" i="1"/>
  <c r="AB360" i="1"/>
  <c r="N365" i="1"/>
  <c r="N21" i="1" s="1"/>
  <c r="N24" i="1" s="1"/>
  <c r="B100" i="1"/>
  <c r="K99" i="1" s="1"/>
  <c r="Q116" i="1" s="1"/>
  <c r="K165" i="1" s="1"/>
  <c r="B193" i="1"/>
  <c r="B74" i="1"/>
  <c r="G74" i="1" s="1"/>
  <c r="B66" i="1"/>
  <c r="G66" i="1" s="1"/>
  <c r="G58" i="1"/>
  <c r="C26" i="1"/>
  <c r="F25" i="1"/>
  <c r="C28" i="1"/>
  <c r="B184" i="1"/>
  <c r="B117" i="1"/>
  <c r="B84" i="1"/>
  <c r="K83" i="1" s="1"/>
  <c r="K116" i="1" s="1"/>
  <c r="K149" i="1" s="1"/>
  <c r="B70" i="1"/>
  <c r="G70" i="1" s="1"/>
  <c r="G54" i="1"/>
  <c r="B62" i="1"/>
  <c r="G62" i="1" s="1"/>
  <c r="C27" i="1"/>
  <c r="F27" i="1" s="1"/>
  <c r="Q65" i="1"/>
  <c r="Q62" i="1"/>
  <c r="R61" i="1"/>
  <c r="R58" i="1"/>
  <c r="Z303" i="1"/>
  <c r="M403" i="1"/>
  <c r="M285" i="1"/>
  <c r="N19" i="1"/>
  <c r="P69" i="1"/>
  <c r="P66" i="1"/>
  <c r="S57" i="1"/>
  <c r="S54" i="1"/>
  <c r="T53" i="1"/>
  <c r="S18" i="1"/>
  <c r="T308" i="1"/>
  <c r="Q344" i="1"/>
  <c r="Q346" i="1" s="1"/>
  <c r="Q330" i="1"/>
  <c r="B182" i="1"/>
  <c r="B191" i="1" s="1"/>
  <c r="N289" i="1"/>
  <c r="O371" i="1" s="1"/>
  <c r="O311" i="1"/>
  <c r="R306" i="1"/>
  <c r="S305" i="1"/>
  <c r="L389" i="1"/>
  <c r="L44" i="1"/>
  <c r="L47" i="1" s="1"/>
  <c r="L52" i="1" s="1"/>
  <c r="R346" i="1" l="1"/>
  <c r="P350" i="1"/>
  <c r="Q345" i="1" s="1"/>
  <c r="P353" i="1"/>
  <c r="S58" i="1"/>
  <c r="S61" i="1"/>
  <c r="M358" i="1"/>
  <c r="M329" i="1"/>
  <c r="Q69" i="1"/>
  <c r="Q66" i="1"/>
  <c r="O372" i="1"/>
  <c r="N347" i="1"/>
  <c r="N40" i="1"/>
  <c r="N50" i="1" s="1"/>
  <c r="T305" i="1"/>
  <c r="S306" i="1"/>
  <c r="T57" i="1"/>
  <c r="T54" i="1"/>
  <c r="U53" i="1"/>
  <c r="T18" i="1"/>
  <c r="P73" i="1"/>
  <c r="P74" i="1" s="1"/>
  <c r="P70" i="1"/>
  <c r="R333" i="1"/>
  <c r="N48" i="1"/>
  <c r="N36" i="1"/>
  <c r="N38" i="1" s="1"/>
  <c r="O373" i="1"/>
  <c r="U308" i="1"/>
  <c r="N285" i="1"/>
  <c r="N358" i="1" s="1"/>
  <c r="O19" i="1"/>
  <c r="R65" i="1"/>
  <c r="R62" i="1"/>
  <c r="O49" i="1"/>
  <c r="O309" i="1"/>
  <c r="O307" i="1"/>
  <c r="F28" i="1"/>
  <c r="C29" i="1"/>
  <c r="S34" i="1"/>
  <c r="T28" i="1"/>
  <c r="B83" i="1"/>
  <c r="B86" i="1" s="1"/>
  <c r="B119" i="1" s="1"/>
  <c r="N41" i="1" l="1"/>
  <c r="N42" i="1"/>
  <c r="N44" i="1" s="1"/>
  <c r="N47" i="1" s="1"/>
  <c r="N52" i="1" s="1"/>
  <c r="Q350" i="1"/>
  <c r="Q353" i="1"/>
  <c r="R69" i="1"/>
  <c r="R66" i="1"/>
  <c r="V308" i="1"/>
  <c r="S334" i="1"/>
  <c r="S330" i="1" s="1"/>
  <c r="O310" i="1"/>
  <c r="O312" i="1" s="1"/>
  <c r="O287" i="1"/>
  <c r="O285" i="1"/>
  <c r="O358" i="1" s="1"/>
  <c r="P19" i="1"/>
  <c r="C30" i="1"/>
  <c r="T61" i="1"/>
  <c r="T58" i="1"/>
  <c r="U305" i="1"/>
  <c r="T306" i="1"/>
  <c r="N349" i="1"/>
  <c r="N352" i="1"/>
  <c r="B116" i="1"/>
  <c r="B99" i="1"/>
  <c r="K82" i="1"/>
  <c r="K115" i="1" s="1"/>
  <c r="K148" i="1" s="1"/>
  <c r="F29" i="1"/>
  <c r="R345" i="1"/>
  <c r="S346" i="1"/>
  <c r="U28" i="1"/>
  <c r="T34" i="1"/>
  <c r="U57" i="1"/>
  <c r="V53" i="1"/>
  <c r="U18" i="1"/>
  <c r="U54" i="1"/>
  <c r="Q70" i="1"/>
  <c r="Q73" i="1"/>
  <c r="Q74" i="1" s="1"/>
  <c r="S65" i="1"/>
  <c r="S62" i="1"/>
  <c r="P323" i="1" l="1"/>
  <c r="P300" i="1" s="1"/>
  <c r="P304" i="1" s="1"/>
  <c r="O35" i="1"/>
  <c r="O288" i="1"/>
  <c r="S69" i="1"/>
  <c r="S66" i="1"/>
  <c r="N360" i="1"/>
  <c r="O355" i="1"/>
  <c r="O363" i="1"/>
  <c r="U61" i="1"/>
  <c r="U58" i="1"/>
  <c r="V28" i="1"/>
  <c r="U34" i="1"/>
  <c r="K98" i="1"/>
  <c r="Q115" i="1" s="1"/>
  <c r="K164" i="1" s="1"/>
  <c r="B102" i="1"/>
  <c r="B105" i="1" s="1"/>
  <c r="T80" i="1" s="1"/>
  <c r="T96" i="1" s="1"/>
  <c r="T146" i="1" s="1"/>
  <c r="T162" i="1" s="1"/>
  <c r="T65" i="1"/>
  <c r="T62" i="1"/>
  <c r="S333" i="1"/>
  <c r="R73" i="1"/>
  <c r="R74" i="1" s="1"/>
  <c r="R70" i="1"/>
  <c r="N76" i="1"/>
  <c r="N56" i="1"/>
  <c r="N60" i="1"/>
  <c r="N72" i="1"/>
  <c r="N64" i="1"/>
  <c r="N68" i="1"/>
  <c r="T346" i="1"/>
  <c r="F30" i="1"/>
  <c r="C31" i="1"/>
  <c r="O289" i="1"/>
  <c r="P371" i="1" s="1"/>
  <c r="P311" i="1"/>
  <c r="W53" i="1"/>
  <c r="V57" i="1"/>
  <c r="V18" i="1"/>
  <c r="V54" i="1"/>
  <c r="R353" i="1"/>
  <c r="R350" i="1"/>
  <c r="S345" i="1" s="1"/>
  <c r="U306" i="1"/>
  <c r="V305" i="1"/>
  <c r="P285" i="1"/>
  <c r="P358" i="1" s="1"/>
  <c r="Q19" i="1"/>
  <c r="W308" i="1"/>
  <c r="S353" i="1" l="1"/>
  <c r="S350" i="1"/>
  <c r="Q285" i="1"/>
  <c r="Q358" i="1" s="1"/>
  <c r="R19" i="1"/>
  <c r="X308" i="1"/>
  <c r="V306" i="1"/>
  <c r="W305" i="1"/>
  <c r="W57" i="1"/>
  <c r="W54" i="1"/>
  <c r="X53" i="1"/>
  <c r="W18" i="1"/>
  <c r="F31" i="1"/>
  <c r="C32" i="1"/>
  <c r="V34" i="1"/>
  <c r="W28" i="1"/>
  <c r="T334" i="1"/>
  <c r="T330" i="1" s="1"/>
  <c r="O360" i="1"/>
  <c r="O365" i="1"/>
  <c r="O21" i="1" s="1"/>
  <c r="O48" i="1"/>
  <c r="O36" i="1"/>
  <c r="U65" i="1"/>
  <c r="U62" i="1"/>
  <c r="P49" i="1"/>
  <c r="P309" i="1"/>
  <c r="P307" i="1"/>
  <c r="T345" i="1"/>
  <c r="U346" i="1"/>
  <c r="V61" i="1"/>
  <c r="V58" i="1"/>
  <c r="T69" i="1"/>
  <c r="T66" i="1"/>
  <c r="S73" i="1"/>
  <c r="S74" i="1" s="1"/>
  <c r="S70" i="1"/>
  <c r="T350" i="1" l="1"/>
  <c r="F32" i="1"/>
  <c r="C33" i="1"/>
  <c r="T73" i="1"/>
  <c r="T74" i="1" s="1"/>
  <c r="T70" i="1"/>
  <c r="V65" i="1"/>
  <c r="V62" i="1"/>
  <c r="U69" i="1"/>
  <c r="U66" i="1"/>
  <c r="T333" i="1"/>
  <c r="T353" i="1" s="1"/>
  <c r="Y308" i="1"/>
  <c r="P310" i="1"/>
  <c r="P312" i="1" s="1"/>
  <c r="P287" i="1"/>
  <c r="W34" i="1"/>
  <c r="X28" i="1"/>
  <c r="W58" i="1"/>
  <c r="W61" i="1"/>
  <c r="V346" i="1"/>
  <c r="U345" i="1"/>
  <c r="P360" i="1"/>
  <c r="P365" i="1"/>
  <c r="P21" i="1" s="1"/>
  <c r="O361" i="1"/>
  <c r="O366" i="1" s="1"/>
  <c r="O23" i="1" s="1"/>
  <c r="O25" i="1" s="1"/>
  <c r="X57" i="1"/>
  <c r="X54" i="1"/>
  <c r="Y53" i="1"/>
  <c r="X18" i="1"/>
  <c r="X305" i="1"/>
  <c r="W306" i="1"/>
  <c r="R285" i="1"/>
  <c r="R358" i="1" s="1"/>
  <c r="S19" i="1"/>
  <c r="Q323" i="1" l="1"/>
  <c r="Q300" i="1" s="1"/>
  <c r="Q304" i="1" s="1"/>
  <c r="P35" i="1"/>
  <c r="P288" i="1"/>
  <c r="P24" i="1"/>
  <c r="W346" i="1"/>
  <c r="S285" i="1"/>
  <c r="S358" i="1" s="1"/>
  <c r="T19" i="1"/>
  <c r="Y305" i="1"/>
  <c r="X306" i="1"/>
  <c r="X61" i="1"/>
  <c r="X58" i="1"/>
  <c r="Q365" i="1"/>
  <c r="Q21" i="1" s="1"/>
  <c r="P361" i="1"/>
  <c r="P366" i="1" s="1"/>
  <c r="P23" i="1" s="1"/>
  <c r="P25" i="1" s="1"/>
  <c r="Q360" i="1"/>
  <c r="P363" i="1"/>
  <c r="O24" i="1"/>
  <c r="Y28" i="1"/>
  <c r="X34" i="1"/>
  <c r="U73" i="1"/>
  <c r="U74" i="1" s="1"/>
  <c r="U70" i="1"/>
  <c r="Y57" i="1"/>
  <c r="Z53" i="1"/>
  <c r="Y18" i="1"/>
  <c r="Y54" i="1"/>
  <c r="Q311" i="1"/>
  <c r="U334" i="1"/>
  <c r="U330" i="1" s="1"/>
  <c r="V69" i="1"/>
  <c r="V66" i="1"/>
  <c r="U350" i="1"/>
  <c r="V345" i="1" s="1"/>
  <c r="W65" i="1"/>
  <c r="W62" i="1"/>
  <c r="Z308" i="1"/>
  <c r="F33" i="1"/>
  <c r="C34" i="1"/>
  <c r="V350" i="1" l="1"/>
  <c r="W345" i="1"/>
  <c r="X346" i="1"/>
  <c r="P347" i="1"/>
  <c r="Q372" i="1"/>
  <c r="P40" i="1"/>
  <c r="P50" i="1" s="1"/>
  <c r="Y306" i="1"/>
  <c r="Z305" i="1"/>
  <c r="W69" i="1"/>
  <c r="W66" i="1"/>
  <c r="V73" i="1"/>
  <c r="V74" i="1" s="1"/>
  <c r="V70" i="1"/>
  <c r="A80" i="1"/>
  <c r="Z57" i="1"/>
  <c r="Z18" i="1"/>
  <c r="Z54" i="1"/>
  <c r="AB86" i="1" s="1"/>
  <c r="Q361" i="1"/>
  <c r="Q366" i="1" s="1"/>
  <c r="Q23" i="1" s="1"/>
  <c r="Q25" i="1" s="1"/>
  <c r="R360" i="1"/>
  <c r="R365" i="1"/>
  <c r="R21" i="1" s="1"/>
  <c r="X65" i="1"/>
  <c r="X62" i="1"/>
  <c r="T285" i="1"/>
  <c r="T358" i="1" s="1"/>
  <c r="U19" i="1"/>
  <c r="P48" i="1"/>
  <c r="P36" i="1"/>
  <c r="P38" i="1" s="1"/>
  <c r="O347" i="1"/>
  <c r="P372" i="1"/>
  <c r="P373" i="1" s="1"/>
  <c r="O40" i="1"/>
  <c r="O50" i="1" s="1"/>
  <c r="O38" i="1"/>
  <c r="F34" i="1"/>
  <c r="C35" i="1"/>
  <c r="U333" i="1"/>
  <c r="P289" i="1"/>
  <c r="Q371" i="1" s="1"/>
  <c r="Q373" i="1" s="1"/>
  <c r="Y61" i="1"/>
  <c r="Y58" i="1"/>
  <c r="Z28" i="1"/>
  <c r="Z34" i="1" s="1"/>
  <c r="Y34" i="1"/>
  <c r="Q49" i="1"/>
  <c r="Q309" i="1"/>
  <c r="Q307" i="1"/>
  <c r="P41" i="1" l="1"/>
  <c r="P42" i="1"/>
  <c r="P44" i="1" s="1"/>
  <c r="P47" i="1" s="1"/>
  <c r="P52" i="1" s="1"/>
  <c r="Q310" i="1"/>
  <c r="Q312" i="1" s="1"/>
  <c r="Q287" i="1"/>
  <c r="O41" i="1"/>
  <c r="O42" i="1"/>
  <c r="O44" i="1" s="1"/>
  <c r="O47" i="1" s="1"/>
  <c r="O52" i="1" s="1"/>
  <c r="X69" i="1"/>
  <c r="X66" i="1"/>
  <c r="U85" i="1"/>
  <c r="N85" i="1"/>
  <c r="P352" i="1"/>
  <c r="P349" i="1"/>
  <c r="Q24" i="1"/>
  <c r="Y65" i="1"/>
  <c r="Y62" i="1"/>
  <c r="F35" i="1"/>
  <c r="C36" i="1"/>
  <c r="U285" i="1"/>
  <c r="U358" i="1" s="1"/>
  <c r="V19" i="1"/>
  <c r="Z306" i="1"/>
  <c r="Y346" i="1"/>
  <c r="O352" i="1"/>
  <c r="O349" i="1"/>
  <c r="P355" i="1" s="1"/>
  <c r="S360" i="1"/>
  <c r="S365" i="1"/>
  <c r="S21" i="1" s="1"/>
  <c r="R361" i="1"/>
  <c r="R366" i="1" s="1"/>
  <c r="R23" i="1" s="1"/>
  <c r="R25" i="1" s="1"/>
  <c r="Z61" i="1"/>
  <c r="Z58" i="1"/>
  <c r="AB102" i="1" s="1"/>
  <c r="W350" i="1"/>
  <c r="X345" i="1" s="1"/>
  <c r="V334" i="1"/>
  <c r="V330" i="1" s="1"/>
  <c r="V333" i="1"/>
  <c r="U353" i="1"/>
  <c r="A86" i="1"/>
  <c r="A85" i="1"/>
  <c r="K84" i="1" s="1"/>
  <c r="A89" i="1"/>
  <c r="K88" i="1" s="1"/>
  <c r="W70" i="1"/>
  <c r="W73" i="1"/>
  <c r="W74" i="1" s="1"/>
  <c r="R323" i="1" l="1"/>
  <c r="R300" i="1" s="1"/>
  <c r="R304" i="1" s="1"/>
  <c r="Q35" i="1"/>
  <c r="Q288" i="1"/>
  <c r="X350" i="1"/>
  <c r="K85" i="1"/>
  <c r="A102" i="1"/>
  <c r="K101" i="1" s="1"/>
  <c r="Z65" i="1"/>
  <c r="Z62" i="1"/>
  <c r="AB119" i="1" s="1"/>
  <c r="AD119" i="1" s="1"/>
  <c r="V285" i="1"/>
  <c r="V358" i="1" s="1"/>
  <c r="W19" i="1"/>
  <c r="X73" i="1"/>
  <c r="X74" i="1" s="1"/>
  <c r="X70" i="1"/>
  <c r="Y69" i="1"/>
  <c r="Y66" i="1"/>
  <c r="N118" i="1"/>
  <c r="O72" i="1"/>
  <c r="O76" i="1"/>
  <c r="O60" i="1"/>
  <c r="O64" i="1"/>
  <c r="O68" i="1"/>
  <c r="O56" i="1"/>
  <c r="P76" i="1"/>
  <c r="P64" i="1"/>
  <c r="P72" i="1"/>
  <c r="P68" i="1"/>
  <c r="P56" i="1"/>
  <c r="P60" i="1"/>
  <c r="K121" i="1"/>
  <c r="K154" i="1" s="1"/>
  <c r="K104" i="1"/>
  <c r="Q121" i="1" s="1"/>
  <c r="K170" i="1" s="1"/>
  <c r="Q88" i="1"/>
  <c r="W334" i="1"/>
  <c r="W330" i="1" s="1"/>
  <c r="V353" i="1"/>
  <c r="C37" i="1"/>
  <c r="C38" i="1" s="1"/>
  <c r="F36" i="1"/>
  <c r="Q347" i="1"/>
  <c r="R372" i="1"/>
  <c r="Q40" i="1"/>
  <c r="Q50" i="1" s="1"/>
  <c r="K117" i="1"/>
  <c r="K150" i="1" s="1"/>
  <c r="K100" i="1"/>
  <c r="Q117" i="1" s="1"/>
  <c r="K166" i="1" s="1"/>
  <c r="N101" i="1"/>
  <c r="U101" i="1"/>
  <c r="T360" i="1"/>
  <c r="T365" i="1"/>
  <c r="T21" i="1" s="1"/>
  <c r="S361" i="1"/>
  <c r="S366" i="1" s="1"/>
  <c r="S23" i="1" s="1"/>
  <c r="S25" i="1" s="1"/>
  <c r="Z346" i="1"/>
  <c r="Y345" i="1"/>
  <c r="R24" i="1"/>
  <c r="Q355" i="1"/>
  <c r="Q363" i="1"/>
  <c r="Q289" i="1"/>
  <c r="R371" i="1" s="1"/>
  <c r="R373" i="1" s="1"/>
  <c r="R311" i="1"/>
  <c r="U134" i="1" l="1"/>
  <c r="Q349" i="1"/>
  <c r="Q352" i="1"/>
  <c r="S24" i="1"/>
  <c r="Q170" i="1"/>
  <c r="Q154" i="1"/>
  <c r="Q137" i="1"/>
  <c r="Q104" i="1"/>
  <c r="Z69" i="1"/>
  <c r="Z66" i="1"/>
  <c r="AB135" i="1" s="1"/>
  <c r="AD135" i="1" s="1"/>
  <c r="Y350" i="1"/>
  <c r="Z345" i="1" s="1"/>
  <c r="S372" i="1"/>
  <c r="R347" i="1"/>
  <c r="R40" i="1"/>
  <c r="R50" i="1" s="1"/>
  <c r="T118" i="1"/>
  <c r="W285" i="1"/>
  <c r="W358" i="1" s="1"/>
  <c r="X19" i="1"/>
  <c r="Q118" i="1"/>
  <c r="Q101" i="1"/>
  <c r="C39" i="1"/>
  <c r="C40" i="1" s="1"/>
  <c r="F38" i="1"/>
  <c r="B248" i="1" s="1"/>
  <c r="Y73" i="1"/>
  <c r="Y74" i="1" s="1"/>
  <c r="Y70" i="1"/>
  <c r="K118" i="1"/>
  <c r="K151" i="1" s="1"/>
  <c r="Q151" i="1" s="1"/>
  <c r="Q85" i="1"/>
  <c r="Q48" i="1"/>
  <c r="Q36" i="1"/>
  <c r="Q38" i="1" s="1"/>
  <c r="U365" i="1"/>
  <c r="U21" i="1" s="1"/>
  <c r="T361" i="1"/>
  <c r="T366" i="1" s="1"/>
  <c r="T23" i="1" s="1"/>
  <c r="T25" i="1" s="1"/>
  <c r="U360" i="1"/>
  <c r="W333" i="1"/>
  <c r="R49" i="1"/>
  <c r="R309" i="1"/>
  <c r="R307" i="1"/>
  <c r="Z350" i="1" l="1"/>
  <c r="Q42" i="1"/>
  <c r="Q44" i="1" s="1"/>
  <c r="Q47" i="1" s="1"/>
  <c r="Q52" i="1" s="1"/>
  <c r="Q41" i="1"/>
  <c r="U361" i="1"/>
  <c r="U366" i="1" s="1"/>
  <c r="U23" i="1" s="1"/>
  <c r="U25" i="1" s="1"/>
  <c r="V360" i="1"/>
  <c r="V365" i="1"/>
  <c r="V21" i="1" s="1"/>
  <c r="T24" i="1"/>
  <c r="X285" i="1"/>
  <c r="X358" i="1" s="1"/>
  <c r="Y19" i="1"/>
  <c r="R349" i="1"/>
  <c r="R352" i="1"/>
  <c r="S347" i="1"/>
  <c r="T372" i="1"/>
  <c r="S40" i="1"/>
  <c r="S50" i="1" s="1"/>
  <c r="X333" i="1"/>
  <c r="X334" i="1"/>
  <c r="X330" i="1" s="1"/>
  <c r="W353" i="1"/>
  <c r="F40" i="1"/>
  <c r="C41" i="1"/>
  <c r="U24" i="1"/>
  <c r="Z73" i="1"/>
  <c r="Z74" i="1" s="1"/>
  <c r="Z70" i="1"/>
  <c r="H248" i="1"/>
  <c r="B249" i="1"/>
  <c r="H249" i="1" s="1"/>
  <c r="Q348" i="1"/>
  <c r="R355" i="1"/>
  <c r="R363" i="1"/>
  <c r="R310" i="1"/>
  <c r="R312" i="1" s="1"/>
  <c r="R287" i="1"/>
  <c r="K167" i="1"/>
  <c r="Q167" i="1" s="1"/>
  <c r="Q134" i="1"/>
  <c r="S323" i="1" l="1"/>
  <c r="S300" i="1" s="1"/>
  <c r="S304" i="1" s="1"/>
  <c r="R35" i="1"/>
  <c r="R288" i="1"/>
  <c r="F41" i="1"/>
  <c r="C42" i="1"/>
  <c r="Y334" i="1"/>
  <c r="Y330" i="1" s="1"/>
  <c r="X353" i="1"/>
  <c r="Q72" i="1"/>
  <c r="Q68" i="1"/>
  <c r="Q56" i="1"/>
  <c r="Q60" i="1"/>
  <c r="Q76" i="1"/>
  <c r="Q64" i="1"/>
  <c r="AB168" i="1"/>
  <c r="AD168" i="1" s="1"/>
  <c r="U167" i="1" s="1"/>
  <c r="AB152" i="1"/>
  <c r="S352" i="1"/>
  <c r="S349" i="1"/>
  <c r="Y285" i="1"/>
  <c r="Y358" i="1" s="1"/>
  <c r="Z19" i="1"/>
  <c r="W360" i="1"/>
  <c r="W365" i="1"/>
  <c r="W21" i="1" s="1"/>
  <c r="V361" i="1"/>
  <c r="V366" i="1" s="1"/>
  <c r="V23" i="1" s="1"/>
  <c r="V25" i="1" s="1"/>
  <c r="R289" i="1"/>
  <c r="S371" i="1" s="1"/>
  <c r="S373" i="1" s="1"/>
  <c r="S311" i="1"/>
  <c r="U347" i="1"/>
  <c r="V372" i="1"/>
  <c r="U40" i="1"/>
  <c r="U50" i="1" s="1"/>
  <c r="S355" i="1"/>
  <c r="S363" i="1"/>
  <c r="T347" i="1"/>
  <c r="U372" i="1"/>
  <c r="T40" i="1"/>
  <c r="T50" i="1" s="1"/>
  <c r="U349" i="1" l="1"/>
  <c r="U352" i="1"/>
  <c r="T355" i="1"/>
  <c r="T363" i="1"/>
  <c r="Y333" i="1"/>
  <c r="T352" i="1"/>
  <c r="T349" i="1"/>
  <c r="X360" i="1"/>
  <c r="X365" i="1"/>
  <c r="X21" i="1" s="1"/>
  <c r="W361" i="1"/>
  <c r="W366" i="1" s="1"/>
  <c r="W23" i="1" s="1"/>
  <c r="W25" i="1" s="1"/>
  <c r="R48" i="1"/>
  <c r="R36" i="1"/>
  <c r="R38" i="1" s="1"/>
  <c r="Z285" i="1"/>
  <c r="AA19" i="1"/>
  <c r="N151" i="1"/>
  <c r="AD152" i="1"/>
  <c r="U151" i="1" s="1"/>
  <c r="V24" i="1"/>
  <c r="C43" i="1"/>
  <c r="C44" i="1" s="1"/>
  <c r="F42" i="1"/>
  <c r="S49" i="1"/>
  <c r="S309" i="1"/>
  <c r="S307" i="1"/>
  <c r="S312" i="1" l="1"/>
  <c r="F44" i="1"/>
  <c r="C45" i="1"/>
  <c r="N167" i="1"/>
  <c r="S310" i="1"/>
  <c r="S287" i="1"/>
  <c r="W372" i="1"/>
  <c r="V347" i="1"/>
  <c r="V40" i="1"/>
  <c r="V50" i="1" s="1"/>
  <c r="Y365" i="1"/>
  <c r="Y21" i="1" s="1"/>
  <c r="X361" i="1"/>
  <c r="X366" i="1" s="1"/>
  <c r="X23" i="1" s="1"/>
  <c r="X25" i="1" s="1"/>
  <c r="Y360" i="1"/>
  <c r="AC360" i="1"/>
  <c r="Z334" i="1"/>
  <c r="Z330" i="1" s="1"/>
  <c r="Y353" i="1"/>
  <c r="Z358" i="1"/>
  <c r="AA285" i="1"/>
  <c r="U355" i="1"/>
  <c r="T348" i="1"/>
  <c r="U363" i="1"/>
  <c r="W24" i="1"/>
  <c r="R41" i="1"/>
  <c r="R42" i="1"/>
  <c r="R44" i="1" s="1"/>
  <c r="R47" i="1" s="1"/>
  <c r="R52" i="1" s="1"/>
  <c r="V355" i="1"/>
  <c r="V363" i="1"/>
  <c r="R76" i="1" l="1"/>
  <c r="R56" i="1"/>
  <c r="R60" i="1"/>
  <c r="R64" i="1"/>
  <c r="R72" i="1"/>
  <c r="R68" i="1"/>
  <c r="Y361" i="1"/>
  <c r="Y366" i="1" s="1"/>
  <c r="Y23" i="1" s="1"/>
  <c r="Y25" i="1" s="1"/>
  <c r="Z360" i="1"/>
  <c r="Z361" i="1" s="1"/>
  <c r="Z366" i="1" s="1"/>
  <c r="Z23" i="1" s="1"/>
  <c r="Z25" i="1" s="1"/>
  <c r="Z365" i="1"/>
  <c r="Z21" i="1" s="1"/>
  <c r="X24" i="1"/>
  <c r="Z333" i="1"/>
  <c r="Z353" i="1" s="1"/>
  <c r="V349" i="1"/>
  <c r="V352" i="1"/>
  <c r="C46" i="1"/>
  <c r="C47" i="1" s="1"/>
  <c r="F45" i="1"/>
  <c r="Y24" i="1"/>
  <c r="W347" i="1"/>
  <c r="X372" i="1"/>
  <c r="W40" i="1"/>
  <c r="W50" i="1" s="1"/>
  <c r="T311" i="1"/>
  <c r="T323" i="1"/>
  <c r="T300" i="1" s="1"/>
  <c r="T304" i="1" s="1"/>
  <c r="S35" i="1"/>
  <c r="S288" i="1"/>
  <c r="Y347" i="1" l="1"/>
  <c r="Z372" i="1"/>
  <c r="Y40" i="1"/>
  <c r="Y50" i="1" s="1"/>
  <c r="W355" i="1"/>
  <c r="W363" i="1"/>
  <c r="S48" i="1"/>
  <c r="S36" i="1"/>
  <c r="S38" i="1" s="1"/>
  <c r="S289" i="1"/>
  <c r="T371" i="1" s="1"/>
  <c r="T373" i="1" s="1"/>
  <c r="W352" i="1"/>
  <c r="W349" i="1"/>
  <c r="F47" i="1"/>
  <c r="C48" i="1"/>
  <c r="X347" i="1"/>
  <c r="Y372" i="1"/>
  <c r="X40" i="1"/>
  <c r="X50" i="1" s="1"/>
  <c r="T49" i="1"/>
  <c r="T309" i="1"/>
  <c r="T307" i="1"/>
  <c r="Z24" i="1"/>
  <c r="X352" i="1" l="1"/>
  <c r="X349" i="1"/>
  <c r="Z347" i="1"/>
  <c r="Z40" i="1"/>
  <c r="Z50" i="1" s="1"/>
  <c r="F48" i="1"/>
  <c r="C49" i="1"/>
  <c r="S41" i="1"/>
  <c r="S42" i="1"/>
  <c r="S44" i="1" s="1"/>
  <c r="S47" i="1" s="1"/>
  <c r="S52" i="1" s="1"/>
  <c r="Y349" i="1"/>
  <c r="Y352" i="1"/>
  <c r="T310" i="1"/>
  <c r="T312" i="1" s="1"/>
  <c r="T287" i="1"/>
  <c r="X355" i="1"/>
  <c r="X363" i="1"/>
  <c r="T35" i="1" l="1"/>
  <c r="T288" i="1"/>
  <c r="F49" i="1"/>
  <c r="C50" i="1"/>
  <c r="Z349" i="1"/>
  <c r="Z352" i="1"/>
  <c r="S72" i="1"/>
  <c r="S76" i="1"/>
  <c r="S60" i="1"/>
  <c r="S64" i="1"/>
  <c r="S68" i="1"/>
  <c r="S56" i="1"/>
  <c r="Z355" i="1"/>
  <c r="Z363" i="1"/>
  <c r="Y355" i="1"/>
  <c r="Y363" i="1"/>
  <c r="U304" i="1"/>
  <c r="U311" i="1"/>
  <c r="C51" i="1" l="1"/>
  <c r="C52" i="1" s="1"/>
  <c r="F50" i="1"/>
  <c r="U49" i="1"/>
  <c r="U309" i="1"/>
  <c r="U307" i="1"/>
  <c r="T289" i="1"/>
  <c r="U371" i="1" s="1"/>
  <c r="U373" i="1" s="1"/>
  <c r="T48" i="1"/>
  <c r="T36" i="1"/>
  <c r="T38" i="1" s="1"/>
  <c r="U310" i="1" l="1"/>
  <c r="U312" i="1" s="1"/>
  <c r="U287" i="1"/>
  <c r="T41" i="1"/>
  <c r="T42" i="1"/>
  <c r="T44" i="1" s="1"/>
  <c r="T47" i="1" s="1"/>
  <c r="T52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52" i="1"/>
  <c r="B260" i="1" s="1"/>
  <c r="H260" i="1" s="1"/>
  <c r="C53" i="1"/>
  <c r="U35" i="1" l="1"/>
  <c r="U288" i="1"/>
  <c r="F53" i="1"/>
  <c r="C54" i="1"/>
  <c r="V304" i="1"/>
  <c r="V311" i="1"/>
  <c r="T76" i="1"/>
  <c r="T64" i="1"/>
  <c r="T68" i="1"/>
  <c r="T72" i="1"/>
  <c r="T56" i="1"/>
  <c r="T60" i="1"/>
  <c r="C55" i="1" l="1"/>
  <c r="C56" i="1" s="1"/>
  <c r="F54" i="1"/>
  <c r="V49" i="1"/>
  <c r="V309" i="1"/>
  <c r="V307" i="1"/>
  <c r="U289" i="1"/>
  <c r="V371" i="1" s="1"/>
  <c r="V373" i="1" s="1"/>
  <c r="U48" i="1"/>
  <c r="U36" i="1"/>
  <c r="U38" i="1" s="1"/>
  <c r="U42" i="1" l="1"/>
  <c r="U44" i="1" s="1"/>
  <c r="U47" i="1" s="1"/>
  <c r="U52" i="1" s="1"/>
  <c r="U41" i="1"/>
  <c r="F56" i="1"/>
  <c r="C57" i="1"/>
  <c r="C58" i="1" s="1"/>
  <c r="V310" i="1"/>
  <c r="V312" i="1" s="1"/>
  <c r="V287" i="1"/>
  <c r="V35" i="1" l="1"/>
  <c r="V288" i="1"/>
  <c r="V289" i="1" s="1"/>
  <c r="W371" i="1" s="1"/>
  <c r="W373" i="1" s="1"/>
  <c r="W304" i="1"/>
  <c r="W311" i="1"/>
  <c r="U68" i="1"/>
  <c r="U72" i="1"/>
  <c r="U56" i="1"/>
  <c r="U76" i="1"/>
  <c r="U60" i="1"/>
  <c r="U64" i="1"/>
  <c r="C59" i="1"/>
  <c r="C60" i="1" s="1"/>
  <c r="F58" i="1"/>
  <c r="F60" i="1" l="1"/>
  <c r="C61" i="1"/>
  <c r="C62" i="1" s="1"/>
  <c r="V48" i="1"/>
  <c r="V36" i="1"/>
  <c r="V38" i="1" s="1"/>
  <c r="W49" i="1"/>
  <c r="W309" i="1"/>
  <c r="W310" i="1" s="1"/>
  <c r="W307" i="1"/>
  <c r="W312" i="1" s="1"/>
  <c r="W35" i="1" l="1"/>
  <c r="W288" i="1"/>
  <c r="V41" i="1"/>
  <c r="V42" i="1"/>
  <c r="V44" i="1" s="1"/>
  <c r="V47" i="1" s="1"/>
  <c r="V52" i="1" s="1"/>
  <c r="C63" i="1"/>
  <c r="C64" i="1" s="1"/>
  <c r="F62" i="1"/>
  <c r="W287" i="1"/>
  <c r="V76" i="1" l="1"/>
  <c r="V72" i="1"/>
  <c r="V56" i="1"/>
  <c r="V60" i="1"/>
  <c r="V64" i="1"/>
  <c r="V68" i="1"/>
  <c r="W289" i="1"/>
  <c r="X371" i="1" s="1"/>
  <c r="X373" i="1" s="1"/>
  <c r="X304" i="1"/>
  <c r="X311" i="1"/>
  <c r="F64" i="1"/>
  <c r="C65" i="1"/>
  <c r="C66" i="1" s="1"/>
  <c r="W48" i="1"/>
  <c r="W36" i="1"/>
  <c r="W38" i="1" s="1"/>
  <c r="W41" i="1" l="1"/>
  <c r="W42" i="1"/>
  <c r="W44" i="1" s="1"/>
  <c r="W47" i="1" s="1"/>
  <c r="W52" i="1" s="1"/>
  <c r="C67" i="1"/>
  <c r="C68" i="1" s="1"/>
  <c r="F66" i="1"/>
  <c r="X49" i="1"/>
  <c r="X309" i="1"/>
  <c r="X310" i="1" s="1"/>
  <c r="X307" i="1"/>
  <c r="X312" i="1" s="1"/>
  <c r="X35" i="1" l="1"/>
  <c r="X288" i="1"/>
  <c r="W72" i="1"/>
  <c r="W76" i="1"/>
  <c r="W60" i="1"/>
  <c r="W64" i="1"/>
  <c r="W68" i="1"/>
  <c r="W56" i="1"/>
  <c r="F68" i="1"/>
  <c r="C69" i="1"/>
  <c r="C70" i="1" s="1"/>
  <c r="X287" i="1"/>
  <c r="X289" i="1" l="1"/>
  <c r="Y371" i="1" s="1"/>
  <c r="Y373" i="1" s="1"/>
  <c r="Y304" i="1"/>
  <c r="Y311" i="1"/>
  <c r="C71" i="1"/>
  <c r="C72" i="1" s="1"/>
  <c r="F70" i="1"/>
  <c r="X48" i="1"/>
  <c r="X36" i="1"/>
  <c r="X38" i="1" s="1"/>
  <c r="F72" i="1" l="1"/>
  <c r="C73" i="1"/>
  <c r="C74" i="1" s="1"/>
  <c r="Y49" i="1"/>
  <c r="Y309" i="1"/>
  <c r="Y307" i="1"/>
  <c r="X41" i="1"/>
  <c r="X42" i="1"/>
  <c r="X44" i="1" s="1"/>
  <c r="X47" i="1" s="1"/>
  <c r="X52" i="1" s="1"/>
  <c r="B262" i="1"/>
  <c r="H262" i="1" s="1"/>
  <c r="B261" i="1"/>
  <c r="H261" i="1" s="1"/>
  <c r="X76" i="1" l="1"/>
  <c r="X64" i="1"/>
  <c r="X68" i="1"/>
  <c r="X56" i="1"/>
  <c r="X72" i="1"/>
  <c r="X60" i="1"/>
  <c r="C75" i="1"/>
  <c r="C76" i="1" s="1"/>
  <c r="F76" i="1" s="1"/>
  <c r="F74" i="1"/>
  <c r="Y310" i="1"/>
  <c r="Y312" i="1" s="1"/>
  <c r="Y287" i="1"/>
  <c r="Y35" i="1" l="1"/>
  <c r="Y288" i="1"/>
  <c r="Y289" i="1"/>
  <c r="Z371" i="1" s="1"/>
  <c r="Z373" i="1" s="1"/>
  <c r="Z304" i="1"/>
  <c r="Z311" i="1"/>
  <c r="Z49" i="1" l="1"/>
  <c r="Z309" i="1"/>
  <c r="Z307" i="1"/>
  <c r="Y48" i="1"/>
  <c r="Y36" i="1"/>
  <c r="Y38" i="1" s="1"/>
  <c r="Y42" i="1" l="1"/>
  <c r="Y44" i="1" s="1"/>
  <c r="Y47" i="1" s="1"/>
  <c r="Y52" i="1" s="1"/>
  <c r="Y41" i="1"/>
  <c r="Z310" i="1"/>
  <c r="Z312" i="1" s="1"/>
  <c r="Z287" i="1"/>
  <c r="Z35" i="1" l="1"/>
  <c r="Z288" i="1"/>
  <c r="Z289" i="1" s="1"/>
  <c r="Y68" i="1"/>
  <c r="Y76" i="1"/>
  <c r="Y56" i="1"/>
  <c r="Y72" i="1"/>
  <c r="Y60" i="1"/>
  <c r="Y64" i="1"/>
  <c r="Z48" i="1" l="1"/>
  <c r="Z36" i="1"/>
  <c r="Z38" i="1" s="1"/>
  <c r="Z41" i="1" l="1"/>
  <c r="Z42" i="1"/>
  <c r="AD149" i="1" l="1"/>
  <c r="AD83" i="1"/>
  <c r="AD116" i="1"/>
  <c r="AD132" i="1" s="1"/>
  <c r="S131" i="1" s="1"/>
  <c r="U131" i="1" s="1"/>
  <c r="U133" i="1" s="1"/>
  <c r="U135" i="1" s="1"/>
  <c r="Z44" i="1"/>
  <c r="Z47" i="1" s="1"/>
  <c r="Z52" i="1" s="1"/>
  <c r="AD117" i="1"/>
  <c r="AD133" i="1" s="1"/>
  <c r="S132" i="1" s="1"/>
  <c r="U132" i="1" s="1"/>
  <c r="AD150" i="1"/>
  <c r="AD84" i="1"/>
  <c r="Z76" i="1" l="1"/>
  <c r="AB76" i="1" s="1"/>
  <c r="Z56" i="1"/>
  <c r="AB56" i="1" s="1"/>
  <c r="Z72" i="1"/>
  <c r="AB72" i="1" s="1"/>
  <c r="Z60" i="1"/>
  <c r="AB60" i="1" s="1"/>
  <c r="Z64" i="1"/>
  <c r="AB64" i="1" s="1"/>
  <c r="AB52" i="1"/>
  <c r="Z68" i="1"/>
  <c r="AB68" i="1" s="1"/>
  <c r="AD100" i="1"/>
  <c r="S99" i="1" s="1"/>
  <c r="U99" i="1" s="1"/>
  <c r="S83" i="1"/>
  <c r="U83" i="1" s="1"/>
  <c r="S149" i="1"/>
  <c r="U149" i="1" s="1"/>
  <c r="AD166" i="1"/>
  <c r="S165" i="1" s="1"/>
  <c r="U165" i="1" s="1"/>
  <c r="AD99" i="1"/>
  <c r="S98" i="1" s="1"/>
  <c r="U98" i="1" s="1"/>
  <c r="U100" i="1" s="1"/>
  <c r="U102" i="1" s="1"/>
  <c r="S82" i="1"/>
  <c r="U82" i="1" s="1"/>
  <c r="U84" i="1" s="1"/>
  <c r="U86" i="1" s="1"/>
  <c r="AD165" i="1"/>
  <c r="S164" i="1" s="1"/>
  <c r="U164" i="1" s="1"/>
  <c r="S148" i="1"/>
  <c r="U148" i="1" s="1"/>
  <c r="U150" i="1" s="1"/>
  <c r="U152" i="1" s="1"/>
  <c r="AB171" i="1" l="1"/>
  <c r="AB155" i="1"/>
  <c r="U166" i="1"/>
  <c r="U168" i="1" s="1"/>
  <c r="AB132" i="1"/>
  <c r="T115" i="1" s="1"/>
  <c r="T117" i="1" s="1"/>
  <c r="T119" i="1" s="1"/>
  <c r="AB116" i="1"/>
  <c r="N115" i="1" s="1"/>
  <c r="N117" i="1" s="1"/>
  <c r="N119" i="1" s="1"/>
  <c r="AB149" i="1"/>
  <c r="N148" i="1" s="1"/>
  <c r="N150" i="1" s="1"/>
  <c r="N152" i="1" s="1"/>
  <c r="AB83" i="1"/>
  <c r="N82" i="1" s="1"/>
  <c r="N84" i="1" s="1"/>
  <c r="N86" i="1" s="1"/>
  <c r="AB165" i="1"/>
  <c r="N164" i="1" s="1"/>
  <c r="N166" i="1" s="1"/>
  <c r="N168" i="1" s="1"/>
  <c r="AB99" i="1"/>
  <c r="N98" i="1" s="1"/>
  <c r="N100" i="1" s="1"/>
  <c r="N102" i="1" s="1"/>
  <c r="AB122" i="1"/>
  <c r="AB89" i="1"/>
  <c r="AB105" i="1"/>
  <c r="AB138" i="1"/>
  <c r="U137" i="1" l="1"/>
  <c r="U139" i="1" s="1"/>
  <c r="AD138" i="1"/>
  <c r="T121" i="1"/>
  <c r="U88" i="1"/>
  <c r="U90" i="1" s="1"/>
  <c r="N88" i="1"/>
  <c r="N90" i="1" s="1"/>
  <c r="N104" i="1"/>
  <c r="U104" i="1"/>
  <c r="U106" i="1" s="1"/>
  <c r="AD122" i="1"/>
  <c r="N121" i="1"/>
  <c r="N106" i="1"/>
  <c r="N123" i="1"/>
  <c r="AD155" i="1"/>
  <c r="U154" i="1" s="1"/>
  <c r="U156" i="1" s="1"/>
  <c r="N154" i="1"/>
  <c r="N156" i="1" s="1"/>
  <c r="T123" i="1"/>
  <c r="N170" i="1"/>
  <c r="N172" i="1" s="1"/>
  <c r="AD171" i="1"/>
  <c r="U170" i="1" s="1"/>
  <c r="U172" i="1" s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<sst xmlns="http://schemas.openxmlformats.org/spreadsheetml/2006/main" count="332" uniqueCount="182">
  <si>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</si>
  <si>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</si>
  <si>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</si>
  <si>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</si>
  <si>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</si>
  <si>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</si>
  <si>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</si>
  <si>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</si>
  <si>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</si>
  <si>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</si>
  <si>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</si>
  <si>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MUNI</t>
  </si>
  <si>
    <t>flag</t>
  </si>
  <si>
    <t>Income Approach</t>
  </si>
  <si>
    <t>Township of Mahoning Sewer and Water Systems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</si>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</sst>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7" xfId="0" applyNumberFormat="1" applyFont="1" applyFill="1" applyBorder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2.5000000000000001E-3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0.01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0.01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Sewer and Water Systems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19"/>
      <c r="O12" s="19"/>
      <c r="P12" s="19"/>
      <c r="Q12" s="19"/>
      <c r="R12" s="19"/>
      <c r="U12" s="14" t="str">
        <f t="shared" si="0"/>
        <v>Pro Forma and Estimted Operations With MUNI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1829023</v>
      </c>
      <c r="L21" s="38">
        <f>$K21*(1+(((0.4*0.1)+(0.6*0.15))*(3/12)))</f>
        <v>1888466.2475000001</v>
      </c>
      <c r="M21" s="39">
        <f>$K21*(1+(((0.4*0.1)+(0.6*0.15))*(12/12)))</f>
        <v>2066795.9899999998</v>
      </c>
      <c r="N21" s="39">
        <f t="shared" ref="N21:O21" si="4">+N365</f>
        <v>2130225</v>
      </c>
      <c r="O21" s="39">
        <f t="shared" si="4"/>
        <v>2193784</v>
      </c>
      <c r="P21" s="39">
        <f>+P365</f>
        <v>2204467</v>
      </c>
      <c r="Q21" s="39">
        <f t="shared" ref="Q21:Z21" si="5">+Q365</f>
        <v>2447741</v>
      </c>
      <c r="R21" s="39">
        <f t="shared" si="5"/>
        <v>2459778</v>
      </c>
      <c r="S21" s="39">
        <f t="shared" si="5"/>
        <v>2472077</v>
      </c>
      <c r="T21" s="39">
        <f t="shared" si="5"/>
        <v>2576361</v>
      </c>
      <c r="U21" s="39">
        <f t="shared" si="5"/>
        <v>2589243</v>
      </c>
      <c r="V21" s="39">
        <f t="shared" si="5"/>
        <v>2602189</v>
      </c>
      <c r="W21" s="39">
        <f t="shared" si="5"/>
        <v>2711963</v>
      </c>
      <c r="X21" s="39">
        <f t="shared" si="5"/>
        <v>2725522</v>
      </c>
      <c r="Y21" s="39">
        <f t="shared" si="5"/>
        <v>2739150</v>
      </c>
      <c r="Z21" s="39">
        <f t="shared" si="5"/>
        <v>2854701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58217</v>
      </c>
      <c r="L22" s="38">
        <f>+K22</f>
        <v>58217</v>
      </c>
      <c r="M22" s="38">
        <f>+L22</f>
        <v>58217</v>
      </c>
      <c r="N22" s="38">
        <f t="shared" ref="N22:Z22" si="6">+M22</f>
        <v>58217</v>
      </c>
      <c r="O22" s="38">
        <f t="shared" si="6"/>
        <v>58217</v>
      </c>
      <c r="P22" s="38">
        <f t="shared" si="6"/>
        <v>58217</v>
      </c>
      <c r="Q22" s="38">
        <f t="shared" si="6"/>
        <v>58217</v>
      </c>
      <c r="R22" s="38">
        <f t="shared" si="6"/>
        <v>58217</v>
      </c>
      <c r="S22" s="38">
        <f t="shared" si="6"/>
        <v>58217</v>
      </c>
      <c r="T22" s="38">
        <f t="shared" si="6"/>
        <v>58217</v>
      </c>
      <c r="U22" s="38">
        <f t="shared" si="6"/>
        <v>58217</v>
      </c>
      <c r="V22" s="38">
        <f t="shared" si="6"/>
        <v>58217</v>
      </c>
      <c r="W22" s="38">
        <f t="shared" si="6"/>
        <v>58217</v>
      </c>
      <c r="X22" s="38">
        <f t="shared" si="6"/>
        <v>58217</v>
      </c>
      <c r="Y22" s="38">
        <f t="shared" si="6"/>
        <v>58217</v>
      </c>
      <c r="Z22" s="38">
        <f t="shared" si="6"/>
        <v>58217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231469</v>
      </c>
      <c r="Q23" s="38">
        <f t="shared" ref="Q23:Z23" si="8">+Q366</f>
        <v>0</v>
      </c>
      <c r="R23" s="38">
        <f t="shared" si="8"/>
        <v>0</v>
      </c>
      <c r="S23" s="38">
        <f t="shared" si="8"/>
        <v>91467</v>
      </c>
      <c r="T23" s="38">
        <f t="shared" si="8"/>
        <v>0</v>
      </c>
      <c r="U23" s="38">
        <f t="shared" si="8"/>
        <v>0</v>
      </c>
      <c r="V23" s="38">
        <f t="shared" si="8"/>
        <v>96281</v>
      </c>
      <c r="W23" s="38">
        <f t="shared" si="8"/>
        <v>0</v>
      </c>
      <c r="X23" s="38">
        <f t="shared" si="8"/>
        <v>0</v>
      </c>
      <c r="Y23" s="38">
        <f t="shared" si="8"/>
        <v>101349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AA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1887240</v>
      </c>
      <c r="L24" s="41">
        <f t="shared" si="9"/>
        <v>1946683.2475000001</v>
      </c>
      <c r="M24" s="41">
        <f t="shared" si="9"/>
        <v>2125012.9899999998</v>
      </c>
      <c r="N24" s="41">
        <f t="shared" si="9"/>
        <v>2188442</v>
      </c>
      <c r="O24" s="41">
        <f t="shared" si="9"/>
        <v>2252001</v>
      </c>
      <c r="P24" s="41">
        <f t="shared" si="9"/>
        <v>2494153</v>
      </c>
      <c r="Q24" s="41">
        <f t="shared" si="9"/>
        <v>2505958</v>
      </c>
      <c r="R24" s="41">
        <f t="shared" si="9"/>
        <v>2517995</v>
      </c>
      <c r="S24" s="41">
        <f t="shared" si="9"/>
        <v>2621761</v>
      </c>
      <c r="T24" s="41">
        <f t="shared" si="9"/>
        <v>2634578</v>
      </c>
      <c r="U24" s="41">
        <f t="shared" si="9"/>
        <v>2647460</v>
      </c>
      <c r="V24" s="41">
        <f t="shared" si="9"/>
        <v>2756687</v>
      </c>
      <c r="W24" s="41">
        <f t="shared" si="9"/>
        <v>2770180</v>
      </c>
      <c r="X24" s="41">
        <f t="shared" si="9"/>
        <v>2783739</v>
      </c>
      <c r="Y24" s="41">
        <f t="shared" si="9"/>
        <v>2898716</v>
      </c>
      <c r="Z24" s="41">
        <f t="shared" si="9"/>
        <v>2912918</v>
      </c>
      <c r="AA24" s="41">
        <f t="shared" si="9"/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0">IF(N23&gt;0,+N23/N21,"")</f>
        <v/>
      </c>
      <c r="O25" s="45" t="str">
        <f t="shared" si="10"/>
        <v/>
      </c>
      <c r="P25" s="45">
        <f t="shared" si="10"/>
        <v>0.10499998412314632</v>
      </c>
      <c r="Q25" s="45" t="str">
        <f t="shared" si="10"/>
        <v/>
      </c>
      <c r="R25" s="45" t="str">
        <f t="shared" si="10"/>
        <v/>
      </c>
      <c r="S25" s="45">
        <f t="shared" si="10"/>
        <v>3.700006108223975E-2</v>
      </c>
      <c r="T25" s="45" t="str">
        <f t="shared" si="10"/>
        <v/>
      </c>
      <c r="U25" s="45" t="str">
        <f t="shared" si="10"/>
        <v/>
      </c>
      <c r="V25" s="45">
        <f t="shared" si="10"/>
        <v>3.7000002690042881E-2</v>
      </c>
      <c r="W25" s="45" t="str">
        <f t="shared" si="10"/>
        <v/>
      </c>
      <c r="X25" s="45" t="str">
        <f t="shared" si="10"/>
        <v/>
      </c>
      <c r="Y25" s="45">
        <f t="shared" si="10"/>
        <v>3.7000164284540824E-2</v>
      </c>
      <c r="Z25" s="45" t="str">
        <f t="shared" si="10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1929960</v>
      </c>
      <c r="L28" s="38">
        <f t="shared" ref="L28:Z28" si="11">+K28*(1+$AC28)</f>
        <v>1968559.2</v>
      </c>
      <c r="M28" s="38">
        <f t="shared" si="11"/>
        <v>2007930.3840000001</v>
      </c>
      <c r="N28" s="38">
        <f t="shared" si="11"/>
        <v>2048088.9916800002</v>
      </c>
      <c r="O28" s="38">
        <f t="shared" si="11"/>
        <v>2089050.7715136001</v>
      </c>
      <c r="P28" s="38">
        <f t="shared" si="11"/>
        <v>2130831.786943872</v>
      </c>
      <c r="Q28" s="38">
        <f t="shared" si="11"/>
        <v>2173448.4226827496</v>
      </c>
      <c r="R28" s="38">
        <f t="shared" si="11"/>
        <v>2216917.3911364046</v>
      </c>
      <c r="S28" s="38">
        <f t="shared" si="11"/>
        <v>2261255.7389591327</v>
      </c>
      <c r="T28" s="38">
        <f t="shared" si="11"/>
        <v>2306480.8537383154</v>
      </c>
      <c r="U28" s="38">
        <f t="shared" si="11"/>
        <v>2352610.4708130816</v>
      </c>
      <c r="V28" s="38">
        <f t="shared" si="11"/>
        <v>2399662.6802293435</v>
      </c>
      <c r="W28" s="38">
        <f t="shared" si="11"/>
        <v>2447655.9338339302</v>
      </c>
      <c r="X28" s="38">
        <f t="shared" si="11"/>
        <v>2496609.0525106089</v>
      </c>
      <c r="Y28" s="38">
        <f t="shared" si="11"/>
        <v>2546541.233560821</v>
      </c>
      <c r="Z28" s="38">
        <f t="shared" si="11"/>
        <v>2597472.0582320374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-28959.835715999998</v>
      </c>
      <c r="O30" s="38">
        <f t="shared" ref="O30:Z32" si="12">+N30*(1+$AC30)</f>
        <v>-29539.03243032</v>
      </c>
      <c r="P30" s="38">
        <f t="shared" si="12"/>
        <v>-30129.8130789264</v>
      </c>
      <c r="Q30" s="38">
        <f t="shared" si="12"/>
        <v>-30732.409340504928</v>
      </c>
      <c r="R30" s="38">
        <f t="shared" si="12"/>
        <v>-31347.057527315028</v>
      </c>
      <c r="S30" s="38">
        <f t="shared" si="12"/>
        <v>-31973.998677861327</v>
      </c>
      <c r="T30" s="38">
        <f t="shared" si="12"/>
        <v>-32613.478651418554</v>
      </c>
      <c r="U30" s="38">
        <f t="shared" si="12"/>
        <v>-33265.748224446928</v>
      </c>
      <c r="V30" s="38">
        <f t="shared" si="12"/>
        <v>-33931.06318893587</v>
      </c>
      <c r="W30" s="38">
        <f t="shared" si="12"/>
        <v>-34609.684452714588</v>
      </c>
      <c r="X30" s="38">
        <f t="shared" si="12"/>
        <v>-35301.878141768881</v>
      </c>
      <c r="Y30" s="38">
        <f t="shared" si="12"/>
        <v>-36007.91570460426</v>
      </c>
      <c r="Z30" s="38">
        <f t="shared" si="12"/>
        <v>-36728.074018696345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3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-117109.60884</v>
      </c>
      <c r="O31" s="38">
        <f t="shared" si="12"/>
        <v>-119451.8010168</v>
      </c>
      <c r="P31" s="38">
        <f t="shared" si="12"/>
        <v>-121840.83703713601</v>
      </c>
      <c r="Q31" s="38">
        <f t="shared" si="12"/>
        <v>-124277.65377787873</v>
      </c>
      <c r="R31" s="38">
        <f t="shared" si="12"/>
        <v>-126763.20685343631</v>
      </c>
      <c r="S31" s="38">
        <f t="shared" si="12"/>
        <v>-129298.47099050504</v>
      </c>
      <c r="T31" s="38">
        <f t="shared" si="12"/>
        <v>-131884.44041031515</v>
      </c>
      <c r="U31" s="38">
        <f t="shared" si="12"/>
        <v>-134522.12921852144</v>
      </c>
      <c r="V31" s="38">
        <f t="shared" si="12"/>
        <v>-137212.57180289188</v>
      </c>
      <c r="W31" s="38">
        <f t="shared" si="12"/>
        <v>-139956.82323894973</v>
      </c>
      <c r="X31" s="38">
        <f t="shared" si="12"/>
        <v>-142755.95970372873</v>
      </c>
      <c r="Y31" s="38">
        <f t="shared" si="12"/>
        <v>-145611.07889780329</v>
      </c>
      <c r="Z31" s="38">
        <f t="shared" si="12"/>
        <v>-148523.30047575937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3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-3866.0868648000005</v>
      </c>
      <c r="O32" s="38">
        <f t="shared" si="12"/>
        <v>-3943.4086020960008</v>
      </c>
      <c r="P32" s="38">
        <f t="shared" si="12"/>
        <v>-4022.2767741379207</v>
      </c>
      <c r="Q32" s="38">
        <f t="shared" si="12"/>
        <v>-4102.722309620679</v>
      </c>
      <c r="R32" s="38">
        <f t="shared" si="12"/>
        <v>-4184.7767558130927</v>
      </c>
      <c r="S32" s="38">
        <f t="shared" si="12"/>
        <v>-4268.472290929355</v>
      </c>
      <c r="T32" s="38">
        <f t="shared" si="12"/>
        <v>-4353.8417367479424</v>
      </c>
      <c r="U32" s="38">
        <f t="shared" si="12"/>
        <v>-4440.9185714829009</v>
      </c>
      <c r="V32" s="38">
        <f t="shared" si="12"/>
        <v>-4529.7369429125592</v>
      </c>
      <c r="W32" s="38">
        <f t="shared" si="12"/>
        <v>-4620.3316817708101</v>
      </c>
      <c r="X32" s="38">
        <f t="shared" si="12"/>
        <v>-4712.7383154062263</v>
      </c>
      <c r="Y32" s="38">
        <f t="shared" si="12"/>
        <v>-4806.9930817143513</v>
      </c>
      <c r="Z32" s="38">
        <f t="shared" si="12"/>
        <v>-4903.132943348638</v>
      </c>
      <c r="AA32" s="29"/>
      <c r="AB32" s="29"/>
      <c r="AC32" s="1">
        <f t="shared" ref="AC32" si="14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12</v>
      </c>
      <c r="D33" s="21">
        <f>IF($C$10="IOU",1,0)</f>
        <v>0</v>
      </c>
      <c r="F33" s="31">
        <f t="shared" si="2"/>
        <v>12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0</v>
      </c>
      <c r="O33" s="38">
        <f>IF($C$10="IOU",+O373,0)</f>
        <v>0</v>
      </c>
      <c r="P33" s="38">
        <f>IF($C$10="IOU",+P373,0)</f>
        <v>0</v>
      </c>
      <c r="Q33" s="38">
        <f>IF($C$10="IOU",+Q373,0)</f>
        <v>0</v>
      </c>
      <c r="R33" s="38">
        <f>IF($C$10="IOU",+R373,0)</f>
        <v>0</v>
      </c>
      <c r="S33" s="38">
        <f>IF($C$10="IOU",+S373,0)</f>
        <v>0</v>
      </c>
      <c r="T33" s="38">
        <f>IF($C$10="IOU",+T373,0)</f>
        <v>0</v>
      </c>
      <c r="U33" s="38">
        <f>IF($C$10="IOU",+U373,0)</f>
        <v>0</v>
      </c>
      <c r="V33" s="38">
        <f>IF($C$10="IOU",+V373,0)</f>
        <v>0</v>
      </c>
      <c r="W33" s="38">
        <f>IF($C$10="IOU",+W373,0)</f>
        <v>0</v>
      </c>
      <c r="X33" s="38">
        <f>IF($C$10="IOU",+X373,0)</f>
        <v>0</v>
      </c>
      <c r="Y33" s="38">
        <f>IF($C$10="IOU",+Y373,0)</f>
        <v>0</v>
      </c>
      <c r="Z33" s="38">
        <f>IF($C$10="IOU",+Z373,0)</f>
        <v>0</v>
      </c>
      <c r="AA33" s="29"/>
      <c r="AB33" s="29"/>
    </row>
    <row r="34" spans="1:28" ht="15" x14ac:dyDescent="0.25">
      <c r="C34" s="30">
        <f>IF(D34=0,C33,IF(ISBLANK(G34),C33,1+MAX(C$18:C33)))</f>
        <v>13</v>
      </c>
      <c r="D34" s="21">
        <v>1</v>
      </c>
      <c r="F34" s="31">
        <f t="shared" si="2"/>
        <v>13</v>
      </c>
      <c r="G34" s="56" t="s">
        <v>41</v>
      </c>
      <c r="H34" s="57">
        <f t="shared" ref="H34:Z34" si="15">SUM(H28:H33)</f>
        <v>0</v>
      </c>
      <c r="I34" s="57">
        <f t="shared" si="15"/>
        <v>0</v>
      </c>
      <c r="J34" s="57">
        <f t="shared" si="15"/>
        <v>0</v>
      </c>
      <c r="K34" s="57">
        <f t="shared" si="15"/>
        <v>1929960</v>
      </c>
      <c r="L34" s="57">
        <f t="shared" si="15"/>
        <v>1968559.2</v>
      </c>
      <c r="M34" s="57">
        <f t="shared" si="15"/>
        <v>2007930.3840000001</v>
      </c>
      <c r="N34" s="57">
        <f t="shared" si="15"/>
        <v>1898153.4602592003</v>
      </c>
      <c r="O34" s="57">
        <f t="shared" si="15"/>
        <v>1936116.5294643841</v>
      </c>
      <c r="P34" s="57">
        <f t="shared" si="15"/>
        <v>1974838.8600536715</v>
      </c>
      <c r="Q34" s="57">
        <f t="shared" si="15"/>
        <v>2014335.6372547452</v>
      </c>
      <c r="R34" s="57">
        <f t="shared" si="15"/>
        <v>2054622.3499998404</v>
      </c>
      <c r="S34" s="57">
        <f t="shared" si="15"/>
        <v>2095714.7969998368</v>
      </c>
      <c r="T34" s="57">
        <f t="shared" si="15"/>
        <v>2137629.0929398341</v>
      </c>
      <c r="U34" s="57">
        <f t="shared" si="15"/>
        <v>2180381.6747986302</v>
      </c>
      <c r="V34" s="57">
        <f t="shared" si="15"/>
        <v>2223989.3082946031</v>
      </c>
      <c r="W34" s="57">
        <f t="shared" si="15"/>
        <v>2268469.0944604953</v>
      </c>
      <c r="X34" s="57">
        <f t="shared" si="15"/>
        <v>2313838.4763497054</v>
      </c>
      <c r="Y34" s="57">
        <f t="shared" si="15"/>
        <v>2360115.2458766992</v>
      </c>
      <c r="Z34" s="57">
        <f t="shared" si="15"/>
        <v>2407317.5507942331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14</v>
      </c>
      <c r="D35" s="21">
        <v>1</v>
      </c>
      <c r="F35" s="31">
        <f t="shared" si="2"/>
        <v>14</v>
      </c>
      <c r="G35" s="26" t="str">
        <f>+A35&amp;" ("&amp;B35&amp;")"</f>
        <v>Depreciation (2)</v>
      </c>
      <c r="H35" s="39">
        <f>+H314</f>
        <v>0</v>
      </c>
      <c r="I35" s="39">
        <f t="shared" ref="I35:J35" si="16">+I314</f>
        <v>0</v>
      </c>
      <c r="J35" s="39">
        <f t="shared" si="16"/>
        <v>0</v>
      </c>
      <c r="K35" s="39">
        <f>+K459</f>
        <v>131221</v>
      </c>
      <c r="L35" s="39">
        <f>+L312</f>
        <v>131221</v>
      </c>
      <c r="M35" s="39">
        <f>+M312</f>
        <v>172818.0649</v>
      </c>
      <c r="N35" s="39">
        <f>+N312</f>
        <v>173788.86859999999</v>
      </c>
      <c r="O35" s="39">
        <f t="shared" ref="O35:Z35" si="17">+O312</f>
        <v>176152.9314</v>
      </c>
      <c r="P35" s="39">
        <f t="shared" si="17"/>
        <v>178537.88069999998</v>
      </c>
      <c r="Q35" s="39">
        <f t="shared" si="17"/>
        <v>180955.04139999999</v>
      </c>
      <c r="R35" s="39">
        <f t="shared" si="17"/>
        <v>183405.6839</v>
      </c>
      <c r="S35" s="39">
        <f t="shared" si="17"/>
        <v>185888.23069999999</v>
      </c>
      <c r="T35" s="39">
        <f t="shared" si="17"/>
        <v>188405.13809999998</v>
      </c>
      <c r="U35" s="39">
        <f t="shared" si="17"/>
        <v>190954.67359999998</v>
      </c>
      <c r="V35" s="39">
        <f t="shared" si="17"/>
        <v>193535.02359999999</v>
      </c>
      <c r="W35" s="39">
        <f t="shared" si="17"/>
        <v>196150.98479999998</v>
      </c>
      <c r="X35" s="39">
        <f t="shared" si="17"/>
        <v>198802.01349999997</v>
      </c>
      <c r="Y35" s="39">
        <f t="shared" si="17"/>
        <v>201488.56599999999</v>
      </c>
      <c r="Z35" s="39">
        <f t="shared" si="17"/>
        <v>204211.14929999999</v>
      </c>
      <c r="AA35" s="29"/>
      <c r="AB35" s="29"/>
    </row>
    <row r="36" spans="1:28" ht="15.75" thickBot="1" x14ac:dyDescent="0.3">
      <c r="C36" s="30">
        <f>IF(D36=0,C35,IF(ISBLANK(G36),C35,1+MAX(C$18:C35)))</f>
        <v>15</v>
      </c>
      <c r="D36" s="21">
        <v>1</v>
      </c>
      <c r="F36" s="31">
        <f t="shared" si="2"/>
        <v>15</v>
      </c>
      <c r="G36" s="56" t="s">
        <v>43</v>
      </c>
      <c r="H36" s="41">
        <f t="shared" ref="H36:Z36" si="18">+H35+H34</f>
        <v>0</v>
      </c>
      <c r="I36" s="41">
        <f t="shared" si="18"/>
        <v>0</v>
      </c>
      <c r="J36" s="41">
        <f t="shared" si="18"/>
        <v>0</v>
      </c>
      <c r="K36" s="41">
        <f t="shared" si="18"/>
        <v>2061181</v>
      </c>
      <c r="L36" s="41">
        <f t="shared" si="18"/>
        <v>2099780.2000000002</v>
      </c>
      <c r="M36" s="41">
        <f t="shared" si="18"/>
        <v>2180748.4489000002</v>
      </c>
      <c r="N36" s="41">
        <f t="shared" si="18"/>
        <v>2071942.3288592002</v>
      </c>
      <c r="O36" s="41">
        <f t="shared" si="18"/>
        <v>2112269.4608643842</v>
      </c>
      <c r="P36" s="41">
        <f t="shared" si="18"/>
        <v>2153376.7407536716</v>
      </c>
      <c r="Q36" s="41">
        <f t="shared" si="18"/>
        <v>2195290.6786547452</v>
      </c>
      <c r="R36" s="41">
        <f t="shared" si="18"/>
        <v>2238028.0338998404</v>
      </c>
      <c r="S36" s="41">
        <f t="shared" si="18"/>
        <v>2281603.027699837</v>
      </c>
      <c r="T36" s="41">
        <f t="shared" si="18"/>
        <v>2326034.2310398342</v>
      </c>
      <c r="U36" s="41">
        <f t="shared" si="18"/>
        <v>2371336.34839863</v>
      </c>
      <c r="V36" s="41">
        <f t="shared" si="18"/>
        <v>2417524.3318946031</v>
      </c>
      <c r="W36" s="41">
        <f t="shared" si="18"/>
        <v>2464620.0792604955</v>
      </c>
      <c r="X36" s="41">
        <f t="shared" si="18"/>
        <v>2512640.4898497052</v>
      </c>
      <c r="Y36" s="41">
        <f t="shared" si="18"/>
        <v>2561603.8118766993</v>
      </c>
      <c r="Z36" s="41">
        <f t="shared" si="18"/>
        <v>2611528.7000942333</v>
      </c>
      <c r="AA36" s="29"/>
      <c r="AB36" s="29"/>
    </row>
    <row r="37" spans="1:28" ht="15.75" thickTop="1" x14ac:dyDescent="0.25">
      <c r="C37" s="30">
        <f>IF(D37=0,C36,IF(ISBLANK(G37),C36,1+MAX(C$18:C36)))</f>
        <v>15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16</v>
      </c>
      <c r="D38" s="21">
        <v>1</v>
      </c>
      <c r="F38" s="31">
        <f t="shared" si="2"/>
        <v>16</v>
      </c>
      <c r="G38" s="40" t="s">
        <v>44</v>
      </c>
      <c r="H38" s="41">
        <f t="shared" ref="H38:Z38" si="19">+H24-H36</f>
        <v>0</v>
      </c>
      <c r="I38" s="41">
        <f t="shared" si="19"/>
        <v>0</v>
      </c>
      <c r="J38" s="41">
        <f t="shared" si="19"/>
        <v>0</v>
      </c>
      <c r="K38" s="41">
        <f t="shared" si="19"/>
        <v>-173941</v>
      </c>
      <c r="L38" s="41">
        <f t="shared" si="19"/>
        <v>-153096.95250000013</v>
      </c>
      <c r="M38" s="41">
        <f t="shared" si="19"/>
        <v>-55735.458900000434</v>
      </c>
      <c r="N38" s="41">
        <f t="shared" si="19"/>
        <v>116499.67114079976</v>
      </c>
      <c r="O38" s="41">
        <f t="shared" si="19"/>
        <v>139731.53913561581</v>
      </c>
      <c r="P38" s="41">
        <f t="shared" si="19"/>
        <v>340776.25924632838</v>
      </c>
      <c r="Q38" s="41">
        <f t="shared" si="19"/>
        <v>310667.32134525478</v>
      </c>
      <c r="R38" s="41">
        <f t="shared" si="19"/>
        <v>279966.96610015957</v>
      </c>
      <c r="S38" s="41">
        <f t="shared" si="19"/>
        <v>340157.972300163</v>
      </c>
      <c r="T38" s="41">
        <f t="shared" si="19"/>
        <v>308543.76896016579</v>
      </c>
      <c r="U38" s="41">
        <f t="shared" si="19"/>
        <v>276123.65160136996</v>
      </c>
      <c r="V38" s="41">
        <f t="shared" si="19"/>
        <v>339162.66810539691</v>
      </c>
      <c r="W38" s="41">
        <f t="shared" si="19"/>
        <v>305559.92073950451</v>
      </c>
      <c r="X38" s="41">
        <f t="shared" si="19"/>
        <v>271098.51015029475</v>
      </c>
      <c r="Y38" s="41">
        <f t="shared" si="19"/>
        <v>337112.18812330067</v>
      </c>
      <c r="Z38" s="41">
        <f t="shared" si="19"/>
        <v>301389.29990576673</v>
      </c>
      <c r="AA38" s="29"/>
      <c r="AB38" s="29"/>
    </row>
    <row r="39" spans="1:28" ht="15.75" thickTop="1" x14ac:dyDescent="0.25">
      <c r="C39" s="30">
        <f>IF(D39=0,C38,IF(ISBLANK(G39),C38,1+MAX(C$18:C38)))</f>
        <v>16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59"/>
      <c r="U39" s="59"/>
      <c r="V39" s="59"/>
      <c r="W39" s="59"/>
      <c r="X39" s="59"/>
      <c r="Y39" s="59"/>
      <c r="Z39" s="59"/>
      <c r="AA39" s="5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17</v>
      </c>
      <c r="D40" s="21">
        <v>1</v>
      </c>
      <c r="F40" s="31">
        <f t="shared" si="2"/>
        <v>17</v>
      </c>
      <c r="G40" s="26" t="str">
        <f t="shared" ref="G40:G42" si="20">+A40&amp;" ("&amp;B40&amp;")"</f>
        <v>Revenues (3)</v>
      </c>
      <c r="H40" s="38">
        <f t="shared" ref="H40:Z40" si="21">+H24</f>
        <v>0</v>
      </c>
      <c r="I40" s="38">
        <f t="shared" si="21"/>
        <v>0</v>
      </c>
      <c r="J40" s="38">
        <f t="shared" si="21"/>
        <v>0</v>
      </c>
      <c r="K40" s="38">
        <f t="shared" si="21"/>
        <v>1887240</v>
      </c>
      <c r="L40" s="38">
        <f t="shared" si="21"/>
        <v>1946683.2475000001</v>
      </c>
      <c r="M40" s="38">
        <f t="shared" si="21"/>
        <v>2125012.9899999998</v>
      </c>
      <c r="N40" s="38">
        <f t="shared" si="21"/>
        <v>2188442</v>
      </c>
      <c r="O40" s="38">
        <f t="shared" si="21"/>
        <v>2252001</v>
      </c>
      <c r="P40" s="38">
        <f t="shared" si="21"/>
        <v>2494153</v>
      </c>
      <c r="Q40" s="38">
        <f t="shared" si="21"/>
        <v>2505958</v>
      </c>
      <c r="R40" s="38">
        <f t="shared" si="21"/>
        <v>2517995</v>
      </c>
      <c r="S40" s="38">
        <f t="shared" si="21"/>
        <v>2621761</v>
      </c>
      <c r="T40" s="38">
        <f t="shared" si="21"/>
        <v>2634578</v>
      </c>
      <c r="U40" s="38">
        <f t="shared" si="21"/>
        <v>2647460</v>
      </c>
      <c r="V40" s="38">
        <f t="shared" si="21"/>
        <v>2756687</v>
      </c>
      <c r="W40" s="38">
        <f t="shared" si="21"/>
        <v>2770180</v>
      </c>
      <c r="X40" s="38">
        <f t="shared" si="21"/>
        <v>2783739</v>
      </c>
      <c r="Y40" s="38">
        <f t="shared" si="21"/>
        <v>2898716</v>
      </c>
      <c r="Z40" s="38">
        <f t="shared" si="21"/>
        <v>2912918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18</v>
      </c>
      <c r="D41" s="21">
        <v>1</v>
      </c>
      <c r="F41" s="31">
        <f t="shared" si="2"/>
        <v>18</v>
      </c>
      <c r="G41" s="26" t="str">
        <f t="shared" si="20"/>
        <v>EBITDA (4)</v>
      </c>
      <c r="H41" s="38">
        <f t="shared" ref="H41:Z41" si="22">+H38+H35</f>
        <v>0</v>
      </c>
      <c r="I41" s="38">
        <f t="shared" si="22"/>
        <v>0</v>
      </c>
      <c r="J41" s="38">
        <f t="shared" si="22"/>
        <v>0</v>
      </c>
      <c r="K41" s="38">
        <f t="shared" si="22"/>
        <v>-42720</v>
      </c>
      <c r="L41" s="38">
        <f t="shared" si="22"/>
        <v>-21875.95250000013</v>
      </c>
      <c r="M41" s="38">
        <f t="shared" si="22"/>
        <v>117082.60599999956</v>
      </c>
      <c r="N41" s="38">
        <f t="shared" si="22"/>
        <v>290288.53974079975</v>
      </c>
      <c r="O41" s="38">
        <f t="shared" si="22"/>
        <v>315884.47053561581</v>
      </c>
      <c r="P41" s="38">
        <f t="shared" si="22"/>
        <v>519314.13994632836</v>
      </c>
      <c r="Q41" s="38">
        <f t="shared" si="22"/>
        <v>491622.36274525477</v>
      </c>
      <c r="R41" s="38">
        <f t="shared" si="22"/>
        <v>463372.65000015957</v>
      </c>
      <c r="S41" s="38">
        <f t="shared" si="22"/>
        <v>526046.20300016296</v>
      </c>
      <c r="T41" s="38">
        <f t="shared" si="22"/>
        <v>496948.90706016577</v>
      </c>
      <c r="U41" s="38">
        <f t="shared" si="22"/>
        <v>467078.32520136994</v>
      </c>
      <c r="V41" s="38">
        <f t="shared" si="22"/>
        <v>532697.69170539686</v>
      </c>
      <c r="W41" s="38">
        <f t="shared" si="22"/>
        <v>501710.90553950449</v>
      </c>
      <c r="X41" s="38">
        <f t="shared" si="22"/>
        <v>469900.52365029475</v>
      </c>
      <c r="Y41" s="38">
        <f t="shared" si="22"/>
        <v>538600.75412330066</v>
      </c>
      <c r="Z41" s="38">
        <f t="shared" si="22"/>
        <v>505600.44920576672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19</v>
      </c>
      <c r="D42" s="21">
        <v>1</v>
      </c>
      <c r="F42" s="31">
        <f t="shared" si="2"/>
        <v>19</v>
      </c>
      <c r="G42" s="26" t="str">
        <f t="shared" si="20"/>
        <v>EBIT (5)</v>
      </c>
      <c r="H42" s="38">
        <f t="shared" ref="H42:Z42" si="23">+H38</f>
        <v>0</v>
      </c>
      <c r="I42" s="38">
        <f t="shared" si="23"/>
        <v>0</v>
      </c>
      <c r="J42" s="38">
        <f t="shared" si="23"/>
        <v>0</v>
      </c>
      <c r="K42" s="38">
        <f t="shared" si="23"/>
        <v>-173941</v>
      </c>
      <c r="L42" s="38">
        <f t="shared" si="23"/>
        <v>-153096.95250000013</v>
      </c>
      <c r="M42" s="38">
        <f t="shared" si="23"/>
        <v>-55735.458900000434</v>
      </c>
      <c r="N42" s="38">
        <f t="shared" si="23"/>
        <v>116499.67114079976</v>
      </c>
      <c r="O42" s="38">
        <f t="shared" si="23"/>
        <v>139731.53913561581</v>
      </c>
      <c r="P42" s="38">
        <f t="shared" si="23"/>
        <v>340776.25924632838</v>
      </c>
      <c r="Q42" s="38">
        <f t="shared" si="23"/>
        <v>310667.32134525478</v>
      </c>
      <c r="R42" s="38">
        <f t="shared" si="23"/>
        <v>279966.96610015957</v>
      </c>
      <c r="S42" s="38">
        <f t="shared" si="23"/>
        <v>340157.972300163</v>
      </c>
      <c r="T42" s="38">
        <f t="shared" si="23"/>
        <v>308543.76896016579</v>
      </c>
      <c r="U42" s="38">
        <f t="shared" si="23"/>
        <v>276123.65160136996</v>
      </c>
      <c r="V42" s="38">
        <f t="shared" si="23"/>
        <v>339162.66810539691</v>
      </c>
      <c r="W42" s="38">
        <f t="shared" si="23"/>
        <v>305559.92073950451</v>
      </c>
      <c r="X42" s="38">
        <f t="shared" si="23"/>
        <v>271098.51015029475</v>
      </c>
      <c r="Y42" s="38">
        <f t="shared" si="23"/>
        <v>337112.18812330067</v>
      </c>
      <c r="Z42" s="38">
        <f t="shared" si="23"/>
        <v>301389.29990576673</v>
      </c>
      <c r="AA42" s="29"/>
      <c r="AB42" s="29"/>
    </row>
    <row r="43" spans="1:28" ht="15" x14ac:dyDescent="0.25">
      <c r="C43" s="30">
        <f>IF(D43=0,C42,IF(ISBLANK(G43),C42,1+MAX(C$18:C42)))</f>
        <v>19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20</v>
      </c>
      <c r="D44" s="21">
        <v>1</v>
      </c>
      <c r="F44" s="31">
        <f t="shared" si="2"/>
        <v>20</v>
      </c>
      <c r="G44" s="60" t="s">
        <v>3</v>
      </c>
      <c r="H44" s="61">
        <f t="shared" ref="H44:Z44" si="24">+H42</f>
        <v>0</v>
      </c>
      <c r="I44" s="61">
        <f t="shared" si="24"/>
        <v>0</v>
      </c>
      <c r="J44" s="61">
        <f t="shared" si="24"/>
        <v>0</v>
      </c>
      <c r="K44" s="61">
        <f t="shared" si="24"/>
        <v>-173941</v>
      </c>
      <c r="L44" s="61">
        <f t="shared" si="24"/>
        <v>-153096.95250000013</v>
      </c>
      <c r="M44" s="61">
        <f t="shared" si="24"/>
        <v>-55735.458900000434</v>
      </c>
      <c r="N44" s="61">
        <f t="shared" si="24"/>
        <v>116499.67114079976</v>
      </c>
      <c r="O44" s="61">
        <f t="shared" si="24"/>
        <v>139731.53913561581</v>
      </c>
      <c r="P44" s="61">
        <f t="shared" si="24"/>
        <v>340776.25924632838</v>
      </c>
      <c r="Q44" s="61">
        <f t="shared" si="24"/>
        <v>310667.32134525478</v>
      </c>
      <c r="R44" s="61">
        <f t="shared" si="24"/>
        <v>279966.96610015957</v>
      </c>
      <c r="S44" s="61">
        <f t="shared" si="24"/>
        <v>340157.972300163</v>
      </c>
      <c r="T44" s="61">
        <f t="shared" si="24"/>
        <v>308543.76896016579</v>
      </c>
      <c r="U44" s="61">
        <f t="shared" si="24"/>
        <v>276123.65160136996</v>
      </c>
      <c r="V44" s="61">
        <f t="shared" si="24"/>
        <v>339162.66810539691</v>
      </c>
      <c r="W44" s="61">
        <f t="shared" si="24"/>
        <v>305559.92073950451</v>
      </c>
      <c r="X44" s="61">
        <f t="shared" si="24"/>
        <v>271098.51015029475</v>
      </c>
      <c r="Y44" s="61">
        <f t="shared" si="24"/>
        <v>337112.18812330067</v>
      </c>
      <c r="Z44" s="61">
        <f t="shared" si="24"/>
        <v>301389.29990576673</v>
      </c>
      <c r="AA44" s="29"/>
    </row>
    <row r="45" spans="1:28" ht="15" x14ac:dyDescent="0.25">
      <c r="C45" s="30">
        <f>IF(D45=0,C44,IF(ISBLANK(G45),C44,1+MAX(C$18:C44)))</f>
        <v>21</v>
      </c>
      <c r="D45" s="21">
        <v>1</v>
      </c>
      <c r="F45" s="31">
        <f t="shared" si="2"/>
        <v>21</v>
      </c>
      <c r="G45" s="61" t="s">
        <v>46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f t="shared" ref="N45:Z45" si="25">IF($C$10="IOU",ROUND(+N44*$AB45,0),0)</f>
        <v>0</v>
      </c>
      <c r="O45" s="62">
        <f t="shared" si="25"/>
        <v>0</v>
      </c>
      <c r="P45" s="62">
        <f t="shared" si="25"/>
        <v>0</v>
      </c>
      <c r="Q45" s="62">
        <f t="shared" si="25"/>
        <v>0</v>
      </c>
      <c r="R45" s="62">
        <f t="shared" si="25"/>
        <v>0</v>
      </c>
      <c r="S45" s="62">
        <f t="shared" si="25"/>
        <v>0</v>
      </c>
      <c r="T45" s="62">
        <f t="shared" si="25"/>
        <v>0</v>
      </c>
      <c r="U45" s="62">
        <f t="shared" si="25"/>
        <v>0</v>
      </c>
      <c r="V45" s="62">
        <f t="shared" si="25"/>
        <v>0</v>
      </c>
      <c r="W45" s="62">
        <f t="shared" si="25"/>
        <v>0</v>
      </c>
      <c r="X45" s="62">
        <f t="shared" si="25"/>
        <v>0</v>
      </c>
      <c r="Y45" s="62">
        <f t="shared" si="25"/>
        <v>0</v>
      </c>
      <c r="Z45" s="62">
        <f t="shared" si="25"/>
        <v>0</v>
      </c>
      <c r="AA45" s="29"/>
      <c r="AB45" s="63">
        <v>0.28889999999999999</v>
      </c>
    </row>
    <row r="46" spans="1:28" ht="15" x14ac:dyDescent="0.25">
      <c r="C46" s="30">
        <f>IF(D46=0,C45,IF(ISBLANK(G46),C45,1+MAX(C$18:C45)))</f>
        <v>21</v>
      </c>
      <c r="D46" s="21">
        <v>1</v>
      </c>
      <c r="F46" s="31" t="str">
        <f t="shared" si="2"/>
        <v/>
      </c>
      <c r="G46" s="61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29"/>
      <c r="AB46" s="29"/>
    </row>
    <row r="47" spans="1:28" ht="15" x14ac:dyDescent="0.25">
      <c r="C47" s="30">
        <f>IF(D47=0,C46,IF(ISBLANK(G47),C46,1+MAX(C$18:C46)))</f>
        <v>22</v>
      </c>
      <c r="D47" s="21">
        <v>1</v>
      </c>
      <c r="F47" s="31">
        <f t="shared" si="2"/>
        <v>22</v>
      </c>
      <c r="G47" s="65" t="s">
        <v>47</v>
      </c>
      <c r="H47" s="61">
        <f t="shared" ref="H47:Z47" si="26">+H44-H45</f>
        <v>0</v>
      </c>
      <c r="I47" s="61">
        <f t="shared" si="26"/>
        <v>0</v>
      </c>
      <c r="J47" s="61">
        <f t="shared" si="26"/>
        <v>0</v>
      </c>
      <c r="K47" s="61">
        <f t="shared" si="26"/>
        <v>-173941</v>
      </c>
      <c r="L47" s="61">
        <f t="shared" si="26"/>
        <v>-153096.95250000013</v>
      </c>
      <c r="M47" s="61">
        <f t="shared" si="26"/>
        <v>-55735.458900000434</v>
      </c>
      <c r="N47" s="61">
        <f t="shared" si="26"/>
        <v>116499.67114079976</v>
      </c>
      <c r="O47" s="61">
        <f t="shared" si="26"/>
        <v>139731.53913561581</v>
      </c>
      <c r="P47" s="61">
        <f t="shared" si="26"/>
        <v>340776.25924632838</v>
      </c>
      <c r="Q47" s="61">
        <f t="shared" si="26"/>
        <v>310667.32134525478</v>
      </c>
      <c r="R47" s="61">
        <f t="shared" si="26"/>
        <v>279966.96610015957</v>
      </c>
      <c r="S47" s="61">
        <f t="shared" si="26"/>
        <v>340157.972300163</v>
      </c>
      <c r="T47" s="61">
        <f t="shared" si="26"/>
        <v>308543.76896016579</v>
      </c>
      <c r="U47" s="61">
        <f t="shared" si="26"/>
        <v>276123.65160136996</v>
      </c>
      <c r="V47" s="61">
        <f t="shared" si="26"/>
        <v>339162.66810539691</v>
      </c>
      <c r="W47" s="61">
        <f t="shared" si="26"/>
        <v>305559.92073950451</v>
      </c>
      <c r="X47" s="61">
        <f t="shared" si="26"/>
        <v>271098.51015029475</v>
      </c>
      <c r="Y47" s="61">
        <f t="shared" si="26"/>
        <v>337112.18812330067</v>
      </c>
      <c r="Z47" s="61">
        <f t="shared" si="26"/>
        <v>301389.29990576673</v>
      </c>
      <c r="AA47" s="29"/>
      <c r="AB47" s="29"/>
    </row>
    <row r="48" spans="1:28" ht="15" x14ac:dyDescent="0.25">
      <c r="C48" s="30">
        <f>IF(D48=0,C47,IF(ISBLANK(G48),C47,1+MAX(C$18:C47)))</f>
        <v>23</v>
      </c>
      <c r="D48" s="21">
        <v>1</v>
      </c>
      <c r="F48" s="31">
        <f t="shared" si="2"/>
        <v>23</v>
      </c>
      <c r="G48" s="61" t="s">
        <v>48</v>
      </c>
      <c r="H48" s="61">
        <f t="shared" ref="H48:Z48" si="27">+H35</f>
        <v>0</v>
      </c>
      <c r="I48" s="61">
        <f t="shared" si="27"/>
        <v>0</v>
      </c>
      <c r="J48" s="61">
        <f t="shared" si="27"/>
        <v>0</v>
      </c>
      <c r="K48" s="61">
        <f t="shared" si="27"/>
        <v>131221</v>
      </c>
      <c r="L48" s="61">
        <f t="shared" si="27"/>
        <v>131221</v>
      </c>
      <c r="M48" s="61">
        <f t="shared" si="27"/>
        <v>172818.0649</v>
      </c>
      <c r="N48" s="61">
        <f t="shared" si="27"/>
        <v>173788.86859999999</v>
      </c>
      <c r="O48" s="61">
        <f t="shared" si="27"/>
        <v>176152.9314</v>
      </c>
      <c r="P48" s="61">
        <f t="shared" si="27"/>
        <v>178537.88069999998</v>
      </c>
      <c r="Q48" s="61">
        <f t="shared" si="27"/>
        <v>180955.04139999999</v>
      </c>
      <c r="R48" s="61">
        <f t="shared" si="27"/>
        <v>183405.6839</v>
      </c>
      <c r="S48" s="61">
        <f t="shared" si="27"/>
        <v>185888.23069999999</v>
      </c>
      <c r="T48" s="61">
        <f t="shared" si="27"/>
        <v>188405.13809999998</v>
      </c>
      <c r="U48" s="61">
        <f t="shared" si="27"/>
        <v>190954.67359999998</v>
      </c>
      <c r="V48" s="61">
        <f t="shared" si="27"/>
        <v>193535.02359999999</v>
      </c>
      <c r="W48" s="61">
        <f t="shared" si="27"/>
        <v>196150.98479999998</v>
      </c>
      <c r="X48" s="61">
        <f t="shared" si="27"/>
        <v>198802.01349999997</v>
      </c>
      <c r="Y48" s="61">
        <f t="shared" si="27"/>
        <v>201488.56599999999</v>
      </c>
      <c r="Z48" s="61">
        <f t="shared" si="27"/>
        <v>204211.14929999999</v>
      </c>
      <c r="AA48" s="29"/>
      <c r="AB48" s="29"/>
    </row>
    <row r="49" spans="1:34" ht="15" x14ac:dyDescent="0.25">
      <c r="A49" s="61" t="s">
        <v>49</v>
      </c>
      <c r="B49" s="14">
        <f>MAX(B$20:B48)+1</f>
        <v>6</v>
      </c>
      <c r="C49" s="30">
        <f>IF(D49=0,C48,IF(ISBLANK(G49),C48,1+MAX(C$18:C48)))</f>
        <v>24</v>
      </c>
      <c r="D49" s="21">
        <v>1</v>
      </c>
      <c r="F49" s="31">
        <f t="shared" si="2"/>
        <v>24</v>
      </c>
      <c r="G49" s="26" t="str">
        <f t="shared" ref="G49:G50" si="28">+A49&amp;" ("&amp;B49&amp;")"</f>
        <v>(-)  Capital Expenditures (6)</v>
      </c>
      <c r="H49" s="61">
        <f>+H444</f>
        <v>0</v>
      </c>
      <c r="I49" s="61">
        <f t="shared" ref="I49:K49" si="29">+I444</f>
        <v>0</v>
      </c>
      <c r="J49" s="61">
        <f t="shared" si="29"/>
        <v>0</v>
      </c>
      <c r="K49" s="61">
        <f t="shared" si="29"/>
        <v>135908</v>
      </c>
      <c r="L49" s="61">
        <f>+L304</f>
        <v>0</v>
      </c>
      <c r="M49" s="61">
        <f t="shared" ref="M49:Z49" si="30">+M304</f>
        <v>0</v>
      </c>
      <c r="N49" s="61">
        <f t="shared" si="30"/>
        <v>164177</v>
      </c>
      <c r="O49" s="61">
        <f t="shared" si="30"/>
        <v>165099</v>
      </c>
      <c r="P49" s="61">
        <f t="shared" si="30"/>
        <v>167345</v>
      </c>
      <c r="Q49" s="61">
        <f t="shared" si="30"/>
        <v>169611</v>
      </c>
      <c r="R49" s="61">
        <f t="shared" si="30"/>
        <v>171907</v>
      </c>
      <c r="S49" s="61">
        <f t="shared" si="30"/>
        <v>174235</v>
      </c>
      <c r="T49" s="61">
        <f t="shared" si="30"/>
        <v>176594</v>
      </c>
      <c r="U49" s="61">
        <f t="shared" si="30"/>
        <v>178661</v>
      </c>
      <c r="V49" s="61">
        <f t="shared" si="30"/>
        <v>181076</v>
      </c>
      <c r="W49" s="61">
        <f t="shared" si="30"/>
        <v>183523</v>
      </c>
      <c r="X49" s="61">
        <f t="shared" si="30"/>
        <v>186003</v>
      </c>
      <c r="Y49" s="61">
        <f t="shared" si="30"/>
        <v>188517</v>
      </c>
      <c r="Z49" s="61">
        <f t="shared" si="30"/>
        <v>191065</v>
      </c>
      <c r="AA49" s="29"/>
      <c r="AB49" s="29"/>
      <c r="AC49" s="29"/>
      <c r="AE49" s="29"/>
    </row>
    <row r="50" spans="1:34" ht="15" x14ac:dyDescent="0.25">
      <c r="A50" s="61" t="s">
        <v>50</v>
      </c>
      <c r="B50" s="14">
        <f>MAX(B$20:B49)+1</f>
        <v>7</v>
      </c>
      <c r="C50" s="30">
        <f>IF(D50=0,C49,IF(ISBLANK(G50),C49,1+MAX(C$18:C49)))</f>
        <v>25</v>
      </c>
      <c r="D50" s="21">
        <v>1</v>
      </c>
      <c r="F50" s="31">
        <f t="shared" si="2"/>
        <v>25</v>
      </c>
      <c r="G50" s="26" t="str">
        <f t="shared" si="28"/>
        <v>(-)  Changes in Working Capital (7)</v>
      </c>
      <c r="H50" s="62">
        <f t="shared" ref="H50:J50" si="31">0.0024*H40</f>
        <v>0</v>
      </c>
      <c r="I50" s="62">
        <f t="shared" si="31"/>
        <v>0</v>
      </c>
      <c r="J50" s="62">
        <f t="shared" si="31"/>
        <v>0</v>
      </c>
      <c r="K50" s="62">
        <f>-0.0119*K40</f>
        <v>-22458.156000000003</v>
      </c>
      <c r="L50" s="62">
        <f t="shared" ref="L50:Z50" si="32">-0.0119*L40</f>
        <v>-23165.530645250001</v>
      </c>
      <c r="M50" s="62">
        <f t="shared" si="32"/>
        <v>-25287.654580999999</v>
      </c>
      <c r="N50" s="62">
        <f t="shared" si="32"/>
        <v>-26042.459800000001</v>
      </c>
      <c r="O50" s="62">
        <f t="shared" si="32"/>
        <v>-26798.811900000001</v>
      </c>
      <c r="P50" s="62">
        <f t="shared" si="32"/>
        <v>-29680.420700000002</v>
      </c>
      <c r="Q50" s="62">
        <f t="shared" si="32"/>
        <v>-29820.900200000004</v>
      </c>
      <c r="R50" s="62">
        <f t="shared" si="32"/>
        <v>-29964.140500000001</v>
      </c>
      <c r="S50" s="62">
        <f t="shared" si="32"/>
        <v>-31198.955900000001</v>
      </c>
      <c r="T50" s="62">
        <f t="shared" si="32"/>
        <v>-31351.478200000001</v>
      </c>
      <c r="U50" s="62">
        <f t="shared" si="32"/>
        <v>-31504.774000000001</v>
      </c>
      <c r="V50" s="62">
        <f t="shared" si="32"/>
        <v>-32804.575300000004</v>
      </c>
      <c r="W50" s="62">
        <f t="shared" si="32"/>
        <v>-32965.142</v>
      </c>
      <c r="X50" s="62">
        <f t="shared" si="32"/>
        <v>-33126.494100000004</v>
      </c>
      <c r="Y50" s="62">
        <f t="shared" si="32"/>
        <v>-34494.720400000006</v>
      </c>
      <c r="Z50" s="62">
        <f t="shared" si="32"/>
        <v>-34663.724200000004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25</v>
      </c>
      <c r="D51" s="21">
        <v>1</v>
      </c>
      <c r="F51" s="31" t="str">
        <f t="shared" si="2"/>
        <v/>
      </c>
      <c r="G51" s="61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1:34" ht="15.75" thickBot="1" x14ac:dyDescent="0.3">
      <c r="C52" s="30">
        <f>IF(D52=0,C51,IF(ISBLANK(G52),C51,1+MAX(C$18:C51)))</f>
        <v>26</v>
      </c>
      <c r="D52" s="21">
        <v>1</v>
      </c>
      <c r="F52" s="31">
        <f t="shared" si="2"/>
        <v>26</v>
      </c>
      <c r="G52" s="65" t="s">
        <v>51</v>
      </c>
      <c r="H52" s="66">
        <f>+H47+H48-H49-H50</f>
        <v>0</v>
      </c>
      <c r="I52" s="66">
        <f t="shared" ref="I52:Z52" si="33">+I47+I48-I49-I50</f>
        <v>0</v>
      </c>
      <c r="J52" s="66">
        <f t="shared" si="33"/>
        <v>0</v>
      </c>
      <c r="K52" s="66">
        <f t="shared" si="33"/>
        <v>-156169.84399999998</v>
      </c>
      <c r="L52" s="66">
        <f t="shared" si="33"/>
        <v>1289.5781452498704</v>
      </c>
      <c r="M52" s="66">
        <f t="shared" si="33"/>
        <v>142370.26058099957</v>
      </c>
      <c r="N52" s="66">
        <f t="shared" si="33"/>
        <v>152153.99954079976</v>
      </c>
      <c r="O52" s="66">
        <f t="shared" si="33"/>
        <v>177584.28243561581</v>
      </c>
      <c r="P52" s="66">
        <f t="shared" si="33"/>
        <v>381649.56064632838</v>
      </c>
      <c r="Q52" s="66">
        <f t="shared" si="33"/>
        <v>351832.2629452548</v>
      </c>
      <c r="R52" s="66">
        <f t="shared" si="33"/>
        <v>321429.79050015955</v>
      </c>
      <c r="S52" s="66">
        <f t="shared" si="33"/>
        <v>383010.15890016296</v>
      </c>
      <c r="T52" s="66">
        <f t="shared" si="33"/>
        <v>351706.38526016579</v>
      </c>
      <c r="U52" s="66">
        <f t="shared" si="33"/>
        <v>319922.09920136991</v>
      </c>
      <c r="V52" s="66">
        <f t="shared" si="33"/>
        <v>384426.26700539689</v>
      </c>
      <c r="W52" s="66">
        <f t="shared" si="33"/>
        <v>351153.04753950448</v>
      </c>
      <c r="X52" s="66">
        <f t="shared" si="33"/>
        <v>317024.01775029476</v>
      </c>
      <c r="Y52" s="66">
        <f t="shared" si="33"/>
        <v>384578.47452330065</v>
      </c>
      <c r="Z52" s="66">
        <f t="shared" si="33"/>
        <v>349199.17340576672</v>
      </c>
      <c r="AA52" s="39"/>
      <c r="AB52" s="39">
        <f>+Z52</f>
        <v>349199.17340576672</v>
      </c>
      <c r="AC52" s="39"/>
      <c r="AE52" s="67"/>
    </row>
    <row r="53" spans="1:34" ht="15.75" thickTop="1" x14ac:dyDescent="0.25">
      <c r="C53" s="30">
        <f>IF(D53=0,C52,IF(ISBLANK(G53),C52,1+MAX(C$18:C52)))</f>
        <v>27</v>
      </c>
      <c r="D53" s="21">
        <f>IF($C$10="SUBJECT",0,1)</f>
        <v>1</v>
      </c>
      <c r="F53" s="31">
        <f t="shared" si="2"/>
        <v>27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4">+M53+1</f>
        <v>0.5</v>
      </c>
      <c r="O53" s="72">
        <f t="shared" si="34"/>
        <v>1.5</v>
      </c>
      <c r="P53" s="72">
        <f t="shared" si="34"/>
        <v>2.5</v>
      </c>
      <c r="Q53" s="72">
        <f t="shared" si="34"/>
        <v>3.5</v>
      </c>
      <c r="R53" s="72">
        <f t="shared" si="34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5">+V53+1</f>
        <v>9.5</v>
      </c>
      <c r="X53" s="72">
        <f t="shared" si="35"/>
        <v>10.5</v>
      </c>
      <c r="Y53" s="72">
        <f t="shared" si="35"/>
        <v>11.5</v>
      </c>
      <c r="Z53" s="72">
        <f t="shared" si="35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27</v>
      </c>
      <c r="D54" s="21">
        <f t="shared" ref="D54:D68" si="36">IF($C$10="IOU",1,0)</f>
        <v>0</v>
      </c>
      <c r="F54" s="31">
        <f t="shared" si="2"/>
        <v>27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7">ROUND((1/((1+$AC54)^N53)),4)</f>
        <v>0.96619999999999995</v>
      </c>
      <c r="O54" s="73">
        <f t="shared" si="37"/>
        <v>0.90200000000000002</v>
      </c>
      <c r="P54" s="73">
        <f t="shared" si="37"/>
        <v>0.84199999999999997</v>
      </c>
      <c r="Q54" s="73">
        <f t="shared" si="37"/>
        <v>0.78610000000000002</v>
      </c>
      <c r="R54" s="73">
        <f t="shared" si="37"/>
        <v>0.73380000000000001</v>
      </c>
      <c r="S54" s="73">
        <f t="shared" si="37"/>
        <v>0.68500000000000005</v>
      </c>
      <c r="T54" s="73">
        <f t="shared" si="37"/>
        <v>0.63949999999999996</v>
      </c>
      <c r="U54" s="73">
        <f t="shared" si="37"/>
        <v>0.59699999999999998</v>
      </c>
      <c r="V54" s="73">
        <f t="shared" si="37"/>
        <v>0.55730000000000002</v>
      </c>
      <c r="W54" s="73">
        <f t="shared" si="37"/>
        <v>0.52029999999999998</v>
      </c>
      <c r="X54" s="73">
        <f t="shared" si="37"/>
        <v>0.48570000000000002</v>
      </c>
      <c r="Y54" s="73">
        <f t="shared" si="37"/>
        <v>0.45340000000000003</v>
      </c>
      <c r="Z54" s="73">
        <f t="shared" si="37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27</v>
      </c>
      <c r="D55" s="21">
        <f t="shared" si="36"/>
        <v>0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27</v>
      </c>
      <c r="D56" s="21">
        <f t="shared" si="36"/>
        <v>0</v>
      </c>
      <c r="F56" s="31">
        <f t="shared" si="2"/>
        <v>27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8">+N52*N54</f>
        <v>147011.19435632072</v>
      </c>
      <c r="O56" s="66">
        <f t="shared" si="38"/>
        <v>160181.02275692546</v>
      </c>
      <c r="P56" s="66">
        <f t="shared" si="38"/>
        <v>321348.93006420846</v>
      </c>
      <c r="Q56" s="66">
        <f t="shared" si="38"/>
        <v>276575.34190126479</v>
      </c>
      <c r="R56" s="66">
        <f t="shared" si="38"/>
        <v>235865.18026901709</v>
      </c>
      <c r="S56" s="66">
        <f>+S52*S54</f>
        <v>262361.95884661167</v>
      </c>
      <c r="T56" s="66">
        <f>+T52*T54</f>
        <v>224916.23337387599</v>
      </c>
      <c r="U56" s="66">
        <f>+U52*U54</f>
        <v>190993.49322321784</v>
      </c>
      <c r="V56" s="66">
        <f>+V52*V54</f>
        <v>214240.7586021077</v>
      </c>
      <c r="W56" s="66">
        <f t="shared" ref="W56:Z56" si="39">+W52*W54</f>
        <v>182704.93063480419</v>
      </c>
      <c r="X56" s="66">
        <f t="shared" si="39"/>
        <v>153978.56542131817</v>
      </c>
      <c r="Y56" s="66">
        <f t="shared" si="39"/>
        <v>174367.88034886454</v>
      </c>
      <c r="Z56" s="66">
        <f t="shared" si="39"/>
        <v>147816.01010266106</v>
      </c>
      <c r="AB56" s="61">
        <f>SUM(M56:Z56)</f>
        <v>2692361.4999011974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27</v>
      </c>
      <c r="D57" s="21">
        <f t="shared" si="36"/>
        <v>0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0">+N53</f>
        <v>0.5</v>
      </c>
      <c r="O57" s="79">
        <f t="shared" si="40"/>
        <v>1.5</v>
      </c>
      <c r="P57" s="79">
        <f t="shared" si="40"/>
        <v>2.5</v>
      </c>
      <c r="Q57" s="79">
        <f t="shared" si="40"/>
        <v>3.5</v>
      </c>
      <c r="R57" s="79">
        <f t="shared" si="40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1">+W53</f>
        <v>9.5</v>
      </c>
      <c r="X57" s="79">
        <f t="shared" si="41"/>
        <v>10.5</v>
      </c>
      <c r="Y57" s="79">
        <f t="shared" si="41"/>
        <v>11.5</v>
      </c>
      <c r="Z57" s="79">
        <f t="shared" si="41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27</v>
      </c>
      <c r="D58" s="21">
        <f t="shared" si="36"/>
        <v>0</v>
      </c>
      <c r="F58" s="31">
        <f t="shared" si="2"/>
        <v>27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2">ROUND((1/((1+$AC58)^N57)),4)</f>
        <v>0.96009999999999995</v>
      </c>
      <c r="O58" s="73">
        <f t="shared" si="42"/>
        <v>0.8851</v>
      </c>
      <c r="P58" s="73">
        <f t="shared" si="42"/>
        <v>0.81589999999999996</v>
      </c>
      <c r="Q58" s="73">
        <f t="shared" si="42"/>
        <v>0.75209999999999999</v>
      </c>
      <c r="R58" s="73">
        <f t="shared" si="42"/>
        <v>0.69330000000000003</v>
      </c>
      <c r="S58" s="73">
        <f t="shared" si="42"/>
        <v>0.6391</v>
      </c>
      <c r="T58" s="73">
        <f t="shared" si="42"/>
        <v>0.58919999999999995</v>
      </c>
      <c r="U58" s="73">
        <f t="shared" si="42"/>
        <v>0.54310000000000003</v>
      </c>
      <c r="V58" s="73">
        <f t="shared" si="42"/>
        <v>0.50060000000000004</v>
      </c>
      <c r="W58" s="73">
        <f t="shared" si="42"/>
        <v>0.46150000000000002</v>
      </c>
      <c r="X58" s="73">
        <f t="shared" si="42"/>
        <v>0.4254</v>
      </c>
      <c r="Y58" s="73">
        <f t="shared" si="42"/>
        <v>0.39219999999999999</v>
      </c>
      <c r="Z58" s="73">
        <f t="shared" si="42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27</v>
      </c>
      <c r="D59" s="21">
        <f t="shared" si="36"/>
        <v>0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27</v>
      </c>
      <c r="D60" s="21">
        <f t="shared" si="36"/>
        <v>0</v>
      </c>
      <c r="F60" s="31">
        <f t="shared" si="2"/>
        <v>27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3">+N52*N58</f>
        <v>146083.05495912186</v>
      </c>
      <c r="O60" s="66">
        <f t="shared" si="43"/>
        <v>157179.84838376354</v>
      </c>
      <c r="P60" s="66">
        <f t="shared" si="43"/>
        <v>311387.87653133931</v>
      </c>
      <c r="Q60" s="66">
        <f t="shared" si="43"/>
        <v>264613.04496112611</v>
      </c>
      <c r="R60" s="66">
        <f t="shared" si="43"/>
        <v>222847.27375376062</v>
      </c>
      <c r="S60" s="66">
        <f t="shared" si="43"/>
        <v>244781.79255309416</v>
      </c>
      <c r="T60" s="66">
        <f t="shared" si="43"/>
        <v>207225.40219528967</v>
      </c>
      <c r="U60" s="66">
        <f t="shared" si="43"/>
        <v>173749.69207626401</v>
      </c>
      <c r="V60" s="66">
        <f t="shared" si="43"/>
        <v>192443.7892629017</v>
      </c>
      <c r="W60" s="66">
        <f t="shared" si="43"/>
        <v>162057.13143948134</v>
      </c>
      <c r="X60" s="66">
        <f t="shared" si="43"/>
        <v>134862.01715097539</v>
      </c>
      <c r="Y60" s="66">
        <f t="shared" si="43"/>
        <v>150831.67770803851</v>
      </c>
      <c r="Z60" s="66">
        <f t="shared" si="43"/>
        <v>126235.50118618466</v>
      </c>
      <c r="AB60" s="61">
        <f>SUM(M60:Z60)</f>
        <v>2494298.1021613409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27</v>
      </c>
      <c r="D61" s="21">
        <f t="shared" si="36"/>
        <v>0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4">+N57</f>
        <v>0.5</v>
      </c>
      <c r="O61" s="80">
        <f t="shared" si="44"/>
        <v>1.5</v>
      </c>
      <c r="P61" s="80">
        <f t="shared" si="44"/>
        <v>2.5</v>
      </c>
      <c r="Q61" s="80">
        <f t="shared" si="44"/>
        <v>3.5</v>
      </c>
      <c r="R61" s="80">
        <f t="shared" si="44"/>
        <v>4.5</v>
      </c>
      <c r="S61" s="80">
        <f t="shared" si="44"/>
        <v>5.5</v>
      </c>
      <c r="T61" s="80">
        <f t="shared" si="44"/>
        <v>6.5</v>
      </c>
      <c r="U61" s="80">
        <f t="shared" si="44"/>
        <v>7.5</v>
      </c>
      <c r="V61" s="80">
        <f t="shared" si="44"/>
        <v>8.5</v>
      </c>
      <c r="W61" s="80">
        <f t="shared" si="44"/>
        <v>9.5</v>
      </c>
      <c r="X61" s="80">
        <f t="shared" si="44"/>
        <v>10.5</v>
      </c>
      <c r="Y61" s="80">
        <f t="shared" si="44"/>
        <v>11.5</v>
      </c>
      <c r="Z61" s="80">
        <f t="shared" si="44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27</v>
      </c>
      <c r="D62" s="21">
        <f t="shared" si="36"/>
        <v>0</v>
      </c>
      <c r="F62" s="31">
        <f t="shared" si="2"/>
        <v>27</v>
      </c>
      <c r="G62" s="4" t="str">
        <f>+"Present Value Factor:   "&amp;TEXT(AC62,"0.00%")&amp;"  ("&amp;B62&amp;")"</f>
        <v>Present Value Factor:   6.12%  (8)</v>
      </c>
      <c r="J62" s="38"/>
      <c r="K62" s="38"/>
      <c r="L62" s="38"/>
      <c r="M62" s="38"/>
      <c r="N62" s="73">
        <f t="shared" ref="N62:Z62" si="45">ROUND((1/((1+$AC62)^N61)),4)</f>
        <v>0.97070000000000001</v>
      </c>
      <c r="O62" s="73">
        <f t="shared" si="45"/>
        <v>0.91479999999999995</v>
      </c>
      <c r="P62" s="73">
        <f t="shared" si="45"/>
        <v>0.86199999999999999</v>
      </c>
      <c r="Q62" s="73">
        <f t="shared" si="45"/>
        <v>0.81230000000000002</v>
      </c>
      <c r="R62" s="73">
        <f t="shared" si="45"/>
        <v>0.76539999999999997</v>
      </c>
      <c r="S62" s="73">
        <f t="shared" si="45"/>
        <v>0.72130000000000005</v>
      </c>
      <c r="T62" s="73">
        <f t="shared" si="45"/>
        <v>0.67969999999999997</v>
      </c>
      <c r="U62" s="73">
        <f t="shared" si="45"/>
        <v>0.64049999999999996</v>
      </c>
      <c r="V62" s="73">
        <f t="shared" si="45"/>
        <v>0.60360000000000003</v>
      </c>
      <c r="W62" s="73">
        <f t="shared" si="45"/>
        <v>0.56879999999999997</v>
      </c>
      <c r="X62" s="73">
        <f t="shared" si="45"/>
        <v>0.53600000000000003</v>
      </c>
      <c r="Y62" s="73">
        <f t="shared" si="45"/>
        <v>0.505</v>
      </c>
      <c r="Z62" s="73">
        <f t="shared" si="45"/>
        <v>0.47589999999999999</v>
      </c>
      <c r="AC62" s="74">
        <f>+AC54-H9</f>
        <v>6.1199999999999997E-2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27</v>
      </c>
      <c r="D63" s="21">
        <f t="shared" si="36"/>
        <v>0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27</v>
      </c>
      <c r="D64" s="21">
        <f t="shared" si="36"/>
        <v>0</v>
      </c>
      <c r="F64" s="31">
        <f t="shared" si="2"/>
        <v>27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6">+N$52*N62</f>
        <v>147695.88735425434</v>
      </c>
      <c r="O64" s="66">
        <f t="shared" si="46"/>
        <v>162454.10157210132</v>
      </c>
      <c r="P64" s="66">
        <f t="shared" si="46"/>
        <v>328981.92127713503</v>
      </c>
      <c r="Q64" s="66">
        <f t="shared" si="46"/>
        <v>285793.3471904305</v>
      </c>
      <c r="R64" s="66">
        <f t="shared" si="46"/>
        <v>246022.36164882212</v>
      </c>
      <c r="S64" s="66">
        <f t="shared" si="46"/>
        <v>276265.22761468758</v>
      </c>
      <c r="T64" s="66">
        <f t="shared" si="46"/>
        <v>239054.83006133468</v>
      </c>
      <c r="U64" s="66">
        <f t="shared" si="46"/>
        <v>204910.1045384774</v>
      </c>
      <c r="V64" s="66">
        <f t="shared" si="46"/>
        <v>232039.69476445758</v>
      </c>
      <c r="W64" s="66">
        <f t="shared" si="46"/>
        <v>199735.85344047015</v>
      </c>
      <c r="X64" s="66">
        <f t="shared" si="46"/>
        <v>169924.87351415801</v>
      </c>
      <c r="Y64" s="66">
        <f t="shared" si="46"/>
        <v>194212.12963426684</v>
      </c>
      <c r="Z64" s="66">
        <f t="shared" si="46"/>
        <v>166183.88662380437</v>
      </c>
      <c r="AB64" s="61">
        <f>SUM(M64:Z64)</f>
        <v>2853274.2192344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27</v>
      </c>
      <c r="D65" s="21">
        <f t="shared" si="36"/>
        <v>0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7">+N61</f>
        <v>0.5</v>
      </c>
      <c r="O65" s="80">
        <f t="shared" si="47"/>
        <v>1.5</v>
      </c>
      <c r="P65" s="80">
        <f t="shared" si="47"/>
        <v>2.5</v>
      </c>
      <c r="Q65" s="80">
        <f t="shared" si="47"/>
        <v>3.5</v>
      </c>
      <c r="R65" s="80">
        <f t="shared" si="47"/>
        <v>4.5</v>
      </c>
      <c r="S65" s="80">
        <f t="shared" si="47"/>
        <v>5.5</v>
      </c>
      <c r="T65" s="80">
        <f t="shared" si="47"/>
        <v>6.5</v>
      </c>
      <c r="U65" s="80">
        <f t="shared" si="47"/>
        <v>7.5</v>
      </c>
      <c r="V65" s="80">
        <f t="shared" si="47"/>
        <v>8.5</v>
      </c>
      <c r="W65" s="80">
        <f t="shared" si="47"/>
        <v>9.5</v>
      </c>
      <c r="X65" s="80">
        <f t="shared" si="47"/>
        <v>10.5</v>
      </c>
      <c r="Y65" s="80">
        <f t="shared" si="47"/>
        <v>11.5</v>
      </c>
      <c r="Z65" s="80">
        <f t="shared" si="47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27</v>
      </c>
      <c r="D66" s="21">
        <f t="shared" si="36"/>
        <v>0</v>
      </c>
      <c r="F66" s="31">
        <f t="shared" si="2"/>
        <v>27</v>
      </c>
      <c r="G66" s="4" t="str">
        <f>+"Present Value Factor:   "&amp;TEXT(AC66,"0.00%")&amp;"  ("&amp;B66&amp;")"</f>
        <v>Present Value Factor:   7.48%  (9)</v>
      </c>
      <c r="J66" s="38"/>
      <c r="K66" s="38"/>
      <c r="L66" s="38"/>
      <c r="M66" s="38"/>
      <c r="N66" s="73">
        <f t="shared" ref="N66:Z66" si="48">ROUND((1/((1+$AC66)^N65)),4)</f>
        <v>0.96460000000000001</v>
      </c>
      <c r="O66" s="73">
        <f t="shared" si="48"/>
        <v>0.89739999999999998</v>
      </c>
      <c r="P66" s="73">
        <f t="shared" si="48"/>
        <v>0.83499999999999996</v>
      </c>
      <c r="Q66" s="73">
        <f t="shared" si="48"/>
        <v>0.77690000000000003</v>
      </c>
      <c r="R66" s="73">
        <f t="shared" si="48"/>
        <v>0.7228</v>
      </c>
      <c r="S66" s="73">
        <f t="shared" si="48"/>
        <v>0.67249999999999999</v>
      </c>
      <c r="T66" s="73">
        <f t="shared" si="48"/>
        <v>0.62570000000000003</v>
      </c>
      <c r="U66" s="73">
        <f t="shared" si="48"/>
        <v>0.58220000000000005</v>
      </c>
      <c r="V66" s="73">
        <f t="shared" si="48"/>
        <v>0.54159999999999997</v>
      </c>
      <c r="W66" s="73">
        <f t="shared" si="48"/>
        <v>0.50390000000000001</v>
      </c>
      <c r="X66" s="73">
        <f t="shared" si="48"/>
        <v>0.46889999999999998</v>
      </c>
      <c r="Y66" s="73">
        <f t="shared" si="48"/>
        <v>0.43619999999999998</v>
      </c>
      <c r="Z66" s="73">
        <f t="shared" si="48"/>
        <v>0.40589999999999998</v>
      </c>
      <c r="AB66" s="39"/>
      <c r="AC66" s="74">
        <f>+AC58-H9</f>
        <v>7.4800000000000005E-2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27</v>
      </c>
      <c r="D67" s="21">
        <f t="shared" si="36"/>
        <v>0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27</v>
      </c>
      <c r="D68" s="21">
        <f t="shared" si="36"/>
        <v>0</v>
      </c>
      <c r="F68" s="31">
        <f t="shared" si="2"/>
        <v>27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49">+N$52*N66</f>
        <v>146767.74795705546</v>
      </c>
      <c r="O68" s="66">
        <f t="shared" si="49"/>
        <v>159364.13505772164</v>
      </c>
      <c r="P68" s="66">
        <f t="shared" si="49"/>
        <v>318677.38313968416</v>
      </c>
      <c r="Q68" s="66">
        <f t="shared" si="49"/>
        <v>273338.48508216848</v>
      </c>
      <c r="R68" s="66">
        <f t="shared" si="49"/>
        <v>232329.45257351533</v>
      </c>
      <c r="S68" s="66">
        <f t="shared" si="49"/>
        <v>257574.33186035958</v>
      </c>
      <c r="T68" s="66">
        <f t="shared" si="49"/>
        <v>220062.68525728575</v>
      </c>
      <c r="U68" s="66">
        <f t="shared" si="49"/>
        <v>186258.64615503757</v>
      </c>
      <c r="V68" s="66">
        <f t="shared" si="49"/>
        <v>208205.26621012294</v>
      </c>
      <c r="W68" s="66">
        <f t="shared" si="49"/>
        <v>176946.02065515632</v>
      </c>
      <c r="X68" s="66">
        <f t="shared" si="49"/>
        <v>148652.56192311322</v>
      </c>
      <c r="Y68" s="66">
        <f t="shared" si="49"/>
        <v>167753.13058706373</v>
      </c>
      <c r="Z68" s="66">
        <f t="shared" si="49"/>
        <v>141739.94448540072</v>
      </c>
      <c r="AB68" s="61">
        <f>SUM(M68:Z68)</f>
        <v>2637669.790943685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27</v>
      </c>
      <c r="D69" s="21">
        <f t="shared" ref="D69:D76" si="50">IF($C$10="MUNI",1,0)</f>
        <v>1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1">+N65</f>
        <v>0.5</v>
      </c>
      <c r="O69" s="80">
        <f t="shared" si="51"/>
        <v>1.5</v>
      </c>
      <c r="P69" s="80">
        <f t="shared" si="51"/>
        <v>2.5</v>
      </c>
      <c r="Q69" s="80">
        <f t="shared" si="51"/>
        <v>3.5</v>
      </c>
      <c r="R69" s="80">
        <f t="shared" si="51"/>
        <v>4.5</v>
      </c>
      <c r="S69" s="80">
        <f t="shared" si="51"/>
        <v>5.5</v>
      </c>
      <c r="T69" s="80">
        <f t="shared" si="51"/>
        <v>6.5</v>
      </c>
      <c r="U69" s="80">
        <f t="shared" si="51"/>
        <v>7.5</v>
      </c>
      <c r="V69" s="80">
        <f t="shared" si="51"/>
        <v>8.5</v>
      </c>
      <c r="W69" s="80">
        <f t="shared" si="51"/>
        <v>9.5</v>
      </c>
      <c r="X69" s="80">
        <f t="shared" si="51"/>
        <v>10.5</v>
      </c>
      <c r="Y69" s="80">
        <f t="shared" si="51"/>
        <v>11.5</v>
      </c>
      <c r="Z69" s="80">
        <f t="shared" si="51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28</v>
      </c>
      <c r="D70" s="21">
        <f t="shared" si="50"/>
        <v>1</v>
      </c>
      <c r="F70" s="31">
        <f t="shared" si="2"/>
        <v>28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2">ROUND((1/((1+$AC70)^N69)),4)</f>
        <v>0.98129999999999995</v>
      </c>
      <c r="O70" s="73">
        <f t="shared" si="52"/>
        <v>0.94499999999999995</v>
      </c>
      <c r="P70" s="73">
        <f t="shared" si="52"/>
        <v>0.91010000000000002</v>
      </c>
      <c r="Q70" s="73">
        <f t="shared" si="52"/>
        <v>0.87639999999999996</v>
      </c>
      <c r="R70" s="73">
        <f t="shared" si="52"/>
        <v>0.84399999999999997</v>
      </c>
      <c r="S70" s="73">
        <f t="shared" si="52"/>
        <v>0.81279999999999997</v>
      </c>
      <c r="T70" s="73">
        <f t="shared" si="52"/>
        <v>0.78280000000000005</v>
      </c>
      <c r="U70" s="73">
        <f t="shared" si="52"/>
        <v>0.75380000000000003</v>
      </c>
      <c r="V70" s="73">
        <f t="shared" si="52"/>
        <v>0.72589999999999999</v>
      </c>
      <c r="W70" s="73">
        <f t="shared" si="52"/>
        <v>0.69910000000000005</v>
      </c>
      <c r="X70" s="73">
        <f t="shared" si="52"/>
        <v>0.67320000000000002</v>
      </c>
      <c r="Y70" s="73">
        <f t="shared" si="52"/>
        <v>0.64829999999999999</v>
      </c>
      <c r="Z70" s="73">
        <f t="shared" si="52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28</v>
      </c>
      <c r="D71" s="21">
        <f t="shared" si="50"/>
        <v>1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29</v>
      </c>
      <c r="D72" s="21">
        <f t="shared" si="50"/>
        <v>1</v>
      </c>
      <c r="F72" s="31">
        <f t="shared" si="2"/>
        <v>29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3">+N$52*N70</f>
        <v>149308.7197493868</v>
      </c>
      <c r="O72" s="66">
        <f t="shared" si="53"/>
        <v>167817.14690165693</v>
      </c>
      <c r="P72" s="66">
        <f t="shared" si="53"/>
        <v>347339.26514422346</v>
      </c>
      <c r="Q72" s="66">
        <f t="shared" si="53"/>
        <v>308345.79524522129</v>
      </c>
      <c r="R72" s="66">
        <f t="shared" si="53"/>
        <v>271286.74318213464</v>
      </c>
      <c r="S72" s="66">
        <f t="shared" si="53"/>
        <v>311310.65715405246</v>
      </c>
      <c r="T72" s="66">
        <f t="shared" si="53"/>
        <v>275315.75838165777</v>
      </c>
      <c r="U72" s="66">
        <f t="shared" si="53"/>
        <v>241157.27837799265</v>
      </c>
      <c r="V72" s="66">
        <f t="shared" si="53"/>
        <v>279055.02721921762</v>
      </c>
      <c r="W72" s="66">
        <f t="shared" si="53"/>
        <v>245491.09553486761</v>
      </c>
      <c r="X72" s="66">
        <f t="shared" si="53"/>
        <v>213420.56874949843</v>
      </c>
      <c r="Y72" s="66">
        <f t="shared" si="53"/>
        <v>249322.22503345582</v>
      </c>
      <c r="Z72" s="66">
        <f t="shared" si="53"/>
        <v>218039.96387456072</v>
      </c>
      <c r="AB72" s="61">
        <f>SUM(M72:Z72)</f>
        <v>3277210.2445479264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29</v>
      </c>
      <c r="D73" s="21">
        <f t="shared" si="50"/>
        <v>1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4">+N69</f>
        <v>0.5</v>
      </c>
      <c r="O73" s="80">
        <f t="shared" si="54"/>
        <v>1.5</v>
      </c>
      <c r="P73" s="80">
        <f t="shared" si="54"/>
        <v>2.5</v>
      </c>
      <c r="Q73" s="80">
        <f t="shared" si="54"/>
        <v>3.5</v>
      </c>
      <c r="R73" s="80">
        <f t="shared" si="54"/>
        <v>4.5</v>
      </c>
      <c r="S73" s="80">
        <f t="shared" si="54"/>
        <v>5.5</v>
      </c>
      <c r="T73" s="80">
        <f t="shared" si="54"/>
        <v>6.5</v>
      </c>
      <c r="U73" s="80">
        <f t="shared" si="54"/>
        <v>7.5</v>
      </c>
      <c r="V73" s="80">
        <f t="shared" si="54"/>
        <v>8.5</v>
      </c>
      <c r="W73" s="80">
        <f t="shared" si="54"/>
        <v>9.5</v>
      </c>
      <c r="X73" s="80">
        <f t="shared" si="54"/>
        <v>10.5</v>
      </c>
      <c r="Y73" s="80">
        <f t="shared" si="54"/>
        <v>11.5</v>
      </c>
      <c r="Z73" s="80">
        <f t="shared" si="54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30</v>
      </c>
      <c r="D74" s="21">
        <f t="shared" si="50"/>
        <v>1</v>
      </c>
      <c r="F74" s="31">
        <f t="shared" si="2"/>
        <v>30</v>
      </c>
      <c r="G74" s="4" t="str">
        <f>+"Present Value Factor:   "&amp;TEXT(AC74,"0.00%")&amp;"  ("&amp;B74&amp;")"</f>
        <v>Present Value Factor:   2.84%  (9)</v>
      </c>
      <c r="J74" s="38"/>
      <c r="K74" s="38"/>
      <c r="L74" s="38"/>
      <c r="M74" s="38"/>
      <c r="N74" s="73">
        <f t="shared" ref="N74:Z74" si="55">ROUND((1/((1+$AC74)^N73)),4)</f>
        <v>0.98609999999999998</v>
      </c>
      <c r="O74" s="73">
        <f t="shared" si="55"/>
        <v>0.95889999999999997</v>
      </c>
      <c r="P74" s="73">
        <f t="shared" si="55"/>
        <v>0.93240000000000001</v>
      </c>
      <c r="Q74" s="73">
        <f t="shared" si="55"/>
        <v>0.90659999999999996</v>
      </c>
      <c r="R74" s="73">
        <f t="shared" si="55"/>
        <v>0.88160000000000005</v>
      </c>
      <c r="S74" s="73">
        <f t="shared" si="55"/>
        <v>0.85729999999999995</v>
      </c>
      <c r="T74" s="73">
        <f t="shared" si="55"/>
        <v>0.83360000000000001</v>
      </c>
      <c r="U74" s="73">
        <f t="shared" si="55"/>
        <v>0.81059999999999999</v>
      </c>
      <c r="V74" s="73">
        <f t="shared" si="55"/>
        <v>0.78820000000000001</v>
      </c>
      <c r="W74" s="73">
        <f t="shared" si="55"/>
        <v>0.76639999999999997</v>
      </c>
      <c r="X74" s="73">
        <f t="shared" si="55"/>
        <v>0.74519999999999997</v>
      </c>
      <c r="Y74" s="73">
        <f t="shared" si="55"/>
        <v>0.72470000000000001</v>
      </c>
      <c r="Z74" s="73">
        <f t="shared" si="55"/>
        <v>0.70469999999999999</v>
      </c>
      <c r="AB74" s="39"/>
      <c r="AC74" s="74">
        <f>+AC70-H9</f>
        <v>2.8399999999999995E-2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30</v>
      </c>
      <c r="D75" s="21">
        <f t="shared" si="50"/>
        <v>1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31</v>
      </c>
      <c r="D76" s="21">
        <f t="shared" si="50"/>
        <v>1</v>
      </c>
      <c r="F76" s="31">
        <f t="shared" si="2"/>
        <v>31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6">+N$52*N74</f>
        <v>150039.05894718264</v>
      </c>
      <c r="O76" s="66">
        <f t="shared" si="56"/>
        <v>170285.56842751199</v>
      </c>
      <c r="P76" s="66">
        <f t="shared" si="56"/>
        <v>355850.05034663656</v>
      </c>
      <c r="Q76" s="66">
        <f t="shared" si="56"/>
        <v>318971.12958616798</v>
      </c>
      <c r="R76" s="66">
        <f t="shared" si="56"/>
        <v>283372.50330494065</v>
      </c>
      <c r="S76" s="66">
        <f t="shared" si="56"/>
        <v>328354.60922510969</v>
      </c>
      <c r="T76" s="66">
        <f t="shared" si="56"/>
        <v>293182.44275287422</v>
      </c>
      <c r="U76" s="66">
        <f t="shared" si="56"/>
        <v>259328.85361263045</v>
      </c>
      <c r="V76" s="66">
        <f t="shared" si="56"/>
        <v>303004.78365365381</v>
      </c>
      <c r="W76" s="66">
        <f t="shared" si="56"/>
        <v>269123.6956342762</v>
      </c>
      <c r="X76" s="66">
        <f t="shared" si="56"/>
        <v>236246.29802751966</v>
      </c>
      <c r="Y76" s="66">
        <f t="shared" si="56"/>
        <v>278704.02048703597</v>
      </c>
      <c r="Z76" s="66">
        <f t="shared" si="56"/>
        <v>246080.65749904379</v>
      </c>
      <c r="AB76" s="61">
        <f>SUM(M76:Z76)</f>
        <v>3492543.6715045832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4"/>
      <c r="N80" s="22" t="s">
        <v>59</v>
      </c>
      <c r="O80" s="101"/>
      <c r="Q80" s="99"/>
      <c r="R80" s="100"/>
      <c r="S80" s="64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7" ht="15" x14ac:dyDescent="0.25">
      <c r="D81" s="21">
        <v>2</v>
      </c>
      <c r="K81" s="99"/>
      <c r="L81" s="100"/>
      <c r="M81" s="64"/>
      <c r="N81" s="100"/>
      <c r="O81" s="101"/>
      <c r="Q81" s="99"/>
      <c r="R81" s="100"/>
      <c r="S81" s="64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7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349199.17340576672</v>
      </c>
      <c r="O82" s="101"/>
      <c r="Q82" s="105" t="s">
        <v>60</v>
      </c>
      <c r="R82" s="100"/>
      <c r="S82" s="100">
        <f>+AD83</f>
        <v>301389.29990576673</v>
      </c>
      <c r="T82" s="106">
        <f>+AE83</f>
        <v>14.6</v>
      </c>
      <c r="U82" s="103">
        <f>+T82*S82</f>
        <v>4400283.7786241937</v>
      </c>
      <c r="AB82" s="39"/>
      <c r="AC82" s="39"/>
      <c r="AD82" s="39"/>
      <c r="AE82" s="39"/>
      <c r="AF82" s="39"/>
      <c r="AG82" s="39"/>
      <c r="AH82" s="39"/>
    </row>
    <row r="83" spans="1:37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505600.44920576672</v>
      </c>
      <c r="T83" s="106">
        <f>+AE84</f>
        <v>10.1</v>
      </c>
      <c r="U83" s="109">
        <f>+T83*S83</f>
        <v>5106564.5369782439</v>
      </c>
      <c r="V83" s="110"/>
      <c r="W83" s="110"/>
      <c r="X83" s="110"/>
      <c r="Y83" s="110"/>
      <c r="Z83" s="110"/>
      <c r="AB83" s="39">
        <f>+AB52</f>
        <v>349199.17340576672</v>
      </c>
      <c r="AC83" s="39"/>
      <c r="AD83" s="39">
        <f>+Z$42</f>
        <v>301389.29990576673</v>
      </c>
      <c r="AE83" s="39">
        <f>+H7</f>
        <v>14.6</v>
      </c>
      <c r="AF83" s="39"/>
      <c r="AG83" s="39"/>
      <c r="AH83" s="39"/>
    </row>
    <row r="84" spans="1:37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4"/>
      <c r="N84" s="78">
        <f>+N82/N83</f>
        <v>4904482.7725529037</v>
      </c>
      <c r="O84" s="101"/>
      <c r="Q84" s="112" t="s">
        <v>64</v>
      </c>
      <c r="R84" s="100"/>
      <c r="S84" s="64"/>
      <c r="T84" s="100"/>
      <c r="U84" s="113">
        <f>ROUND((0.33*U82)+(0.67*U83),0)</f>
        <v>4873492</v>
      </c>
      <c r="AB84" s="39"/>
      <c r="AC84" s="39"/>
      <c r="AD84" s="39">
        <f>+Z$41</f>
        <v>505600.44920576672</v>
      </c>
      <c r="AE84" s="39">
        <f>+H8</f>
        <v>10.1</v>
      </c>
      <c r="AF84" s="39"/>
      <c r="AG84" s="39"/>
      <c r="AH84" s="39"/>
    </row>
    <row r="85" spans="1:37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4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4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7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4"/>
      <c r="N86" s="117">
        <f>+N85*N84</f>
        <v>2076067.5576216441</v>
      </c>
      <c r="O86" s="101"/>
      <c r="Q86" s="105" t="s">
        <v>65</v>
      </c>
      <c r="R86" s="116"/>
      <c r="S86" s="64"/>
      <c r="T86" s="78"/>
      <c r="U86" s="118">
        <f>+U85*U84</f>
        <v>2062949.1636000001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7" ht="16.899999999999999" customHeight="1" x14ac:dyDescent="0.25">
      <c r="D87" s="21">
        <v>2</v>
      </c>
      <c r="K87" s="104" t="s">
        <v>66</v>
      </c>
      <c r="L87" s="116"/>
      <c r="M87" s="64"/>
      <c r="N87" s="100"/>
      <c r="O87" s="101"/>
      <c r="Q87" s="105" t="s">
        <v>66</v>
      </c>
      <c r="R87" s="116"/>
      <c r="S87" s="64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7" ht="16.899999999999999" customHeight="1" x14ac:dyDescent="0.25">
      <c r="D88" s="21">
        <v>2</v>
      </c>
      <c r="K88" s="104" t="str">
        <f>+A89</f>
        <v>Cash Flow for 13 Years</v>
      </c>
      <c r="L88" s="116"/>
      <c r="M88" s="64"/>
      <c r="N88" s="121">
        <f>+AB89</f>
        <v>2692361.4999011974</v>
      </c>
      <c r="O88" s="101"/>
      <c r="Q88" s="105" t="str">
        <f>+K88</f>
        <v>Cash Flow for 13 Years</v>
      </c>
      <c r="R88" s="116"/>
      <c r="S88" s="64"/>
      <c r="T88" s="78"/>
      <c r="U88" s="109">
        <f>+AB89</f>
        <v>2692361.4999011974</v>
      </c>
      <c r="AB88" s="39"/>
      <c r="AC88" s="39"/>
      <c r="AD88" s="39"/>
      <c r="AE88" s="39"/>
      <c r="AF88" s="39"/>
      <c r="AG88" s="39"/>
      <c r="AH88" s="39"/>
    </row>
    <row r="89" spans="1:37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4"/>
      <c r="N89" s="100"/>
      <c r="O89" s="101"/>
      <c r="Q89" s="105"/>
      <c r="R89" s="116"/>
      <c r="S89" s="64"/>
      <c r="T89" s="100"/>
      <c r="U89" s="103"/>
      <c r="AB89" s="39">
        <f>+AB56</f>
        <v>2692361.4999011974</v>
      </c>
      <c r="AC89" s="39"/>
      <c r="AD89" s="39"/>
      <c r="AE89" s="39"/>
      <c r="AF89" s="39"/>
      <c r="AG89" s="39"/>
      <c r="AH89" s="39"/>
    </row>
    <row r="90" spans="1:37" ht="16.899999999999999" customHeight="1" thickBot="1" x14ac:dyDescent="0.3">
      <c r="D90" s="21">
        <v>2</v>
      </c>
      <c r="K90" s="104" t="s">
        <v>67</v>
      </c>
      <c r="L90" s="116"/>
      <c r="M90" s="64"/>
      <c r="N90" s="66">
        <f>+N86+N88</f>
        <v>4768429.0575228417</v>
      </c>
      <c r="O90" s="101"/>
      <c r="Q90" s="105" t="s">
        <v>67</v>
      </c>
      <c r="R90" s="116"/>
      <c r="S90" s="64"/>
      <c r="T90" s="78"/>
      <c r="U90" s="122">
        <f>+U86+U88</f>
        <v>4755310.6635011975</v>
      </c>
      <c r="AB90" s="39"/>
      <c r="AC90" s="39"/>
      <c r="AD90" s="39"/>
      <c r="AE90" s="39"/>
      <c r="AF90" s="39"/>
      <c r="AG90" s="39"/>
      <c r="AH90" s="39"/>
    </row>
    <row r="91" spans="1:37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  <c r="AK95" s="39"/>
    </row>
    <row r="96" spans="1:37" ht="15" x14ac:dyDescent="0.25">
      <c r="D96" s="21">
        <v>2</v>
      </c>
      <c r="K96" s="99"/>
      <c r="L96" s="100"/>
      <c r="M96" s="64"/>
      <c r="N96" s="22" t="s">
        <v>59</v>
      </c>
      <c r="O96" s="101"/>
      <c r="P96" s="38"/>
      <c r="Q96" s="99"/>
      <c r="R96" s="100"/>
      <c r="S96" s="64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15" x14ac:dyDescent="0.25">
      <c r="D97" s="21">
        <v>2</v>
      </c>
      <c r="K97" s="99"/>
      <c r="L97" s="100"/>
      <c r="M97" s="64"/>
      <c r="N97" s="100"/>
      <c r="O97" s="101"/>
      <c r="P97" s="38"/>
      <c r="Q97" s="99"/>
      <c r="R97" s="100"/>
      <c r="S97" s="64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349199.17340576672</v>
      </c>
      <c r="O98" s="101"/>
      <c r="P98" s="38"/>
      <c r="Q98" s="105" t="s">
        <v>60</v>
      </c>
      <c r="R98" s="100"/>
      <c r="S98" s="100">
        <f>+AD99</f>
        <v>301389.29990576673</v>
      </c>
      <c r="T98" s="106">
        <f>+AE99</f>
        <v>14.6</v>
      </c>
      <c r="U98" s="103">
        <f>+T98*S98</f>
        <v>4400283.7786241937</v>
      </c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505600.44920576672</v>
      </c>
      <c r="T99" s="106">
        <f>+AE100</f>
        <v>10.1</v>
      </c>
      <c r="U99" s="109">
        <f>+T99*S99</f>
        <v>5106564.5369782439</v>
      </c>
      <c r="AB99" s="39">
        <f>+AB52</f>
        <v>349199.17340576672</v>
      </c>
      <c r="AC99" s="39"/>
      <c r="AD99" s="39">
        <f>+AD83</f>
        <v>301389.29990576673</v>
      </c>
      <c r="AE99" s="39">
        <f>+AE$83</f>
        <v>14.6</v>
      </c>
      <c r="AF99" s="39"/>
      <c r="AG99" s="39"/>
      <c r="AH99" s="39"/>
      <c r="AI99" s="39"/>
      <c r="AJ99" s="39"/>
      <c r="AK99" s="39"/>
    </row>
    <row r="100" spans="1:37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4"/>
      <c r="N100" s="78">
        <f>+N98/N99</f>
        <v>4117914.7807283811</v>
      </c>
      <c r="O100" s="101"/>
      <c r="P100" s="38"/>
      <c r="Q100" s="112" t="s">
        <v>64</v>
      </c>
      <c r="R100" s="100"/>
      <c r="S100" s="64"/>
      <c r="T100" s="100"/>
      <c r="U100" s="113">
        <f>ROUND((0.33*U98)+(0.67*U99),0)</f>
        <v>4873492</v>
      </c>
      <c r="AB100" s="39"/>
      <c r="AC100" s="39"/>
      <c r="AD100" s="39">
        <f>+AD84</f>
        <v>505600.44920576672</v>
      </c>
      <c r="AE100" s="39">
        <f>+AE$84</f>
        <v>10.1</v>
      </c>
      <c r="AF100" s="39"/>
      <c r="AG100" s="39"/>
      <c r="AH100" s="39"/>
      <c r="AI100" s="39"/>
      <c r="AJ100" s="39"/>
      <c r="AK100" s="39"/>
    </row>
    <row r="101" spans="1:37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4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4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4"/>
      <c r="N102" s="117">
        <f>+N101*N100</f>
        <v>1488626.1932333098</v>
      </c>
      <c r="O102" s="101"/>
      <c r="P102" s="38"/>
      <c r="Q102" s="105" t="s">
        <v>65</v>
      </c>
      <c r="R102" s="116"/>
      <c r="S102" s="64"/>
      <c r="T102" s="78"/>
      <c r="U102" s="118">
        <f>+U101*U100</f>
        <v>1761767.358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  <c r="AK102" s="39"/>
    </row>
    <row r="103" spans="1:37" ht="16.899999999999999" customHeight="1" x14ac:dyDescent="0.25">
      <c r="D103" s="21">
        <v>2</v>
      </c>
      <c r="K103" s="104" t="s">
        <v>66</v>
      </c>
      <c r="L103" s="116"/>
      <c r="M103" s="64"/>
      <c r="N103" s="100"/>
      <c r="O103" s="101"/>
      <c r="P103" s="38"/>
      <c r="Q103" s="105" t="s">
        <v>66</v>
      </c>
      <c r="R103" s="116"/>
      <c r="S103" s="64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ht="16.899999999999999" customHeight="1" x14ac:dyDescent="0.25">
      <c r="D104" s="21">
        <v>2</v>
      </c>
      <c r="K104" s="104" t="str">
        <f>+K$88</f>
        <v>Cash Flow for 13 Years</v>
      </c>
      <c r="L104" s="116"/>
      <c r="M104" s="64"/>
      <c r="N104" s="121">
        <f>+AB105</f>
        <v>2494298.1021613409</v>
      </c>
      <c r="O104" s="101"/>
      <c r="P104" s="38"/>
      <c r="Q104" s="105" t="str">
        <f>+Q$88</f>
        <v>Cash Flow for 13 Years</v>
      </c>
      <c r="R104" s="116"/>
      <c r="S104" s="64"/>
      <c r="T104" s="78"/>
      <c r="U104" s="109">
        <f>+AB105</f>
        <v>2494298.1021613409</v>
      </c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4"/>
      <c r="N105" s="100"/>
      <c r="O105" s="101"/>
      <c r="P105" s="38"/>
      <c r="Q105" s="105"/>
      <c r="R105" s="116"/>
      <c r="S105" s="64"/>
      <c r="T105" s="100"/>
      <c r="U105" s="103"/>
      <c r="AB105" s="39">
        <f>+AB60</f>
        <v>2494298.1021613409</v>
      </c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16.899999999999999" customHeight="1" thickBot="1" x14ac:dyDescent="0.3">
      <c r="D106" s="21">
        <v>2</v>
      </c>
      <c r="K106" s="104" t="s">
        <v>67</v>
      </c>
      <c r="L106" s="116"/>
      <c r="M106" s="64"/>
      <c r="N106" s="66">
        <f>+N102+N104</f>
        <v>3982924.2953946507</v>
      </c>
      <c r="O106" s="101"/>
      <c r="P106" s="38"/>
      <c r="Q106" s="105" t="s">
        <v>67</v>
      </c>
      <c r="R106" s="116"/>
      <c r="S106" s="64"/>
      <c r="T106" s="78"/>
      <c r="U106" s="122">
        <f>+U102+U104</f>
        <v>4256065.4601613414</v>
      </c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ht="15" x14ac:dyDescent="0.25">
      <c r="D108" s="21">
        <v>2</v>
      </c>
      <c r="K108" s="100"/>
      <c r="L108" s="100"/>
      <c r="M108" s="64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15" x14ac:dyDescent="0.25">
      <c r="D109" s="21">
        <v>2</v>
      </c>
      <c r="K109" s="100"/>
      <c r="L109" s="100"/>
      <c r="M109" s="64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  <c r="AK109" s="39"/>
    </row>
    <row r="110" spans="1:37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  <c r="AK110" s="39"/>
    </row>
    <row r="111" spans="1:37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6.12%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7.48%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6.1199999999999997E-2</v>
      </c>
      <c r="AC112" s="39"/>
      <c r="AD112" s="97">
        <f>+AB112</f>
        <v>6.1199999999999997E-2</v>
      </c>
      <c r="AE112" s="39"/>
      <c r="AF112" s="39"/>
      <c r="AG112" s="39"/>
      <c r="AH112" s="39"/>
      <c r="AI112" s="39"/>
      <c r="AJ112" s="39"/>
      <c r="AK112" s="39"/>
    </row>
    <row r="113" spans="1:40" ht="15" x14ac:dyDescent="0.25">
      <c r="D113" s="21">
        <v>2</v>
      </c>
      <c r="K113" s="99"/>
      <c r="L113" s="100"/>
      <c r="M113" s="64"/>
      <c r="N113" s="22" t="s">
        <v>59</v>
      </c>
      <c r="O113" s="101"/>
      <c r="Q113" s="99"/>
      <c r="R113" s="100"/>
      <c r="S113" s="64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40" ht="15" x14ac:dyDescent="0.25">
      <c r="D114" s="21">
        <v>2</v>
      </c>
      <c r="K114" s="99"/>
      <c r="L114" s="100"/>
      <c r="M114" s="64"/>
      <c r="N114" s="100"/>
      <c r="O114" s="101"/>
      <c r="Q114" s="99"/>
      <c r="R114" s="100"/>
      <c r="S114" s="64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349199.17340576672</v>
      </c>
      <c r="O115" s="101"/>
      <c r="Q115" s="104" t="str">
        <f t="shared" ref="Q115:Q121" si="57">+K98</f>
        <v>Projected Debt Free Net Cash Flow (10)</v>
      </c>
      <c r="R115" s="100"/>
      <c r="S115" s="100"/>
      <c r="T115" s="100">
        <f>+AB132</f>
        <v>349199.17340576672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8">+K83</f>
        <v>Divided by Capitalization Factor (8)</v>
      </c>
      <c r="L116" s="100"/>
      <c r="M116" s="78"/>
      <c r="N116" s="108">
        <f>+AB112</f>
        <v>6.1199999999999997E-2</v>
      </c>
      <c r="O116" s="101"/>
      <c r="Q116" s="104" t="str">
        <f t="shared" si="57"/>
        <v>Divided by Capitalization Factor (9)</v>
      </c>
      <c r="R116" s="100"/>
      <c r="S116" s="78"/>
      <c r="T116" s="108">
        <f>+AB128</f>
        <v>7.4800000000000005E-2</v>
      </c>
      <c r="U116" s="101"/>
      <c r="AB116" s="39">
        <f>+AB$52</f>
        <v>349199.17340576672</v>
      </c>
      <c r="AC116" s="39"/>
      <c r="AD116" s="39">
        <f>+Z$42</f>
        <v>301389.29990576673</v>
      </c>
      <c r="AE116" s="39">
        <f>+AE$83</f>
        <v>14.6</v>
      </c>
      <c r="AF116" s="39"/>
      <c r="AG116" s="39"/>
      <c r="AH116" s="39"/>
      <c r="AI116" s="39"/>
      <c r="AJ116" s="39"/>
      <c r="AK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8"/>
        <v>13th Year Terminal Value</v>
      </c>
      <c r="L117" s="100"/>
      <c r="M117" s="64"/>
      <c r="N117" s="78">
        <f>+N115/N116</f>
        <v>5705868.8464994561</v>
      </c>
      <c r="O117" s="101"/>
      <c r="Q117" s="104" t="str">
        <f t="shared" si="57"/>
        <v>13th Year Terminal Value</v>
      </c>
      <c r="R117" s="100"/>
      <c r="S117" s="64"/>
      <c r="T117" s="78">
        <f>+T115/T116</f>
        <v>4668438.147135918</v>
      </c>
      <c r="U117" s="101"/>
      <c r="AB117" s="39"/>
      <c r="AC117" s="39"/>
      <c r="AD117" s="39">
        <f>+Z$41</f>
        <v>505600.44920576672</v>
      </c>
      <c r="AE117" s="39">
        <f>+AE$84</f>
        <v>10.1</v>
      </c>
      <c r="AF117" s="39"/>
      <c r="AG117" s="39"/>
      <c r="AH117" s="39"/>
      <c r="AI117" s="39"/>
      <c r="AJ117" s="39"/>
      <c r="AK117" s="39"/>
    </row>
    <row r="118" spans="1:40" ht="16.899999999999999" customHeight="1" x14ac:dyDescent="0.25">
      <c r="D118" s="21">
        <v>2</v>
      </c>
      <c r="K118" s="104" t="str">
        <f t="shared" si="58"/>
        <v>13th Year Present Value Factor (11)</v>
      </c>
      <c r="L118" s="100"/>
      <c r="M118" s="64"/>
      <c r="N118" s="114">
        <f>+N85</f>
        <v>0.42330000000000001</v>
      </c>
      <c r="O118" s="101"/>
      <c r="Q118" s="104" t="str">
        <f t="shared" si="57"/>
        <v>13th Year Present Value Factor (12)</v>
      </c>
      <c r="R118" s="100"/>
      <c r="S118" s="64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8"/>
        <v>Present Value of Terminal Value</v>
      </c>
      <c r="L119" s="116"/>
      <c r="M119" s="64"/>
      <c r="N119" s="117">
        <f>+N118*N117</f>
        <v>2415294.2827232196</v>
      </c>
      <c r="O119" s="101"/>
      <c r="Q119" s="104" t="str">
        <f t="shared" si="57"/>
        <v>Present Value of Terminal Value</v>
      </c>
      <c r="R119" s="116"/>
      <c r="S119" s="64"/>
      <c r="T119" s="117">
        <f>+T118*T117</f>
        <v>1687640.3901896344</v>
      </c>
      <c r="U119" s="101"/>
      <c r="AB119" s="119">
        <f>+Z62</f>
        <v>0.47589999999999999</v>
      </c>
      <c r="AC119" s="39"/>
      <c r="AD119" s="120">
        <f>+AB119</f>
        <v>0.47589999999999999</v>
      </c>
      <c r="AE119" s="39"/>
      <c r="AF119" s="39"/>
      <c r="AG119" s="39"/>
      <c r="AH119" s="39"/>
      <c r="AI119" s="39"/>
      <c r="AJ119" s="39"/>
      <c r="AK119" s="39"/>
    </row>
    <row r="120" spans="1:40" ht="16.899999999999999" customHeight="1" x14ac:dyDescent="0.25">
      <c r="D120" s="21">
        <v>2</v>
      </c>
      <c r="K120" s="104" t="str">
        <f t="shared" si="58"/>
        <v>Present Value Debt Free Net</v>
      </c>
      <c r="L120" s="116"/>
      <c r="M120" s="64"/>
      <c r="N120" s="100"/>
      <c r="O120" s="101"/>
      <c r="Q120" s="104" t="str">
        <f t="shared" si="57"/>
        <v>Present Value Debt Free Net</v>
      </c>
      <c r="R120" s="116"/>
      <c r="S120" s="64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4"/>
      <c r="N121" s="121">
        <f>+AB122</f>
        <v>2692361.4999011974</v>
      </c>
      <c r="O121" s="101"/>
      <c r="Q121" s="104" t="str">
        <f t="shared" si="57"/>
        <v>Cash Flow for 13 Years</v>
      </c>
      <c r="R121" s="116"/>
      <c r="S121" s="64"/>
      <c r="T121" s="121">
        <f>+AB138</f>
        <v>2494298.1021613409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40" ht="16.899999999999999" customHeight="1" x14ac:dyDescent="0.25">
      <c r="D122" s="21">
        <v>2</v>
      </c>
      <c r="K122" s="104"/>
      <c r="L122" s="116"/>
      <c r="M122" s="64"/>
      <c r="N122" s="100"/>
      <c r="O122" s="101"/>
      <c r="Q122" s="104"/>
      <c r="R122" s="116"/>
      <c r="S122" s="64"/>
      <c r="T122" s="100"/>
      <c r="U122" s="101"/>
      <c r="V122" s="39"/>
      <c r="W122" s="39"/>
      <c r="X122" s="39"/>
      <c r="Y122" s="39"/>
      <c r="AB122" s="39">
        <f>+AB56</f>
        <v>2692361.4999011974</v>
      </c>
      <c r="AC122" s="39"/>
      <c r="AD122" s="39">
        <f>+AB122</f>
        <v>2692361.4999011974</v>
      </c>
      <c r="AE122" s="39"/>
      <c r="AF122" s="39"/>
      <c r="AG122" s="39"/>
      <c r="AH122" s="39"/>
      <c r="AI122" s="39"/>
      <c r="AJ122" s="39"/>
      <c r="AK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4"/>
      <c r="N123" s="66">
        <f>+N119+N121</f>
        <v>5107655.782624417</v>
      </c>
      <c r="O123" s="101"/>
      <c r="Q123" s="104" t="s">
        <v>67</v>
      </c>
      <c r="R123" s="116"/>
      <c r="S123" s="64"/>
      <c r="T123" s="66">
        <f>+T119+T121</f>
        <v>4181938.4923509751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7.48%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7.4800000000000005E-2</v>
      </c>
      <c r="AC128" s="39"/>
      <c r="AD128" s="97">
        <f>+AB128</f>
        <v>7.4800000000000005E-2</v>
      </c>
      <c r="AE128" s="39"/>
      <c r="AF128" s="39"/>
      <c r="AG128" s="39"/>
      <c r="AH128" s="39"/>
      <c r="AI128" s="39"/>
      <c r="AJ128" s="39"/>
      <c r="AK128" s="39"/>
    </row>
    <row r="129" spans="4:37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4:37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4:37" ht="15" x14ac:dyDescent="0.25">
      <c r="D131" s="21"/>
      <c r="P131" s="38"/>
      <c r="Q131" s="137" t="s">
        <v>60</v>
      </c>
      <c r="R131" s="133"/>
      <c r="S131" s="133">
        <f>+AD132</f>
        <v>301389.29990576673</v>
      </c>
      <c r="T131" s="138">
        <f>+AE132</f>
        <v>14.6</v>
      </c>
      <c r="U131" s="133">
        <f>+T131*S131</f>
        <v>4400283.7786241937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4:37" ht="16.899999999999999" customHeight="1" x14ac:dyDescent="0.25">
      <c r="D132" s="21"/>
      <c r="P132" s="38"/>
      <c r="Q132" s="137" t="s">
        <v>62</v>
      </c>
      <c r="R132" s="133"/>
      <c r="S132" s="139">
        <f>+AD133</f>
        <v>505600.44920576672</v>
      </c>
      <c r="T132" s="138">
        <f>+AE133</f>
        <v>10.1</v>
      </c>
      <c r="U132" s="139">
        <f>+T132*S132</f>
        <v>5106564.5369782439</v>
      </c>
      <c r="V132" s="39"/>
      <c r="W132" s="39"/>
      <c r="X132" s="39"/>
      <c r="Y132" s="39"/>
      <c r="AB132" s="39">
        <f>+AB$52</f>
        <v>349199.17340576672</v>
      </c>
      <c r="AC132" s="39"/>
      <c r="AD132" s="39">
        <f>+AD116</f>
        <v>301389.29990576673</v>
      </c>
      <c r="AE132" s="39">
        <f>+AE$83</f>
        <v>14.6</v>
      </c>
      <c r="AF132" s="39"/>
      <c r="AG132" s="39"/>
      <c r="AH132" s="39"/>
      <c r="AI132" s="39"/>
      <c r="AJ132" s="39"/>
      <c r="AK132" s="39"/>
    </row>
    <row r="133" spans="4:37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4873492</v>
      </c>
      <c r="V133" s="39"/>
      <c r="W133" s="39"/>
      <c r="X133" s="39"/>
      <c r="Y133" s="39"/>
      <c r="AB133" s="39"/>
      <c r="AC133" s="39"/>
      <c r="AD133" s="39">
        <f>+AD117</f>
        <v>505600.44920576672</v>
      </c>
      <c r="AE133" s="39">
        <f>+AE$84</f>
        <v>10.1</v>
      </c>
      <c r="AF133" s="39"/>
      <c r="AG133" s="39"/>
      <c r="AH133" s="39"/>
      <c r="AI133" s="39"/>
      <c r="AJ133" s="39"/>
      <c r="AK133" s="39"/>
    </row>
    <row r="134" spans="4:37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  <c r="AK134" s="39"/>
    </row>
    <row r="135" spans="4:37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1761767.358</v>
      </c>
      <c r="V135" s="39"/>
      <c r="W135" s="39"/>
      <c r="X135" s="39"/>
      <c r="Y135" s="39"/>
      <c r="AB135" s="119">
        <f>+Z66</f>
        <v>0.40589999999999998</v>
      </c>
      <c r="AC135" s="39"/>
      <c r="AD135" s="120">
        <f>+AB135</f>
        <v>0.40589999999999998</v>
      </c>
      <c r="AE135" s="39"/>
      <c r="AF135" s="39"/>
      <c r="AG135" s="39"/>
      <c r="AH135" s="39"/>
      <c r="AI135" s="39"/>
      <c r="AJ135" s="39"/>
      <c r="AK135" s="39"/>
    </row>
    <row r="136" spans="4:37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4:37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2494298.1021613409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4:37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2494298.1021613409</v>
      </c>
      <c r="AC138" s="39"/>
      <c r="AD138" s="39">
        <f>+AB138</f>
        <v>2494298.1021613409</v>
      </c>
      <c r="AE138" s="39"/>
      <c r="AF138" s="39"/>
      <c r="AG138" s="39"/>
      <c r="AH138" s="39"/>
      <c r="AI138" s="39"/>
      <c r="AJ138" s="39"/>
      <c r="AK138" s="39"/>
    </row>
    <row r="139" spans="4:37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4256065.4601613414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4:37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</row>
    <row r="141" spans="4:37" ht="15" x14ac:dyDescent="0.25">
      <c r="D141" s="21"/>
      <c r="K141" s="100"/>
      <c r="L141" s="100"/>
      <c r="M141" s="64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</row>
    <row r="142" spans="4:37" ht="15.75" x14ac:dyDescent="0.25">
      <c r="D142" s="21">
        <v>2</v>
      </c>
      <c r="L142" s="82" t="s">
        <v>71</v>
      </c>
      <c r="M142" s="64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  <c r="AK142" s="39"/>
    </row>
    <row r="143" spans="4:37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  <c r="AK143" s="39"/>
    </row>
    <row r="144" spans="4:37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</row>
    <row r="145" spans="3:37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  <c r="AK145" s="39"/>
    </row>
    <row r="146" spans="3:37" ht="15" x14ac:dyDescent="0.25">
      <c r="D146" s="21">
        <v>3</v>
      </c>
      <c r="K146" s="99"/>
      <c r="L146" s="100"/>
      <c r="M146" s="64"/>
      <c r="N146" s="22" t="s">
        <v>59</v>
      </c>
      <c r="O146" s="101"/>
      <c r="Q146" s="99"/>
      <c r="R146" s="100"/>
      <c r="S146" s="64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</row>
    <row r="147" spans="3:37" ht="15" x14ac:dyDescent="0.25">
      <c r="D147" s="21">
        <v>3</v>
      </c>
      <c r="K147" s="99"/>
      <c r="L147" s="100"/>
      <c r="M147" s="64"/>
      <c r="N147" s="100"/>
      <c r="O147" s="101"/>
      <c r="Q147" s="99"/>
      <c r="R147" s="100"/>
      <c r="S147" s="64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3:37" ht="15" x14ac:dyDescent="0.25">
      <c r="D148" s="21">
        <v>3</v>
      </c>
      <c r="K148" s="104" t="str">
        <f t="shared" ref="K148:K154" si="59">+K115</f>
        <v>Projected Debt Free Net Cash Flow (10)</v>
      </c>
      <c r="L148" s="100"/>
      <c r="M148" s="100"/>
      <c r="N148" s="100">
        <f>+AB149</f>
        <v>349199.17340576672</v>
      </c>
      <c r="O148" s="101"/>
      <c r="Q148" s="105" t="s">
        <v>60</v>
      </c>
      <c r="R148" s="100"/>
      <c r="S148" s="100">
        <f>+AD149</f>
        <v>301389.29990576673</v>
      </c>
      <c r="T148" s="106">
        <f>+AE149</f>
        <v>14.6</v>
      </c>
      <c r="U148" s="103">
        <f>+T148*S148</f>
        <v>4400283.7786241937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</row>
    <row r="149" spans="3:37" ht="16.899999999999999" customHeight="1" x14ac:dyDescent="0.25">
      <c r="D149" s="21">
        <v>3</v>
      </c>
      <c r="K149" s="104" t="str">
        <f t="shared" si="59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505600.44920576672</v>
      </c>
      <c r="T149" s="106">
        <f>+AE150</f>
        <v>10.1</v>
      </c>
      <c r="U149" s="109">
        <f>+T149*S149</f>
        <v>5106564.5369782439</v>
      </c>
      <c r="V149" s="39"/>
      <c r="W149" s="39"/>
      <c r="X149" s="39"/>
      <c r="Y149" s="39"/>
      <c r="AB149" s="39">
        <f>+AB$52</f>
        <v>349199.17340576672</v>
      </c>
      <c r="AC149" s="39"/>
      <c r="AD149" s="39">
        <f>+Z$42</f>
        <v>301389.29990576673</v>
      </c>
      <c r="AE149" s="39">
        <f>+AE$83</f>
        <v>14.6</v>
      </c>
      <c r="AF149" s="39"/>
      <c r="AG149" s="39"/>
      <c r="AH149" s="39"/>
      <c r="AI149" s="39"/>
      <c r="AJ149" s="39"/>
      <c r="AK149" s="39"/>
    </row>
    <row r="150" spans="3:37" ht="16.899999999999999" customHeight="1" x14ac:dyDescent="0.25">
      <c r="D150" s="21">
        <v>3</v>
      </c>
      <c r="K150" s="104" t="str">
        <f t="shared" si="59"/>
        <v>13th Year Terminal Value</v>
      </c>
      <c r="L150" s="100"/>
      <c r="M150" s="64"/>
      <c r="N150" s="78">
        <f>+N148/N149</f>
        <v>9093728.4741085097</v>
      </c>
      <c r="O150" s="101"/>
      <c r="Q150" s="112" t="s">
        <v>64</v>
      </c>
      <c r="R150" s="100"/>
      <c r="S150" s="64"/>
      <c r="T150" s="100"/>
      <c r="U150" s="113">
        <f>ROUND((0.33*U148)+(0.67*U149),0)</f>
        <v>4873492</v>
      </c>
      <c r="V150" s="39"/>
      <c r="W150" s="39"/>
      <c r="X150" s="39"/>
      <c r="Y150" s="39"/>
      <c r="AB150" s="39"/>
      <c r="AC150" s="39"/>
      <c r="AD150" s="39">
        <f>+Z$41</f>
        <v>505600.44920576672</v>
      </c>
      <c r="AE150" s="39">
        <f>+AE$84</f>
        <v>10.1</v>
      </c>
      <c r="AF150" s="39"/>
      <c r="AG150" s="39"/>
      <c r="AH150" s="39"/>
      <c r="AI150" s="39"/>
      <c r="AJ150" s="39"/>
      <c r="AK150" s="39"/>
    </row>
    <row r="151" spans="3:37" ht="16.899999999999999" customHeight="1" x14ac:dyDescent="0.25">
      <c r="D151" s="21">
        <v>3</v>
      </c>
      <c r="K151" s="104" t="str">
        <f t="shared" si="59"/>
        <v>13th Year Present Value Factor (11)</v>
      </c>
      <c r="L151" s="100"/>
      <c r="M151" s="64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4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  <c r="AK151" s="39"/>
    </row>
    <row r="152" spans="3:37" ht="16.899999999999999" customHeight="1" x14ac:dyDescent="0.25">
      <c r="D152" s="21">
        <v>3</v>
      </c>
      <c r="K152" s="104" t="str">
        <f t="shared" si="59"/>
        <v>Present Value of Terminal Value</v>
      </c>
      <c r="L152" s="116"/>
      <c r="M152" s="64"/>
      <c r="N152" s="117">
        <f>+N151*N150</f>
        <v>5678124.0592333535</v>
      </c>
      <c r="O152" s="101"/>
      <c r="Q152" s="105" t="s">
        <v>65</v>
      </c>
      <c r="R152" s="116"/>
      <c r="S152" s="64"/>
      <c r="T152" s="78"/>
      <c r="U152" s="118">
        <f>+U151*U150</f>
        <v>3043008.4047999997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  <c r="AK152" s="39"/>
    </row>
    <row r="153" spans="3:37" ht="16.899999999999999" customHeight="1" x14ac:dyDescent="0.25">
      <c r="D153" s="21">
        <v>3</v>
      </c>
      <c r="K153" s="104" t="str">
        <f t="shared" si="59"/>
        <v>Present Value Debt Free Net</v>
      </c>
      <c r="L153" s="116"/>
      <c r="M153" s="64"/>
      <c r="N153" s="100"/>
      <c r="O153" s="101"/>
      <c r="Q153" s="105" t="s">
        <v>66</v>
      </c>
      <c r="R153" s="116"/>
      <c r="S153" s="64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3:37" ht="16.899999999999999" customHeight="1" x14ac:dyDescent="0.25">
      <c r="D154" s="21">
        <v>3</v>
      </c>
      <c r="K154" s="104" t="str">
        <f t="shared" si="59"/>
        <v>Cash Flow for 13 Years</v>
      </c>
      <c r="L154" s="116"/>
      <c r="M154" s="64"/>
      <c r="N154" s="121">
        <f>+AB155</f>
        <v>3277210.2445479264</v>
      </c>
      <c r="O154" s="101"/>
      <c r="Q154" s="105" t="str">
        <f>+Q$88</f>
        <v>Cash Flow for 13 Years</v>
      </c>
      <c r="R154" s="116"/>
      <c r="S154" s="64"/>
      <c r="T154" s="78"/>
      <c r="U154" s="109">
        <f>+AD155</f>
        <v>3277210.2445479264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</row>
    <row r="155" spans="3:37" ht="16.899999999999999" customHeight="1" x14ac:dyDescent="0.25">
      <c r="D155" s="21">
        <v>3</v>
      </c>
      <c r="K155" s="104"/>
      <c r="L155" s="116"/>
      <c r="M155" s="64"/>
      <c r="N155" s="100"/>
      <c r="O155" s="101"/>
      <c r="Q155" s="105"/>
      <c r="R155" s="116"/>
      <c r="S155" s="64"/>
      <c r="T155" s="100"/>
      <c r="U155" s="103"/>
      <c r="V155" s="39"/>
      <c r="W155" s="39"/>
      <c r="X155" s="39"/>
      <c r="Y155" s="39"/>
      <c r="AB155" s="39">
        <f>+AB72</f>
        <v>3277210.2445479264</v>
      </c>
      <c r="AC155" s="39"/>
      <c r="AD155" s="39">
        <f>+AB155</f>
        <v>3277210.2445479264</v>
      </c>
      <c r="AE155" s="39"/>
      <c r="AF155" s="39"/>
      <c r="AG155" s="39"/>
      <c r="AH155" s="39"/>
      <c r="AI155" s="39"/>
      <c r="AJ155" s="39"/>
      <c r="AK155" s="39"/>
    </row>
    <row r="156" spans="3:37" ht="16.899999999999999" customHeight="1" thickBot="1" x14ac:dyDescent="0.3">
      <c r="D156" s="21">
        <v>3</v>
      </c>
      <c r="K156" s="104" t="s">
        <v>67</v>
      </c>
      <c r="L156" s="116"/>
      <c r="M156" s="64"/>
      <c r="N156" s="66">
        <f>+N152+N154</f>
        <v>8955334.3037812803</v>
      </c>
      <c r="O156" s="101"/>
      <c r="Q156" s="105" t="s">
        <v>67</v>
      </c>
      <c r="R156" s="116"/>
      <c r="S156" s="64"/>
      <c r="T156" s="78"/>
      <c r="U156" s="122">
        <f>+U152+U154</f>
        <v>6320218.6493479256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3:37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</row>
    <row r="158" spans="3:37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</row>
    <row r="159" spans="3:37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</row>
    <row r="160" spans="3:37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2.84%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2.84%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</row>
    <row r="161" spans="3:34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2.8399999999999995E-2</v>
      </c>
      <c r="AC161" s="39"/>
      <c r="AD161" s="97">
        <f>+AB161</f>
        <v>2.8399999999999995E-2</v>
      </c>
      <c r="AE161" s="39"/>
      <c r="AF161" s="39"/>
      <c r="AG161" s="39"/>
      <c r="AH161" s="39"/>
    </row>
    <row r="162" spans="3:34" ht="15" x14ac:dyDescent="0.25">
      <c r="D162" s="21">
        <v>3</v>
      </c>
      <c r="K162" s="99"/>
      <c r="L162" s="100"/>
      <c r="M162" s="64"/>
      <c r="N162" s="22" t="s">
        <v>59</v>
      </c>
      <c r="O162" s="101"/>
      <c r="P162" s="38"/>
      <c r="Q162" s="99"/>
      <c r="R162" s="100"/>
      <c r="S162" s="64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</row>
    <row r="163" spans="3:34" ht="15" x14ac:dyDescent="0.25">
      <c r="D163" s="21">
        <v>3</v>
      </c>
      <c r="K163" s="99"/>
      <c r="L163" s="100"/>
      <c r="M163" s="64"/>
      <c r="N163" s="100"/>
      <c r="O163" s="101"/>
      <c r="P163" s="38"/>
      <c r="Q163" s="99"/>
      <c r="R163" s="100"/>
      <c r="S163" s="64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</row>
    <row r="164" spans="3:34" ht="15" x14ac:dyDescent="0.25">
      <c r="D164" s="21">
        <v>3</v>
      </c>
      <c r="K164" s="104" t="str">
        <f t="shared" ref="K164:K170" si="60">+Q115</f>
        <v>Projected Debt Free Net Cash Flow (10)</v>
      </c>
      <c r="L164" s="100"/>
      <c r="M164" s="100"/>
      <c r="N164" s="100">
        <f>+AB165</f>
        <v>349199.17340576672</v>
      </c>
      <c r="O164" s="101"/>
      <c r="P164" s="38"/>
      <c r="Q164" s="105" t="s">
        <v>60</v>
      </c>
      <c r="R164" s="100"/>
      <c r="S164" s="100">
        <f>+AD165</f>
        <v>301389.29990576673</v>
      </c>
      <c r="T164" s="106">
        <f>+AE165</f>
        <v>14.6</v>
      </c>
      <c r="U164" s="103">
        <f>+T164*S164</f>
        <v>4400283.7786241937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</row>
    <row r="165" spans="3:34" ht="16.899999999999999" customHeight="1" x14ac:dyDescent="0.25">
      <c r="D165" s="21">
        <v>3</v>
      </c>
      <c r="K165" s="104" t="str">
        <f t="shared" si="60"/>
        <v>Divided by Capitalization Factor (9)</v>
      </c>
      <c r="L165" s="100"/>
      <c r="M165" s="78"/>
      <c r="N165" s="108">
        <f>+AB161</f>
        <v>2.8399999999999995E-2</v>
      </c>
      <c r="O165" s="101"/>
      <c r="P165" s="38"/>
      <c r="Q165" s="105" t="s">
        <v>62</v>
      </c>
      <c r="R165" s="100"/>
      <c r="S165" s="78">
        <f>+AD166</f>
        <v>505600.44920576672</v>
      </c>
      <c r="T165" s="106">
        <f>+AE166</f>
        <v>10.1</v>
      </c>
      <c r="U165" s="109">
        <f>+T165*S165</f>
        <v>5106564.5369782439</v>
      </c>
      <c r="V165" s="39"/>
      <c r="W165" s="39"/>
      <c r="X165" s="39"/>
      <c r="Y165" s="39"/>
      <c r="AB165" s="39">
        <f>+AB$52</f>
        <v>349199.17340576672</v>
      </c>
      <c r="AC165" s="39"/>
      <c r="AD165" s="39">
        <f>+AD149</f>
        <v>301389.29990576673</v>
      </c>
      <c r="AE165" s="39">
        <f>+AE$83</f>
        <v>14.6</v>
      </c>
      <c r="AF165" s="39"/>
      <c r="AG165" s="39"/>
      <c r="AH165" s="39"/>
    </row>
    <row r="166" spans="3:34" ht="16.899999999999999" customHeight="1" x14ac:dyDescent="0.25">
      <c r="D166" s="21">
        <v>3</v>
      </c>
      <c r="K166" s="104" t="str">
        <f t="shared" si="60"/>
        <v>13th Year Terminal Value</v>
      </c>
      <c r="L166" s="100"/>
      <c r="M166" s="64"/>
      <c r="N166" s="78">
        <f>+N164/N165</f>
        <v>12295745.542456577</v>
      </c>
      <c r="O166" s="101"/>
      <c r="P166" s="38"/>
      <c r="Q166" s="112" t="s">
        <v>64</v>
      </c>
      <c r="R166" s="100"/>
      <c r="S166" s="64"/>
      <c r="T166" s="100"/>
      <c r="U166" s="113">
        <f>ROUND((0.33*U164)+(0.67*U165),0)</f>
        <v>4873492</v>
      </c>
      <c r="V166" s="39"/>
      <c r="W166" s="39"/>
      <c r="X166" s="39"/>
      <c r="Y166" s="39"/>
      <c r="AB166" s="39"/>
      <c r="AC166" s="39"/>
      <c r="AD166" s="39">
        <f>+AD150</f>
        <v>505600.44920576672</v>
      </c>
      <c r="AE166" s="39">
        <f>+AE$84</f>
        <v>10.1</v>
      </c>
      <c r="AF166" s="39"/>
      <c r="AG166" s="39"/>
      <c r="AH166" s="39"/>
    </row>
    <row r="167" spans="3:34" ht="16.899999999999999" customHeight="1" x14ac:dyDescent="0.25">
      <c r="D167" s="21">
        <v>3</v>
      </c>
      <c r="K167" s="104" t="str">
        <f t="shared" si="60"/>
        <v>13th Year Present Value Factor (12)</v>
      </c>
      <c r="L167" s="100"/>
      <c r="M167" s="64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4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</row>
    <row r="168" spans="3:34" ht="16.899999999999999" customHeight="1" x14ac:dyDescent="0.25">
      <c r="D168" s="21">
        <v>3</v>
      </c>
      <c r="K168" s="104" t="str">
        <f t="shared" si="60"/>
        <v>Present Value of Terminal Value</v>
      </c>
      <c r="L168" s="116"/>
      <c r="M168" s="64"/>
      <c r="N168" s="117">
        <f>+N167*N166</f>
        <v>7677463.5167098856</v>
      </c>
      <c r="O168" s="101"/>
      <c r="P168" s="38"/>
      <c r="Q168" s="105" t="s">
        <v>65</v>
      </c>
      <c r="R168" s="116"/>
      <c r="S168" s="64"/>
      <c r="T168" s="78"/>
      <c r="U168" s="118">
        <f>+U167*U166</f>
        <v>3043008.4047999997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4" ht="16.899999999999999" customHeight="1" x14ac:dyDescent="0.25">
      <c r="D169" s="21">
        <v>3</v>
      </c>
      <c r="K169" s="104" t="str">
        <f t="shared" si="60"/>
        <v>Present Value Debt Free Net</v>
      </c>
      <c r="L169" s="116"/>
      <c r="M169" s="64"/>
      <c r="N169" s="100"/>
      <c r="O169" s="101"/>
      <c r="P169" s="38"/>
      <c r="Q169" s="105" t="s">
        <v>66</v>
      </c>
      <c r="R169" s="116"/>
      <c r="S169" s="64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4" ht="16.899999999999999" customHeight="1" x14ac:dyDescent="0.25">
      <c r="D170" s="21">
        <v>3</v>
      </c>
      <c r="K170" s="104" t="str">
        <f t="shared" si="60"/>
        <v>Cash Flow for 13 Years</v>
      </c>
      <c r="L170" s="116"/>
      <c r="M170" s="64"/>
      <c r="N170" s="121">
        <f>+AB171</f>
        <v>3277210.2445479264</v>
      </c>
      <c r="O170" s="101"/>
      <c r="P170" s="38"/>
      <c r="Q170" s="105" t="str">
        <f>+Q$88</f>
        <v>Cash Flow for 13 Years</v>
      </c>
      <c r="R170" s="116"/>
      <c r="S170" s="64"/>
      <c r="T170" s="78"/>
      <c r="U170" s="109">
        <f>+AD171</f>
        <v>3277210.2445479264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4" ht="16.899999999999999" customHeight="1" x14ac:dyDescent="0.25">
      <c r="D171" s="21">
        <v>3</v>
      </c>
      <c r="K171" s="104"/>
      <c r="L171" s="116"/>
      <c r="M171" s="64"/>
      <c r="N171" s="100"/>
      <c r="O171" s="101"/>
      <c r="P171" s="38"/>
      <c r="Q171" s="105"/>
      <c r="R171" s="116"/>
      <c r="S171" s="64"/>
      <c r="T171" s="100"/>
      <c r="U171" s="103"/>
      <c r="V171" s="39"/>
      <c r="W171" s="39"/>
      <c r="X171" s="39"/>
      <c r="Y171" s="39"/>
      <c r="AB171" s="39">
        <f>+AB72</f>
        <v>3277210.2445479264</v>
      </c>
      <c r="AC171" s="39"/>
      <c r="AD171" s="39">
        <f>+AB171</f>
        <v>3277210.2445479264</v>
      </c>
      <c r="AE171" s="39"/>
      <c r="AF171" s="39"/>
      <c r="AG171" s="39"/>
      <c r="AH171" s="39"/>
    </row>
    <row r="172" spans="3:34" ht="16.899999999999999" customHeight="1" thickBot="1" x14ac:dyDescent="0.3">
      <c r="D172" s="21">
        <v>3</v>
      </c>
      <c r="K172" s="104" t="s">
        <v>67</v>
      </c>
      <c r="L172" s="116"/>
      <c r="M172" s="64"/>
      <c r="N172" s="66">
        <f>+N168+N170</f>
        <v>10954673.761257812</v>
      </c>
      <c r="O172" s="101"/>
      <c r="P172" s="38"/>
      <c r="Q172" s="105" t="s">
        <v>67</v>
      </c>
      <c r="R172" s="116"/>
      <c r="S172" s="64"/>
      <c r="T172" s="78"/>
      <c r="U172" s="122">
        <f>+U168+U170</f>
        <v>6320218.6493479256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4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4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4" ht="15" x14ac:dyDescent="0.25">
      <c r="D175" s="21">
        <v>3</v>
      </c>
      <c r="H175" s="100"/>
      <c r="I175" s="100"/>
      <c r="J175" s="64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4" ht="15.75" x14ac:dyDescent="0.25">
      <c r="D176" s="21">
        <v>3</v>
      </c>
      <c r="G176" s="81" t="s">
        <v>56</v>
      </c>
      <c r="H176" s="100"/>
      <c r="I176" s="100"/>
      <c r="J176" s="64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26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26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26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26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26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26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26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26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26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26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26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26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26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26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4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4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4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4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0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0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4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4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1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1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0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1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1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16</v>
      </c>
      <c r="D248" s="21">
        <v>1</v>
      </c>
      <c r="G248" s="162" t="str">
        <f t="shared" si="61"/>
        <v>(4)</v>
      </c>
      <c r="H248" s="1" t="str">
        <f>+"Line "&amp;B248&amp;" + line "&amp;B248-2&amp;"."</f>
        <v>Line 16 + line 14.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16</v>
      </c>
      <c r="D249" s="21">
        <v>1</v>
      </c>
      <c r="G249" s="162" t="str">
        <f t="shared" si="61"/>
        <v>(5)</v>
      </c>
      <c r="H249" s="1" t="str">
        <f>+"Line "&amp;B249&amp;"."</f>
        <v>Line 16.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1</v>
      </c>
      <c r="G250" s="159" t="str">
        <f t="shared" si="61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0</v>
      </c>
      <c r="F251" s="48"/>
      <c r="G251" s="159" t="str">
        <f t="shared" si="61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1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0</v>
      </c>
      <c r="G256" s="159" t="str">
        <f t="shared" ref="G256:G264" si="62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0</v>
      </c>
      <c r="G257" s="159" t="str">
        <f t="shared" si="62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1</v>
      </c>
      <c r="G258" s="159" t="str">
        <f t="shared" si="62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1</v>
      </c>
      <c r="G259" s="159" t="str">
        <f t="shared" si="62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26</v>
      </c>
      <c r="D260" s="21">
        <v>1</v>
      </c>
      <c r="G260" s="162" t="str">
        <f t="shared" si="62"/>
        <v>(10)</v>
      </c>
      <c r="H260" s="1" t="str">
        <f>+"Final year shown, line "&amp;B260&amp;"."</f>
        <v>Final year shown, line 26.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28</v>
      </c>
      <c r="D261" s="21">
        <f>IF($C$10="SUBJECT",0,1)</f>
        <v>1</v>
      </c>
      <c r="G261" s="162" t="str">
        <f t="shared" si="62"/>
        <v>(11)</v>
      </c>
      <c r="H261" s="1" t="str">
        <f>+"Final year shown, line "&amp;B261&amp;"."</f>
        <v>Final year shown, line 28.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28</v>
      </c>
      <c r="D262" s="21">
        <f>IF($C$10="SUBJECT",0,1)</f>
        <v>1</v>
      </c>
      <c r="G262" s="162" t="str">
        <f t="shared" si="62"/>
        <v>(12)</v>
      </c>
      <c r="H262" s="1" t="str">
        <f>+"Final year shown, line "&amp;B262&amp;"."</f>
        <v>Final year shown, line 28.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2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2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3">+H19</f>
        <v>2013</v>
      </c>
      <c r="I285" s="20">
        <f t="shared" si="63"/>
        <v>2014</v>
      </c>
      <c r="J285" s="20">
        <f t="shared" si="63"/>
        <v>2015</v>
      </c>
      <c r="K285" s="20">
        <f t="shared" si="63"/>
        <v>2016</v>
      </c>
      <c r="L285" s="20">
        <f t="shared" si="63"/>
        <v>2017</v>
      </c>
      <c r="M285" s="20">
        <f t="shared" si="63"/>
        <v>2018</v>
      </c>
      <c r="N285" s="178">
        <f t="shared" si="63"/>
        <v>2019</v>
      </c>
      <c r="O285" s="178">
        <f t="shared" si="63"/>
        <v>2020</v>
      </c>
      <c r="P285" s="20">
        <f t="shared" si="63"/>
        <v>2021</v>
      </c>
      <c r="Q285" s="20">
        <f t="shared" si="63"/>
        <v>2022</v>
      </c>
      <c r="R285" s="20">
        <f t="shared" si="63"/>
        <v>2023</v>
      </c>
      <c r="S285" s="20">
        <f t="shared" si="63"/>
        <v>2024</v>
      </c>
      <c r="T285" s="20">
        <f t="shared" si="63"/>
        <v>2025</v>
      </c>
      <c r="U285" s="20">
        <f t="shared" si="63"/>
        <v>2026</v>
      </c>
      <c r="V285" s="20">
        <f t="shared" si="63"/>
        <v>2027</v>
      </c>
      <c r="W285" s="20">
        <f t="shared" si="63"/>
        <v>2028</v>
      </c>
      <c r="X285" s="20">
        <f t="shared" si="63"/>
        <v>2029</v>
      </c>
      <c r="Y285" s="20">
        <f t="shared" si="63"/>
        <v>2030</v>
      </c>
      <c r="Z285" s="20">
        <f t="shared" si="63"/>
        <v>2031</v>
      </c>
      <c r="AA285" s="20">
        <f t="shared" ref="AA285" si="64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5">+I449</f>
        <v>0</v>
      </c>
      <c r="J287" s="179">
        <f t="shared" si="65"/>
        <v>0</v>
      </c>
      <c r="K287" s="179"/>
      <c r="L287" s="179">
        <v>10225921</v>
      </c>
      <c r="M287" s="179">
        <f>+L287+M304-M309</f>
        <v>10225921</v>
      </c>
      <c r="N287" s="179">
        <f>+M287+N304-N309</f>
        <v>10365471</v>
      </c>
      <c r="O287" s="179">
        <f>+N287+O304-O309</f>
        <v>10505805</v>
      </c>
      <c r="P287" s="179">
        <f>+O287+P304-P309</f>
        <v>10648048</v>
      </c>
      <c r="Q287" s="179">
        <f>+P287+Q304-Q309</f>
        <v>10792217</v>
      </c>
      <c r="R287" s="179">
        <f>+Q287+R304-R309</f>
        <v>10938338</v>
      </c>
      <c r="S287" s="179">
        <f>+R287+S304-S309</f>
        <v>11086438</v>
      </c>
      <c r="T287" s="179">
        <f>+S287+T304-T309</f>
        <v>11236543</v>
      </c>
      <c r="U287" s="179">
        <f>+T287+U304-U309</f>
        <v>11388405</v>
      </c>
      <c r="V287" s="179">
        <f>+U287+V304-V309</f>
        <v>11542320</v>
      </c>
      <c r="W287" s="179">
        <f>+V287+W304-W309</f>
        <v>11698315</v>
      </c>
      <c r="X287" s="179">
        <f>+W287+X304-X309</f>
        <v>11856418</v>
      </c>
      <c r="Y287" s="179">
        <f>+X287+Y304-Y309</f>
        <v>12016657</v>
      </c>
      <c r="Z287" s="179">
        <f>+Y287+Z304-Z309</f>
        <v>12179062</v>
      </c>
      <c r="AA287" s="20"/>
    </row>
    <row r="288" spans="4:29" x14ac:dyDescent="0.2">
      <c r="G288" s="1" t="s">
        <v>116</v>
      </c>
      <c r="H288" s="179">
        <f t="shared" ref="H288:J288" si="66">+H450</f>
        <v>0</v>
      </c>
      <c r="I288" s="179">
        <f t="shared" si="66"/>
        <v>0</v>
      </c>
      <c r="J288" s="179">
        <f t="shared" si="66"/>
        <v>0</v>
      </c>
      <c r="K288" s="179"/>
      <c r="L288" s="179">
        <v>3483924</v>
      </c>
      <c r="M288" s="179">
        <f>+L288+M312-M309</f>
        <v>3656742.0649000001</v>
      </c>
      <c r="N288" s="179">
        <f>+M288+N312-N309</f>
        <v>3805903.9335000003</v>
      </c>
      <c r="O288" s="179">
        <f>+N288+O312-O309</f>
        <v>3957291.8649000004</v>
      </c>
      <c r="P288" s="179">
        <f>+O288+P312-P309</f>
        <v>4110727.7456000005</v>
      </c>
      <c r="Q288" s="179">
        <f>+P288+Q312-Q309</f>
        <v>4266240.7870000005</v>
      </c>
      <c r="R288" s="179">
        <f>+Q288+R312-R309</f>
        <v>4423860.4709000001</v>
      </c>
      <c r="S288" s="179">
        <f>+R288+S312-S309</f>
        <v>4583613.7016000003</v>
      </c>
      <c r="T288" s="179">
        <f>+S288+T312-T309</f>
        <v>4745529.8397000004</v>
      </c>
      <c r="U288" s="179">
        <f>+T288+U312-U309</f>
        <v>4909685.5133000007</v>
      </c>
      <c r="V288" s="179">
        <f>+U288+V312-V309</f>
        <v>5076059.5369000006</v>
      </c>
      <c r="W288" s="179">
        <f>+V288+W312-W309</f>
        <v>5244682.5217000004</v>
      </c>
      <c r="X288" s="179">
        <f>+W288+X312-X309</f>
        <v>5415584.5352000007</v>
      </c>
      <c r="Y288" s="179">
        <f>+X288+Y312-Y309</f>
        <v>5588795.1012000004</v>
      </c>
      <c r="Z288" s="179">
        <f>+Y288+Z312-Z309</f>
        <v>5764346.2505000001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7">+I287-I288</f>
        <v>0</v>
      </c>
      <c r="J289" s="181">
        <f t="shared" si="67"/>
        <v>0</v>
      </c>
      <c r="K289" s="181"/>
      <c r="L289" s="181">
        <v>6741997</v>
      </c>
      <c r="M289" s="181">
        <f t="shared" si="67"/>
        <v>6569178.9351000004</v>
      </c>
      <c r="N289" s="181">
        <f t="shared" si="67"/>
        <v>6559567.0664999997</v>
      </c>
      <c r="O289" s="181">
        <f t="shared" si="67"/>
        <v>6548513.1350999996</v>
      </c>
      <c r="P289" s="181">
        <f t="shared" si="67"/>
        <v>6537320.2544</v>
      </c>
      <c r="Q289" s="181">
        <f t="shared" si="67"/>
        <v>6525976.2129999995</v>
      </c>
      <c r="R289" s="181">
        <f t="shared" si="67"/>
        <v>6514477.5290999999</v>
      </c>
      <c r="S289" s="181">
        <f t="shared" si="67"/>
        <v>6502824.2983999997</v>
      </c>
      <c r="T289" s="181">
        <f t="shared" si="67"/>
        <v>6491013.1602999996</v>
      </c>
      <c r="U289" s="181">
        <f t="shared" si="67"/>
        <v>6478719.4866999993</v>
      </c>
      <c r="V289" s="181">
        <f t="shared" si="67"/>
        <v>6466260.4630999994</v>
      </c>
      <c r="W289" s="181">
        <f t="shared" si="67"/>
        <v>6453632.4782999996</v>
      </c>
      <c r="X289" s="181">
        <f t="shared" si="67"/>
        <v>6440833.4647999993</v>
      </c>
      <c r="Y289" s="181">
        <f t="shared" si="67"/>
        <v>6427861.8987999996</v>
      </c>
      <c r="Z289" s="181">
        <f t="shared" si="67"/>
        <v>6414715.7494999999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8">+I453</f>
        <v>0</v>
      </c>
      <c r="J291" s="179">
        <f t="shared" si="68"/>
        <v>0</v>
      </c>
      <c r="K291" s="179">
        <f t="shared" si="68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8"/>
        <v>0</v>
      </c>
      <c r="J292" s="179">
        <f t="shared" si="68"/>
        <v>0</v>
      </c>
      <c r="K292" s="179">
        <f t="shared" si="68"/>
        <v>5675460</v>
      </c>
      <c r="L292" s="183">
        <f>+K292</f>
        <v>5675460</v>
      </c>
      <c r="M292" s="183">
        <f t="shared" ref="M292:N292" si="69">+L292</f>
        <v>5675460</v>
      </c>
      <c r="N292" s="183">
        <f t="shared" si="69"/>
        <v>5675460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0">SUM(I291:I292)</f>
        <v>0</v>
      </c>
      <c r="J293" s="181">
        <f t="shared" si="70"/>
        <v>0</v>
      </c>
      <c r="K293" s="181">
        <f t="shared" si="70"/>
        <v>5675460</v>
      </c>
      <c r="L293" s="181">
        <f t="shared" si="70"/>
        <v>5675460</v>
      </c>
      <c r="M293" s="187">
        <f>SUM(M291:M292)</f>
        <v>5675460</v>
      </c>
      <c r="N293" s="187">
        <f>SUM(N291:N292)</f>
        <v>5675460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1.6899999999999998E-2</v>
      </c>
      <c r="L296" s="188">
        <v>1.6899999999999998E-2</v>
      </c>
      <c r="M296" s="188">
        <v>1.6899999999999998E-2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1">+M323</f>
        <v>0</v>
      </c>
      <c r="N300" s="166">
        <f t="shared" si="71"/>
        <v>164177.161655</v>
      </c>
      <c r="O300" s="166">
        <f t="shared" si="71"/>
        <v>165099.42516999997</v>
      </c>
      <c r="P300" s="166">
        <f t="shared" si="71"/>
        <v>167345.28482999999</v>
      </c>
      <c r="Q300" s="166">
        <f t="shared" si="71"/>
        <v>169610.98666499997</v>
      </c>
      <c r="R300" s="166">
        <f t="shared" si="71"/>
        <v>171907.28932999997</v>
      </c>
      <c r="S300" s="166">
        <f t="shared" si="71"/>
        <v>174235.39970499999</v>
      </c>
      <c r="T300" s="166">
        <f t="shared" si="71"/>
        <v>176593.81916499996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2">IF($C$10="IOU",1-$K301,1)</f>
        <v>1</v>
      </c>
      <c r="O301" s="190">
        <f t="shared" si="72"/>
        <v>1</v>
      </c>
      <c r="P301" s="190">
        <f t="shared" si="72"/>
        <v>1</v>
      </c>
      <c r="Q301" s="190">
        <f t="shared" si="72"/>
        <v>1</v>
      </c>
      <c r="R301" s="190">
        <f t="shared" si="72"/>
        <v>1</v>
      </c>
      <c r="S301" s="190">
        <f t="shared" si="72"/>
        <v>1</v>
      </c>
      <c r="T301" s="190">
        <f t="shared" si="72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3">+Q303</f>
        <v>1.5900000000000001E-2</v>
      </c>
      <c r="S303" s="188">
        <f t="shared" si="73"/>
        <v>1.5900000000000001E-2</v>
      </c>
      <c r="T303" s="188">
        <f t="shared" si="73"/>
        <v>1.5900000000000001E-2</v>
      </c>
      <c r="U303" s="188">
        <f t="shared" si="73"/>
        <v>1.5900000000000001E-2</v>
      </c>
      <c r="V303" s="188">
        <f t="shared" si="73"/>
        <v>1.5900000000000001E-2</v>
      </c>
      <c r="W303" s="188">
        <f t="shared" si="73"/>
        <v>1.5900000000000001E-2</v>
      </c>
      <c r="X303" s="188">
        <f t="shared" si="73"/>
        <v>1.5900000000000001E-2</v>
      </c>
      <c r="Y303" s="188">
        <f t="shared" si="73"/>
        <v>1.5900000000000001E-2</v>
      </c>
      <c r="Z303" s="188">
        <f t="shared" si="73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4">+M323</f>
        <v>0</v>
      </c>
      <c r="N304" s="166">
        <f>+ROUND(+N301*N300,0)</f>
        <v>164177</v>
      </c>
      <c r="O304" s="166">
        <f t="shared" ref="O304:T304" si="75">+ROUND(+O301*O300,0)</f>
        <v>165099</v>
      </c>
      <c r="P304" s="166">
        <f t="shared" si="75"/>
        <v>167345</v>
      </c>
      <c r="Q304" s="166">
        <f t="shared" si="75"/>
        <v>169611</v>
      </c>
      <c r="R304" s="166">
        <f t="shared" si="75"/>
        <v>171907</v>
      </c>
      <c r="S304" s="166">
        <f t="shared" si="75"/>
        <v>174235</v>
      </c>
      <c r="T304" s="166">
        <f t="shared" si="75"/>
        <v>176594</v>
      </c>
      <c r="U304" s="192">
        <f>ROUND(+U303*T287,0)</f>
        <v>178661</v>
      </c>
      <c r="V304" s="192">
        <f>ROUND(+V303*U287,0)</f>
        <v>181076</v>
      </c>
      <c r="W304" s="192">
        <f>ROUND(+W303*V287,0)</f>
        <v>183523</v>
      </c>
      <c r="X304" s="192">
        <f>ROUND(+X303*W287,0)</f>
        <v>186003</v>
      </c>
      <c r="Y304" s="192">
        <f>ROUND(+Y303*X287,0)</f>
        <v>188517</v>
      </c>
      <c r="Z304" s="192">
        <f>ROUND(+Z303*Y287,0)</f>
        <v>191065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1.6899999999999998E-2</v>
      </c>
      <c r="M305" s="193">
        <f>+M296</f>
        <v>1.6899999999999998E-2</v>
      </c>
      <c r="N305" s="193">
        <f>+M296</f>
        <v>1.6899999999999998E-2</v>
      </c>
      <c r="O305" s="193">
        <f t="shared" ref="O305:Z305" si="76">+N305</f>
        <v>1.6899999999999998E-2</v>
      </c>
      <c r="P305" s="193">
        <f t="shared" si="76"/>
        <v>1.6899999999999998E-2</v>
      </c>
      <c r="Q305" s="193">
        <f t="shared" si="76"/>
        <v>1.6899999999999998E-2</v>
      </c>
      <c r="R305" s="193">
        <f t="shared" si="76"/>
        <v>1.6899999999999998E-2</v>
      </c>
      <c r="S305" s="193">
        <f t="shared" si="76"/>
        <v>1.6899999999999998E-2</v>
      </c>
      <c r="T305" s="193">
        <f t="shared" si="76"/>
        <v>1.6899999999999998E-2</v>
      </c>
      <c r="U305" s="193">
        <f t="shared" si="76"/>
        <v>1.6899999999999998E-2</v>
      </c>
      <c r="V305" s="193">
        <f t="shared" si="76"/>
        <v>1.6899999999999998E-2</v>
      </c>
      <c r="W305" s="193">
        <f t="shared" si="76"/>
        <v>1.6899999999999998E-2</v>
      </c>
      <c r="X305" s="193">
        <f t="shared" si="76"/>
        <v>1.6899999999999998E-2</v>
      </c>
      <c r="Y305" s="193">
        <f t="shared" si="76"/>
        <v>1.6899999999999998E-2</v>
      </c>
      <c r="Z305" s="193">
        <f t="shared" si="76"/>
        <v>1.6899999999999998E-2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8.4499999999999992E-3</v>
      </c>
      <c r="M306" s="188">
        <f>+M305*0.5</f>
        <v>8.4499999999999992E-3</v>
      </c>
      <c r="N306" s="188">
        <f>+N305*0.5</f>
        <v>8.4499999999999992E-3</v>
      </c>
      <c r="O306" s="188">
        <f t="shared" ref="O306:Z306" si="77">+O305*0.5</f>
        <v>8.4499999999999992E-3</v>
      </c>
      <c r="P306" s="188">
        <f t="shared" si="77"/>
        <v>8.4499999999999992E-3</v>
      </c>
      <c r="Q306" s="188">
        <f t="shared" si="77"/>
        <v>8.4499999999999992E-3</v>
      </c>
      <c r="R306" s="188">
        <f t="shared" si="77"/>
        <v>8.4499999999999992E-3</v>
      </c>
      <c r="S306" s="188">
        <f t="shared" si="77"/>
        <v>8.4499999999999992E-3</v>
      </c>
      <c r="T306" s="188">
        <f t="shared" si="77"/>
        <v>8.4499999999999992E-3</v>
      </c>
      <c r="U306" s="188">
        <f t="shared" si="77"/>
        <v>8.4499999999999992E-3</v>
      </c>
      <c r="V306" s="188">
        <f t="shared" si="77"/>
        <v>8.4499999999999992E-3</v>
      </c>
      <c r="W306" s="188">
        <f t="shared" si="77"/>
        <v>8.4499999999999992E-3</v>
      </c>
      <c r="X306" s="188">
        <f t="shared" si="77"/>
        <v>8.4499999999999992E-3</v>
      </c>
      <c r="Y306" s="188">
        <f t="shared" si="77"/>
        <v>8.4499999999999992E-3</v>
      </c>
      <c r="Z306" s="188">
        <f t="shared" si="77"/>
        <v>8.4499999999999992E-3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1387</v>
      </c>
      <c r="O307" s="192">
        <f t="shared" ref="O307:Z307" si="78">ROUND(+O306*O304,0)</f>
        <v>1395</v>
      </c>
      <c r="P307" s="192">
        <f t="shared" si="78"/>
        <v>1414</v>
      </c>
      <c r="Q307" s="192">
        <f t="shared" si="78"/>
        <v>1433</v>
      </c>
      <c r="R307" s="192">
        <f t="shared" si="78"/>
        <v>1453</v>
      </c>
      <c r="S307" s="192">
        <f t="shared" si="78"/>
        <v>1472</v>
      </c>
      <c r="T307" s="192">
        <f t="shared" si="78"/>
        <v>1492</v>
      </c>
      <c r="U307" s="192">
        <f t="shared" si="78"/>
        <v>1510</v>
      </c>
      <c r="V307" s="192">
        <f t="shared" si="78"/>
        <v>1530</v>
      </c>
      <c r="W307" s="192">
        <f t="shared" si="78"/>
        <v>1551</v>
      </c>
      <c r="X307" s="192">
        <f t="shared" si="78"/>
        <v>1572</v>
      </c>
      <c r="Y307" s="192">
        <f t="shared" si="78"/>
        <v>1593</v>
      </c>
      <c r="Z307" s="192">
        <f t="shared" si="78"/>
        <v>1614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79">+N308</f>
        <v>0.15</v>
      </c>
      <c r="P308" s="194">
        <f t="shared" si="79"/>
        <v>0.15</v>
      </c>
      <c r="Q308" s="194">
        <f t="shared" si="79"/>
        <v>0.15</v>
      </c>
      <c r="R308" s="194">
        <f t="shared" si="79"/>
        <v>0.15</v>
      </c>
      <c r="S308" s="194">
        <f t="shared" si="79"/>
        <v>0.15</v>
      </c>
      <c r="T308" s="194">
        <f t="shared" si="79"/>
        <v>0.15</v>
      </c>
      <c r="U308" s="194">
        <f t="shared" si="79"/>
        <v>0.15</v>
      </c>
      <c r="V308" s="194">
        <f t="shared" si="79"/>
        <v>0.15</v>
      </c>
      <c r="W308" s="194">
        <f t="shared" si="79"/>
        <v>0.15</v>
      </c>
      <c r="X308" s="194">
        <f t="shared" si="79"/>
        <v>0.15</v>
      </c>
      <c r="Y308" s="194">
        <f t="shared" si="79"/>
        <v>0.15</v>
      </c>
      <c r="Z308" s="194">
        <f t="shared" si="79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0">ROUND(+N308*N304,0)</f>
        <v>24627</v>
      </c>
      <c r="O309" s="192">
        <f t="shared" si="80"/>
        <v>24765</v>
      </c>
      <c r="P309" s="192">
        <f t="shared" si="80"/>
        <v>25102</v>
      </c>
      <c r="Q309" s="192">
        <f t="shared" si="80"/>
        <v>25442</v>
      </c>
      <c r="R309" s="192">
        <f t="shared" si="80"/>
        <v>25786</v>
      </c>
      <c r="S309" s="192">
        <f t="shared" si="80"/>
        <v>26135</v>
      </c>
      <c r="T309" s="192">
        <f t="shared" si="80"/>
        <v>26489</v>
      </c>
      <c r="U309" s="192">
        <f t="shared" si="80"/>
        <v>26799</v>
      </c>
      <c r="V309" s="192">
        <f t="shared" si="80"/>
        <v>27161</v>
      </c>
      <c r="W309" s="192">
        <f t="shared" si="80"/>
        <v>27528</v>
      </c>
      <c r="X309" s="192">
        <f t="shared" si="80"/>
        <v>27900</v>
      </c>
      <c r="Y309" s="192">
        <f t="shared" si="80"/>
        <v>28278</v>
      </c>
      <c r="Z309" s="192">
        <f t="shared" si="80"/>
        <v>28660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1">+M309*M305</f>
        <v>0</v>
      </c>
      <c r="N310" s="192">
        <f t="shared" si="81"/>
        <v>416.19629999999995</v>
      </c>
      <c r="O310" s="192">
        <f t="shared" si="81"/>
        <v>418.52849999999995</v>
      </c>
      <c r="P310" s="192">
        <f t="shared" si="81"/>
        <v>424.22379999999998</v>
      </c>
      <c r="Q310" s="192">
        <f t="shared" si="81"/>
        <v>429.96979999999996</v>
      </c>
      <c r="R310" s="192">
        <f t="shared" si="81"/>
        <v>435.78339999999997</v>
      </c>
      <c r="S310" s="192">
        <f t="shared" si="81"/>
        <v>441.68149999999997</v>
      </c>
      <c r="T310" s="192">
        <f t="shared" si="81"/>
        <v>447.66409999999996</v>
      </c>
      <c r="U310" s="192">
        <f t="shared" si="81"/>
        <v>452.90309999999994</v>
      </c>
      <c r="V310" s="192">
        <f t="shared" si="81"/>
        <v>459.02089999999998</v>
      </c>
      <c r="W310" s="192">
        <f t="shared" si="81"/>
        <v>465.22319999999996</v>
      </c>
      <c r="X310" s="192">
        <f t="shared" si="81"/>
        <v>471.50999999999993</v>
      </c>
      <c r="Y310" s="192">
        <f t="shared" si="81"/>
        <v>477.89819999999997</v>
      </c>
      <c r="Z310" s="192">
        <f t="shared" si="81"/>
        <v>484.35399999999993</v>
      </c>
      <c r="AA310" s="20"/>
    </row>
    <row r="311" spans="7:27" x14ac:dyDescent="0.2">
      <c r="H311" s="20"/>
      <c r="K311" s="7" t="s">
        <v>132</v>
      </c>
      <c r="L311" s="192">
        <f>+K314</f>
        <v>131221</v>
      </c>
      <c r="M311" s="192">
        <f>+M305*L287</f>
        <v>172818.0649</v>
      </c>
      <c r="N311" s="192">
        <f>+N305*M287</f>
        <v>172818.0649</v>
      </c>
      <c r="O311" s="192">
        <f>+O305*N287</f>
        <v>175176.45989999999</v>
      </c>
      <c r="P311" s="192">
        <f>+P305*O287</f>
        <v>177548.10449999999</v>
      </c>
      <c r="Q311" s="192">
        <f>+Q305*P287</f>
        <v>179952.01119999998</v>
      </c>
      <c r="R311" s="192">
        <f>+R305*Q287</f>
        <v>182388.46729999999</v>
      </c>
      <c r="S311" s="192">
        <f>+S305*R287</f>
        <v>184857.91219999999</v>
      </c>
      <c r="T311" s="192">
        <f>+T305*S287</f>
        <v>187360.80219999998</v>
      </c>
      <c r="U311" s="192">
        <f>+U305*T287</f>
        <v>189897.57669999998</v>
      </c>
      <c r="V311" s="192">
        <f>+V305*U287</f>
        <v>192464.04449999999</v>
      </c>
      <c r="W311" s="192">
        <f>+W305*V287</f>
        <v>195065.20799999998</v>
      </c>
      <c r="X311" s="192">
        <f>+X305*W287</f>
        <v>197701.52349999998</v>
      </c>
      <c r="Y311" s="192">
        <f>+Y305*X287</f>
        <v>200373.46419999999</v>
      </c>
      <c r="Z311" s="192">
        <f>+Z305*Y287</f>
        <v>203081.50329999998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131221</v>
      </c>
      <c r="M312" s="181">
        <f t="shared" ref="M312:Z312" si="82">+M311+M307-M310</f>
        <v>172818.0649</v>
      </c>
      <c r="N312" s="181">
        <f t="shared" si="82"/>
        <v>173788.86859999999</v>
      </c>
      <c r="O312" s="181">
        <f t="shared" si="82"/>
        <v>176152.9314</v>
      </c>
      <c r="P312" s="181">
        <f t="shared" si="82"/>
        <v>178537.88069999998</v>
      </c>
      <c r="Q312" s="181">
        <f t="shared" si="82"/>
        <v>180955.04139999999</v>
      </c>
      <c r="R312" s="181">
        <f t="shared" si="82"/>
        <v>183405.6839</v>
      </c>
      <c r="S312" s="181">
        <f t="shared" si="82"/>
        <v>185888.23069999999</v>
      </c>
      <c r="T312" s="181">
        <f t="shared" si="82"/>
        <v>188405.13809999998</v>
      </c>
      <c r="U312" s="181">
        <f t="shared" si="82"/>
        <v>190954.67359999998</v>
      </c>
      <c r="V312" s="181">
        <f t="shared" si="82"/>
        <v>193535.02359999999</v>
      </c>
      <c r="W312" s="181">
        <f t="shared" si="82"/>
        <v>196150.98479999998</v>
      </c>
      <c r="X312" s="181">
        <f t="shared" si="82"/>
        <v>198802.01349999997</v>
      </c>
      <c r="Y312" s="181">
        <f t="shared" si="82"/>
        <v>201488.56599999999</v>
      </c>
      <c r="Z312" s="181">
        <f t="shared" si="82"/>
        <v>204211.14929999999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131221</v>
      </c>
      <c r="L314" s="195">
        <f>+L312</f>
        <v>131221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164177.161655</v>
      </c>
      <c r="O323" s="192">
        <f>+N312*0.95</f>
        <v>165099.42516999997</v>
      </c>
      <c r="P323" s="192">
        <f>+O312*0.95</f>
        <v>167345.28482999999</v>
      </c>
      <c r="Q323" s="192">
        <f>+P312*0.95</f>
        <v>169610.98666499997</v>
      </c>
      <c r="R323" s="192">
        <f t="shared" ref="R323:T323" si="83">+Q312*0.95</f>
        <v>171907.28932999997</v>
      </c>
      <c r="S323" s="192">
        <f t="shared" si="83"/>
        <v>174235.39970499999</v>
      </c>
      <c r="T323" s="192">
        <f t="shared" si="83"/>
        <v>176593.81916499996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61750</v>
      </c>
      <c r="N330" s="198">
        <f t="shared" ref="N330:Q330" si="84">4750*N334</f>
        <v>61750</v>
      </c>
      <c r="O330" s="198">
        <f t="shared" si="84"/>
        <v>61750</v>
      </c>
      <c r="P330" s="198">
        <f t="shared" si="84"/>
        <v>61750</v>
      </c>
      <c r="Q330" s="198">
        <f t="shared" si="84"/>
        <v>61750</v>
      </c>
      <c r="R330" s="199">
        <f>4750*R334</f>
        <v>66500</v>
      </c>
      <c r="S330" s="199">
        <f t="shared" ref="S330:Z330" si="85">4750*S334</f>
        <v>66500</v>
      </c>
      <c r="T330" s="199">
        <f t="shared" si="85"/>
        <v>66500</v>
      </c>
      <c r="U330" s="199">
        <f t="shared" si="85"/>
        <v>66500</v>
      </c>
      <c r="V330" s="199">
        <f t="shared" si="85"/>
        <v>66500</v>
      </c>
      <c r="W330" s="199">
        <f t="shared" si="85"/>
        <v>66500</v>
      </c>
      <c r="X330" s="199">
        <f t="shared" si="85"/>
        <v>66500</v>
      </c>
      <c r="Y330" s="199">
        <f t="shared" si="85"/>
        <v>66500</v>
      </c>
      <c r="Z330" s="199">
        <f t="shared" si="85"/>
        <v>66500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1829023</v>
      </c>
      <c r="L332" s="38">
        <f>+L21</f>
        <v>1888466.2475000001</v>
      </c>
      <c r="M332" s="38">
        <f>+M21</f>
        <v>2066795.9899999998</v>
      </c>
      <c r="N332" s="38">
        <f>ROUND(+N335*N337,0)</f>
        <v>1221990</v>
      </c>
      <c r="O332" s="38">
        <f>ROUND(+O335*O337,0)</f>
        <v>1227970</v>
      </c>
      <c r="P332" s="38">
        <f>ROUND(+P335*P337,0)</f>
        <v>1233950</v>
      </c>
      <c r="Q332" s="39">
        <f>ROUND(+Q335*Q337,0)</f>
        <v>1239930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2637</v>
      </c>
      <c r="L333" s="1">
        <f>1186+1451</f>
        <v>2637</v>
      </c>
      <c r="M333" s="1">
        <f t="shared" ref="M333:Z333" si="86">+L333+M334</f>
        <v>2650</v>
      </c>
      <c r="N333" s="1">
        <f t="shared" si="86"/>
        <v>2663</v>
      </c>
      <c r="O333" s="1">
        <f t="shared" si="86"/>
        <v>2676</v>
      </c>
      <c r="P333" s="1">
        <f t="shared" si="86"/>
        <v>2689</v>
      </c>
      <c r="Q333" s="1">
        <f t="shared" si="86"/>
        <v>2702</v>
      </c>
      <c r="R333" s="1">
        <f t="shared" si="86"/>
        <v>2716</v>
      </c>
      <c r="S333" s="1">
        <f t="shared" si="86"/>
        <v>2730</v>
      </c>
      <c r="T333" s="1">
        <f t="shared" si="86"/>
        <v>2744</v>
      </c>
      <c r="U333" s="1">
        <f t="shared" si="86"/>
        <v>2758</v>
      </c>
      <c r="V333" s="1">
        <f t="shared" si="86"/>
        <v>2772</v>
      </c>
      <c r="W333" s="1">
        <f t="shared" si="86"/>
        <v>2786</v>
      </c>
      <c r="X333" s="1">
        <f t="shared" si="86"/>
        <v>2800</v>
      </c>
      <c r="Y333" s="1">
        <f t="shared" si="86"/>
        <v>2814</v>
      </c>
      <c r="Z333" s="1">
        <f t="shared" si="86"/>
        <v>2828</v>
      </c>
      <c r="AA333" s="20"/>
    </row>
    <row r="334" spans="7:27" ht="13.5" thickBot="1" x14ac:dyDescent="0.25">
      <c r="L334" s="200">
        <v>0</v>
      </c>
      <c r="M334" s="201">
        <f>ROUND(0.005*L333,0)</f>
        <v>13</v>
      </c>
      <c r="N334" s="201">
        <f t="shared" ref="N334:Q334" si="87">ROUND(0.005*M333,0)</f>
        <v>13</v>
      </c>
      <c r="O334" s="201">
        <f t="shared" si="87"/>
        <v>13</v>
      </c>
      <c r="P334" s="201">
        <f t="shared" si="87"/>
        <v>13</v>
      </c>
      <c r="Q334" s="201">
        <f t="shared" si="87"/>
        <v>13</v>
      </c>
      <c r="R334" s="7">
        <f>ROUND(+Q333*(R344),0)</f>
        <v>14</v>
      </c>
      <c r="S334" s="7">
        <f t="shared" ref="S334:Z334" si="88">ROUND(+R333*(S344),0)</f>
        <v>14</v>
      </c>
      <c r="T334" s="7">
        <f t="shared" si="88"/>
        <v>14</v>
      </c>
      <c r="U334" s="7">
        <f t="shared" si="88"/>
        <v>14</v>
      </c>
      <c r="V334" s="7">
        <f t="shared" si="88"/>
        <v>14</v>
      </c>
      <c r="W334" s="7">
        <f t="shared" si="88"/>
        <v>14</v>
      </c>
      <c r="X334" s="7">
        <f t="shared" si="88"/>
        <v>14</v>
      </c>
      <c r="Y334" s="7">
        <f t="shared" si="88"/>
        <v>14</v>
      </c>
      <c r="Z334" s="7">
        <f t="shared" si="88"/>
        <v>14</v>
      </c>
      <c r="AA334" s="20"/>
    </row>
    <row r="335" spans="7:27" x14ac:dyDescent="0.2">
      <c r="I335" s="1">
        <f t="shared" ref="I335:Q335" si="89">AVERAGE(H333:I333)</f>
        <v>0</v>
      </c>
      <c r="J335" s="1">
        <f t="shared" si="89"/>
        <v>0</v>
      </c>
      <c r="K335" s="1">
        <f t="shared" si="89"/>
        <v>1318.5</v>
      </c>
      <c r="L335" s="1">
        <f t="shared" si="89"/>
        <v>2637</v>
      </c>
      <c r="M335" s="1">
        <f t="shared" si="89"/>
        <v>2643.5</v>
      </c>
      <c r="N335" s="1">
        <f t="shared" si="89"/>
        <v>2656.5</v>
      </c>
      <c r="O335" s="1">
        <f t="shared" si="89"/>
        <v>2669.5</v>
      </c>
      <c r="P335" s="1">
        <f t="shared" si="89"/>
        <v>2682.5</v>
      </c>
      <c r="Q335" s="1">
        <f t="shared" si="89"/>
        <v>2695.5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693.5999241562381</v>
      </c>
      <c r="L336" s="1">
        <f>+L332/L333</f>
        <v>716.14192169131593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0">+I332/I335</f>
        <v>#DIV/0!</v>
      </c>
      <c r="J338" s="1" t="e">
        <f t="shared" si="90"/>
        <v>#DIV/0!</v>
      </c>
      <c r="K338" s="1">
        <f t="shared" si="90"/>
        <v>1387.1998483124762</v>
      </c>
      <c r="L338" s="1">
        <f t="shared" si="90"/>
        <v>716.14192169131593</v>
      </c>
      <c r="M338" s="1">
        <f t="shared" si="90"/>
        <v>781.84073765840731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2343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2343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1">+M334</f>
        <v>13</v>
      </c>
      <c r="N344" s="205">
        <f t="shared" si="91"/>
        <v>13</v>
      </c>
      <c r="O344" s="205">
        <f t="shared" si="91"/>
        <v>13</v>
      </c>
      <c r="P344" s="205">
        <f t="shared" si="91"/>
        <v>13</v>
      </c>
      <c r="Q344" s="205">
        <f t="shared" si="91"/>
        <v>13</v>
      </c>
      <c r="R344" s="188">
        <v>5.0000000000000001E-3</v>
      </c>
      <c r="S344" s="188">
        <f t="shared" ref="S344:Z344" si="92">+R344</f>
        <v>5.0000000000000001E-3</v>
      </c>
      <c r="T344" s="188">
        <f t="shared" si="92"/>
        <v>5.0000000000000001E-3</v>
      </c>
      <c r="U344" s="188">
        <f t="shared" si="92"/>
        <v>5.0000000000000001E-3</v>
      </c>
      <c r="V344" s="188">
        <f t="shared" si="92"/>
        <v>5.0000000000000001E-3</v>
      </c>
      <c r="W344" s="188">
        <f t="shared" si="92"/>
        <v>5.0000000000000001E-3</v>
      </c>
      <c r="X344" s="188">
        <f t="shared" si="92"/>
        <v>5.0000000000000001E-3</v>
      </c>
      <c r="Y344" s="188">
        <f t="shared" si="92"/>
        <v>5.0000000000000001E-3</v>
      </c>
      <c r="Z344" s="188">
        <f t="shared" si="92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88850.967007963598</v>
      </c>
      <c r="L345" s="208">
        <f>+L346*K350</f>
        <v>88850.967007963598</v>
      </c>
      <c r="M345" s="208">
        <f>+M346*L350</f>
        <v>89288.988460790119</v>
      </c>
      <c r="N345" s="208">
        <f t="shared" ref="N345:Z345" si="93">+N346*M350</f>
        <v>89727.009913616639</v>
      </c>
      <c r="O345" s="208">
        <f t="shared" si="93"/>
        <v>90165.03136644316</v>
      </c>
      <c r="P345" s="208">
        <f t="shared" si="93"/>
        <v>90603.052819269666</v>
      </c>
      <c r="Q345" s="208">
        <f t="shared" si="93"/>
        <v>91041.074272096186</v>
      </c>
      <c r="R345" s="208">
        <f t="shared" si="93"/>
        <v>91496.279643456655</v>
      </c>
      <c r="S345" s="208">
        <f t="shared" si="93"/>
        <v>91953.761041673934</v>
      </c>
      <c r="T345" s="208">
        <f t="shared" si="93"/>
        <v>92413.529846882302</v>
      </c>
      <c r="U345" s="208">
        <f t="shared" si="93"/>
        <v>92875.597496116708</v>
      </c>
      <c r="V345" s="208">
        <f t="shared" si="93"/>
        <v>93339.975483597271</v>
      </c>
      <c r="W345" s="208">
        <f t="shared" si="93"/>
        <v>93806.675361015237</v>
      </c>
      <c r="X345" s="208">
        <f t="shared" si="93"/>
        <v>94275.708737820314</v>
      </c>
      <c r="Y345" s="208">
        <f t="shared" si="93"/>
        <v>94747.087281509404</v>
      </c>
      <c r="Z345" s="208">
        <f t="shared" si="93"/>
        <v>95220.822717916948</v>
      </c>
      <c r="AA345" s="20"/>
    </row>
    <row r="346" spans="8:29" ht="13.5" thickBot="1" x14ac:dyDescent="0.25">
      <c r="H346" s="20"/>
      <c r="I346" s="14" t="s">
        <v>147</v>
      </c>
      <c r="J346" s="208">
        <v>2637</v>
      </c>
      <c r="K346" s="208">
        <v>2637</v>
      </c>
      <c r="L346" s="208">
        <v>2637</v>
      </c>
      <c r="M346" s="209">
        <f>+L346+($M342*M344)</f>
        <v>2650</v>
      </c>
      <c r="N346" s="209">
        <f t="shared" ref="N346:P346" si="94">+M346+($M342*N344)</f>
        <v>2663</v>
      </c>
      <c r="O346" s="209">
        <f t="shared" si="94"/>
        <v>2676</v>
      </c>
      <c r="P346" s="209">
        <f t="shared" si="94"/>
        <v>2689</v>
      </c>
      <c r="Q346" s="209">
        <f>+P346+($M342*Q344)</f>
        <v>2702</v>
      </c>
      <c r="R346" s="208">
        <f t="shared" ref="R346:Z346" si="95">+Q346*(1+R344)</f>
        <v>2715.5099999999998</v>
      </c>
      <c r="S346" s="208">
        <f t="shared" si="95"/>
        <v>2729.0875499999993</v>
      </c>
      <c r="T346" s="208">
        <f t="shared" si="95"/>
        <v>2742.7329877499992</v>
      </c>
      <c r="U346" s="208">
        <f t="shared" si="95"/>
        <v>2756.4466526887491</v>
      </c>
      <c r="V346" s="208">
        <f t="shared" si="95"/>
        <v>2770.2288859521923</v>
      </c>
      <c r="W346" s="208">
        <f t="shared" si="95"/>
        <v>2784.0800303819528</v>
      </c>
      <c r="X346" s="208">
        <f t="shared" si="95"/>
        <v>2798.0004305338625</v>
      </c>
      <c r="Y346" s="208">
        <f t="shared" si="95"/>
        <v>2811.9904326865317</v>
      </c>
      <c r="Z346" s="208">
        <f t="shared" si="95"/>
        <v>2826.0503848499638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1887240</v>
      </c>
      <c r="L347" s="38">
        <f>+L24-0</f>
        <v>1946683.2475000001</v>
      </c>
      <c r="M347" s="38">
        <f>+M24-0</f>
        <v>2125012.9899999998</v>
      </c>
      <c r="N347" s="38">
        <f>+N24-0</f>
        <v>2188442</v>
      </c>
      <c r="O347" s="38">
        <f>+O24-0</f>
        <v>2252001</v>
      </c>
      <c r="P347" s="38">
        <f>+P24-0</f>
        <v>2494153</v>
      </c>
      <c r="Q347" s="38">
        <f>+Q24-0</f>
        <v>2505958</v>
      </c>
      <c r="R347" s="38">
        <f>+R24-0</f>
        <v>2517995</v>
      </c>
      <c r="S347" s="38">
        <f>+S24-0</f>
        <v>2621761</v>
      </c>
      <c r="T347" s="38">
        <f>+T24-0</f>
        <v>2634578</v>
      </c>
      <c r="U347" s="38">
        <f>+U24-0</f>
        <v>2647460</v>
      </c>
      <c r="V347" s="38">
        <f>+V24-0</f>
        <v>2756687</v>
      </c>
      <c r="W347" s="38">
        <f>+W24-0</f>
        <v>2770180</v>
      </c>
      <c r="X347" s="38">
        <f>+X24-0</f>
        <v>2783739</v>
      </c>
      <c r="Y347" s="38">
        <f>+Y24-0</f>
        <v>2898716</v>
      </c>
      <c r="Z347" s="38">
        <f>+Z24-0</f>
        <v>2912918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0.99989904679219199</v>
      </c>
      <c r="R348" s="20"/>
      <c r="S348" s="20"/>
      <c r="T348" s="210">
        <f>+T349/S349</f>
        <v>0.9998892525925015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715.67690557451647</v>
      </c>
      <c r="L349" s="207">
        <f>+L347/L346</f>
        <v>738.21890310959429</v>
      </c>
      <c r="M349" s="207">
        <f>+M347/M346</f>
        <v>801.89169433962252</v>
      </c>
      <c r="N349" s="207">
        <f t="shared" ref="N349:Z349" si="96">+N347/N346</f>
        <v>821.7957191137815</v>
      </c>
      <c r="O349" s="207">
        <f t="shared" si="96"/>
        <v>841.55493273542606</v>
      </c>
      <c r="P349" s="207">
        <f t="shared" si="96"/>
        <v>927.5392339159539</v>
      </c>
      <c r="Q349" s="207">
        <f t="shared" si="96"/>
        <v>927.44559585492232</v>
      </c>
      <c r="R349" s="207">
        <f t="shared" si="96"/>
        <v>927.26412349798022</v>
      </c>
      <c r="S349" s="207">
        <f t="shared" si="96"/>
        <v>960.67310116159547</v>
      </c>
      <c r="T349" s="207">
        <f t="shared" si="96"/>
        <v>960.56670910618823</v>
      </c>
      <c r="U349" s="207">
        <f t="shared" si="96"/>
        <v>960.4611783135947</v>
      </c>
      <c r="V349" s="207">
        <f t="shared" si="96"/>
        <v>995.11163643521911</v>
      </c>
      <c r="W349" s="207">
        <f t="shared" si="96"/>
        <v>995.00731651738977</v>
      </c>
      <c r="X349" s="207">
        <f t="shared" si="96"/>
        <v>994.90299201592995</v>
      </c>
      <c r="Y349" s="207">
        <f t="shared" si="96"/>
        <v>1030.841345086161</v>
      </c>
      <c r="Z349" s="207">
        <f t="shared" si="96"/>
        <v>1030.738169289451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33.69395790973212</v>
      </c>
      <c r="L350" s="206">
        <f>+L345/L346</f>
        <v>33.69395790973212</v>
      </c>
      <c r="M350" s="206">
        <f>+M345/M346</f>
        <v>33.69395790973212</v>
      </c>
      <c r="N350" s="206">
        <f t="shared" ref="N350:Z350" si="97">+N345/N346</f>
        <v>33.69395790973212</v>
      </c>
      <c r="O350" s="206">
        <f t="shared" si="97"/>
        <v>33.69395790973212</v>
      </c>
      <c r="P350" s="206">
        <f t="shared" si="97"/>
        <v>33.69395790973212</v>
      </c>
      <c r="Q350" s="206">
        <f t="shared" si="97"/>
        <v>33.69395790973212</v>
      </c>
      <c r="R350" s="206">
        <f t="shared" si="97"/>
        <v>33.69395790973212</v>
      </c>
      <c r="S350" s="206">
        <f t="shared" si="97"/>
        <v>33.69395790973212</v>
      </c>
      <c r="T350" s="206">
        <f t="shared" si="97"/>
        <v>33.69395790973212</v>
      </c>
      <c r="U350" s="206">
        <f t="shared" si="97"/>
        <v>33.69395790973212</v>
      </c>
      <c r="V350" s="206">
        <f t="shared" si="97"/>
        <v>33.69395790973212</v>
      </c>
      <c r="W350" s="206">
        <f t="shared" si="97"/>
        <v>33.69395790973212</v>
      </c>
      <c r="X350" s="206">
        <f t="shared" si="97"/>
        <v>33.69395790973212</v>
      </c>
      <c r="Y350" s="206">
        <f t="shared" si="97"/>
        <v>33.69395790973212</v>
      </c>
      <c r="Z350" s="206">
        <f t="shared" si="97"/>
        <v>33.69395790973212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8">+K347/K333</f>
        <v>715.67690557451647</v>
      </c>
      <c r="L352" s="207">
        <f t="shared" si="98"/>
        <v>738.21890310959429</v>
      </c>
      <c r="M352" s="207">
        <f t="shared" si="98"/>
        <v>801.89169433962252</v>
      </c>
      <c r="N352" s="207">
        <f t="shared" si="98"/>
        <v>821.7957191137815</v>
      </c>
      <c r="O352" s="207">
        <f t="shared" si="98"/>
        <v>841.55493273542606</v>
      </c>
      <c r="P352" s="207">
        <f t="shared" si="98"/>
        <v>927.5392339159539</v>
      </c>
      <c r="Q352" s="207">
        <f t="shared" si="98"/>
        <v>927.44559585492232</v>
      </c>
      <c r="R352" s="207">
        <f t="shared" si="98"/>
        <v>927.09683357879237</v>
      </c>
      <c r="S352" s="207">
        <f t="shared" si="98"/>
        <v>960.35201465201465</v>
      </c>
      <c r="T352" s="207">
        <f t="shared" si="98"/>
        <v>960.12317784256561</v>
      </c>
      <c r="U352" s="207">
        <f t="shared" si="98"/>
        <v>959.92023205221176</v>
      </c>
      <c r="V352" s="207">
        <f t="shared" si="98"/>
        <v>994.47582972582973</v>
      </c>
      <c r="W352" s="207">
        <f t="shared" si="98"/>
        <v>994.321608040201</v>
      </c>
      <c r="X352" s="207">
        <f t="shared" si="98"/>
        <v>994.1925</v>
      </c>
      <c r="Y352" s="207">
        <f t="shared" si="98"/>
        <v>1030.1051883439943</v>
      </c>
      <c r="Z352" s="207">
        <f t="shared" si="98"/>
        <v>1030.0275813295616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99">+K345/K333</f>
        <v>33.69395790973212</v>
      </c>
      <c r="L353" s="206">
        <f t="shared" si="99"/>
        <v>33.69395790973212</v>
      </c>
      <c r="M353" s="206">
        <f t="shared" si="99"/>
        <v>33.69395790973212</v>
      </c>
      <c r="N353" s="206">
        <f t="shared" si="99"/>
        <v>33.69395790973212</v>
      </c>
      <c r="O353" s="206">
        <f t="shared" si="99"/>
        <v>33.69395790973212</v>
      </c>
      <c r="P353" s="206">
        <f t="shared" si="99"/>
        <v>33.69395790973212</v>
      </c>
      <c r="Q353" s="206">
        <f t="shared" si="99"/>
        <v>33.69395790973212</v>
      </c>
      <c r="R353" s="206">
        <f t="shared" si="99"/>
        <v>33.68787910289273</v>
      </c>
      <c r="S353" s="206">
        <f t="shared" si="99"/>
        <v>33.682696352261516</v>
      </c>
      <c r="T353" s="206">
        <f t="shared" si="99"/>
        <v>33.678400089971682</v>
      </c>
      <c r="U353" s="206">
        <f t="shared" si="99"/>
        <v>33.674980963058992</v>
      </c>
      <c r="V353" s="206">
        <f t="shared" si="99"/>
        <v>33.672429828137545</v>
      </c>
      <c r="W353" s="206">
        <f t="shared" si="99"/>
        <v>33.670737746236625</v>
      </c>
      <c r="X353" s="206">
        <f t="shared" si="99"/>
        <v>33.669895977792969</v>
      </c>
      <c r="Y353" s="206">
        <f t="shared" si="99"/>
        <v>33.669895977792969</v>
      </c>
      <c r="Z353" s="206">
        <f t="shared" si="99"/>
        <v>33.670729391059744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1956280.093240425</v>
      </c>
      <c r="N355" s="192">
        <f>AVERAGE(M346:N346)*M349</f>
        <v>2130225.2860132074</v>
      </c>
      <c r="O355" s="192">
        <f t="shared" ref="O355:Z355" si="100">AVERAGE(N346:O346)*N349</f>
        <v>2193783.6721742395</v>
      </c>
      <c r="P355" s="192">
        <f t="shared" si="100"/>
        <v>2257471.1070627803</v>
      </c>
      <c r="Q355" s="192">
        <f t="shared" si="100"/>
        <v>2500182.0050204536</v>
      </c>
      <c r="R355" s="192">
        <f t="shared" si="100"/>
        <v>2512222.895</v>
      </c>
      <c r="S355" s="192">
        <f t="shared" si="100"/>
        <v>2524289.9874999998</v>
      </c>
      <c r="T355" s="192">
        <f t="shared" si="100"/>
        <v>2628315.4024999999</v>
      </c>
      <c r="U355" s="192">
        <f t="shared" si="100"/>
        <v>2641164.4449999998</v>
      </c>
      <c r="V355" s="192">
        <f t="shared" si="100"/>
        <v>2654078.6499999994</v>
      </c>
      <c r="W355" s="192">
        <f t="shared" si="100"/>
        <v>2763578.7174999998</v>
      </c>
      <c r="X355" s="192">
        <f t="shared" si="100"/>
        <v>2777105.4499999997</v>
      </c>
      <c r="Y355" s="192">
        <f t="shared" si="100"/>
        <v>2790698.3475000001</v>
      </c>
      <c r="Z355" s="192">
        <f t="shared" si="100"/>
        <v>2905962.79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>
        <v>0.105</v>
      </c>
      <c r="Q359" s="97"/>
      <c r="R359" s="97"/>
      <c r="S359" s="97">
        <v>3.6999999999999998E-2</v>
      </c>
      <c r="T359" s="97"/>
      <c r="U359" s="97"/>
      <c r="V359" s="97">
        <v>3.6999999999999998E-2</v>
      </c>
      <c r="W359" s="97"/>
      <c r="X359" s="97"/>
      <c r="Y359" s="97">
        <v>3.6999999999999998E-2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738.21890310959429</v>
      </c>
      <c r="M360" s="215">
        <f>+M349</f>
        <v>801.89169433962252</v>
      </c>
      <c r="N360" s="215">
        <f>+N349</f>
        <v>821.7957191137815</v>
      </c>
      <c r="O360" s="216">
        <f>N360*(1+O359)</f>
        <v>821.7957191137815</v>
      </c>
      <c r="P360" s="217">
        <f t="shared" ref="P360:Z360" si="101">O360*(1+P359)</f>
        <v>908.08426962072849</v>
      </c>
      <c r="Q360" s="217">
        <f t="shared" si="101"/>
        <v>908.08426962072849</v>
      </c>
      <c r="R360" s="217">
        <f t="shared" si="101"/>
        <v>908.08426962072849</v>
      </c>
      <c r="S360" s="217">
        <f t="shared" si="101"/>
        <v>941.68338759669541</v>
      </c>
      <c r="T360" s="217">
        <f t="shared" si="101"/>
        <v>941.68338759669541</v>
      </c>
      <c r="U360" s="217">
        <f t="shared" si="101"/>
        <v>941.68338759669541</v>
      </c>
      <c r="V360" s="217">
        <f t="shared" si="101"/>
        <v>976.52567293777304</v>
      </c>
      <c r="W360" s="217">
        <f t="shared" si="101"/>
        <v>976.52567293777304</v>
      </c>
      <c r="X360" s="218">
        <f t="shared" si="101"/>
        <v>976.52567293777304</v>
      </c>
      <c r="Y360" s="219">
        <f t="shared" si="101"/>
        <v>1012.6571228364705</v>
      </c>
      <c r="Z360" s="219">
        <f t="shared" si="101"/>
        <v>1012.6571228364705</v>
      </c>
      <c r="AA360" s="220">
        <f>1.04^10</f>
        <v>1.4802442849183446</v>
      </c>
      <c r="AB360" s="215">
        <f>+AA360*M360</f>
        <v>1186.9955976697142</v>
      </c>
      <c r="AC360" s="221">
        <f>+AB360-X360</f>
        <v>210.46992473194121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86.28855050694699</v>
      </c>
      <c r="Q361" s="222">
        <f>+Q360-P360</f>
        <v>0</v>
      </c>
      <c r="R361" s="222">
        <f t="shared" ref="R361:Z361" si="102">+R360-Q360</f>
        <v>0</v>
      </c>
      <c r="S361" s="222">
        <f t="shared" si="102"/>
        <v>33.599117975966919</v>
      </c>
      <c r="T361" s="222">
        <f t="shared" si="102"/>
        <v>0</v>
      </c>
      <c r="U361" s="222">
        <f t="shared" si="102"/>
        <v>0</v>
      </c>
      <c r="V361" s="222">
        <f t="shared" si="102"/>
        <v>34.842285341077627</v>
      </c>
      <c r="W361" s="222">
        <f t="shared" si="102"/>
        <v>0</v>
      </c>
      <c r="X361" s="222">
        <f t="shared" si="102"/>
        <v>0</v>
      </c>
      <c r="Y361" s="222">
        <f t="shared" si="102"/>
        <v>36.131449898697497</v>
      </c>
      <c r="Z361" s="222">
        <f t="shared" si="102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4798.4228702123628</v>
      </c>
      <c r="N363" s="225">
        <f>(((+N346-M346)/2)*M349)</f>
        <v>5212.2960132075459</v>
      </c>
      <c r="O363" s="225">
        <f>(((+O346-N346)/2)*N349)</f>
        <v>5341.6721742395794</v>
      </c>
      <c r="P363" s="225">
        <f>(((+P346-O346)/2)*P360)+(O346*P360)</f>
        <v>2435936.0532576041</v>
      </c>
      <c r="Q363" s="225">
        <f>(((+Q346-P346)/2)*P349)</f>
        <v>6029.0050204537001</v>
      </c>
      <c r="R363" s="225">
        <f>(((+R346-Q346)/2)*Q349)</f>
        <v>6264.8949999998904</v>
      </c>
      <c r="S363" s="225">
        <f>(((+S346-R346)/2)*R349)</f>
        <v>6294.9874999997774</v>
      </c>
      <c r="T363" s="225">
        <f>(((+T346-S346)/2)*S349)</f>
        <v>6554.4024999999674</v>
      </c>
      <c r="U363" s="225">
        <f>(((+U346-T346)/2)*T349)</f>
        <v>6586.4449999999269</v>
      </c>
      <c r="V363" s="225">
        <f>(((+V346-U346)/2)*U349)</f>
        <v>6618.6499999997532</v>
      </c>
      <c r="W363" s="225">
        <f>(((+W346-V346)/2)*V349)</f>
        <v>6891.717499999796</v>
      </c>
      <c r="X363" s="225">
        <f>(((+X346-W346)/2)*W349)</f>
        <v>6925.4499999999625</v>
      </c>
      <c r="Y363" s="225">
        <f>(((+Y346-X346)/2)*X349)</f>
        <v>6959.3474999999189</v>
      </c>
      <c r="Z363" s="225">
        <f>(((+Z346-Y346)/2)*Y349)</f>
        <v>7246.7899999997499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1951482</v>
      </c>
      <c r="N365" s="225">
        <f>+ROUND((M360*(M346+((N346-M346)/2))),0)</f>
        <v>2130225</v>
      </c>
      <c r="O365" s="225">
        <f>+ROUND((N360*(N346+((O346-N346)/2))),0)</f>
        <v>2193784</v>
      </c>
      <c r="P365" s="225">
        <f>+ROUND((O360*(O346+((P346-O346)/2))),0)</f>
        <v>2204467</v>
      </c>
      <c r="Q365" s="225">
        <f>+ROUND((P360*(P346+((Q346-P346)/2))),0)</f>
        <v>2447741</v>
      </c>
      <c r="R365" s="225">
        <f>+ROUND((Q360*(Q346+((R346-Q346)/2))),0)</f>
        <v>2459778</v>
      </c>
      <c r="S365" s="225">
        <f>+ROUND((R360*(R346+((S346-R346)/2))),0)</f>
        <v>2472077</v>
      </c>
      <c r="T365" s="225">
        <f>+ROUND((S360*(S346+((T346-S346)/2))),0)</f>
        <v>2576361</v>
      </c>
      <c r="U365" s="225">
        <f>+ROUND((T360*(T346+((U346-T346)/2))),0)</f>
        <v>2589243</v>
      </c>
      <c r="V365" s="225">
        <f>+ROUND((U360*(U346+((V346-U346)/2))),0)</f>
        <v>2602189</v>
      </c>
      <c r="W365" s="225">
        <f>+ROUND((V360*(V346+((W346-V346)/2))),0)</f>
        <v>2711963</v>
      </c>
      <c r="X365" s="225">
        <f>+ROUND((W360*(W346+((X346-W346)/2))),0)</f>
        <v>2725522</v>
      </c>
      <c r="Y365" s="225">
        <f>+ROUND((X360*(X346+((Y346-X346)/2))),0)</f>
        <v>2739150</v>
      </c>
      <c r="Z365" s="225">
        <f>+ROUND((Y360*(Y346+((Z346-Y346)/2))),0)</f>
        <v>2854701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231469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91467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96281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101349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9655</v>
      </c>
      <c r="N371" s="238">
        <f>ROUND(+$J371*M289,0)</f>
        <v>9407</v>
      </c>
      <c r="O371" s="238">
        <f>ROUND(+$J371*N289,0)</f>
        <v>9393</v>
      </c>
      <c r="P371" s="238">
        <f>ROUND(+$J371*O289,0)</f>
        <v>9377</v>
      </c>
      <c r="Q371" s="238">
        <f>ROUND(+$J371*P289,0)</f>
        <v>9361</v>
      </c>
      <c r="R371" s="238">
        <f>ROUND(+$J371*Q289,0)</f>
        <v>9345</v>
      </c>
      <c r="S371" s="238">
        <f>ROUND(+$J371*R289,0)</f>
        <v>9329</v>
      </c>
      <c r="T371" s="238">
        <f>ROUND(+$J371*S289,0)</f>
        <v>9312</v>
      </c>
      <c r="U371" s="238">
        <f>ROUND(+$J371*T289,0)</f>
        <v>9295</v>
      </c>
      <c r="V371" s="238">
        <f>ROUND(+$J371*U289,0)</f>
        <v>9278</v>
      </c>
      <c r="W371" s="238">
        <f>ROUND(+$J371*V289,0)</f>
        <v>9260</v>
      </c>
      <c r="X371" s="238">
        <f>ROUND(+$J371*W289,0)</f>
        <v>9242</v>
      </c>
      <c r="Y371" s="238">
        <f>ROUND(+$J371*X289,0)</f>
        <v>9223</v>
      </c>
      <c r="Z371" s="239">
        <f>ROUND(+$J371*Y289,0)</f>
        <v>9205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11077</v>
      </c>
      <c r="N372" s="238">
        <f>ROUND(+$J372*M24,0)</f>
        <v>12091</v>
      </c>
      <c r="O372" s="238">
        <f>ROUND(+$J372*N24,0)</f>
        <v>12452</v>
      </c>
      <c r="P372" s="238">
        <f>ROUND(+$J372*O24,0)</f>
        <v>12814</v>
      </c>
      <c r="Q372" s="238">
        <f>ROUND(+$J372*P24,0)</f>
        <v>14192</v>
      </c>
      <c r="R372" s="238">
        <f>ROUND(+$J372*Q24,0)</f>
        <v>14259</v>
      </c>
      <c r="S372" s="238">
        <f>ROUND(+$J372*R24,0)</f>
        <v>14327</v>
      </c>
      <c r="T372" s="238">
        <f>ROUND(+$J372*S24,0)</f>
        <v>14918</v>
      </c>
      <c r="U372" s="238">
        <f>ROUND(+$J372*T24,0)</f>
        <v>14991</v>
      </c>
      <c r="V372" s="238">
        <f>ROUND(+$J372*U24,0)</f>
        <v>15064</v>
      </c>
      <c r="W372" s="238">
        <f>ROUND(+$J372*V24,0)</f>
        <v>15686</v>
      </c>
      <c r="X372" s="238">
        <f>ROUND(+$J372*W24,0)</f>
        <v>15762</v>
      </c>
      <c r="Y372" s="238">
        <f>ROUND(+$J372*X24,0)</f>
        <v>15839</v>
      </c>
      <c r="Z372" s="239">
        <f>ROUND(+$J372*Y24,0)</f>
        <v>16494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20732</v>
      </c>
      <c r="N373" s="241">
        <f t="shared" ref="N373:Z373" si="103">SUM(N371:N372)</f>
        <v>21498</v>
      </c>
      <c r="O373" s="241">
        <f t="shared" si="103"/>
        <v>21845</v>
      </c>
      <c r="P373" s="241">
        <f t="shared" si="103"/>
        <v>22191</v>
      </c>
      <c r="Q373" s="241">
        <f t="shared" si="103"/>
        <v>23553</v>
      </c>
      <c r="R373" s="241">
        <f t="shared" si="103"/>
        <v>23604</v>
      </c>
      <c r="S373" s="241">
        <f t="shared" si="103"/>
        <v>23656</v>
      </c>
      <c r="T373" s="241">
        <f t="shared" si="103"/>
        <v>24230</v>
      </c>
      <c r="U373" s="241">
        <f t="shared" si="103"/>
        <v>24286</v>
      </c>
      <c r="V373" s="241">
        <f t="shared" si="103"/>
        <v>24342</v>
      </c>
      <c r="W373" s="241">
        <f t="shared" si="103"/>
        <v>24946</v>
      </c>
      <c r="X373" s="241">
        <f t="shared" si="103"/>
        <v>25004</v>
      </c>
      <c r="Y373" s="241">
        <f t="shared" si="103"/>
        <v>25062</v>
      </c>
      <c r="Z373" s="242">
        <f t="shared" si="103"/>
        <v>25699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5675460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10225921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6741997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1946683.2475000001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-21875.95250000013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-153096.95250000013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2637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f>4218*2</f>
        <v>8436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10225921</v>
      </c>
      <c r="M397" s="186">
        <f>+M287</f>
        <v>10225921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6741997</v>
      </c>
      <c r="M398" s="186">
        <f>+M289</f>
        <v>6569178.9351000004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2637</v>
      </c>
      <c r="K400" s="186">
        <f>+K346</f>
        <v>2637</v>
      </c>
      <c r="L400" s="186">
        <f>+L346</f>
        <v>2637</v>
      </c>
      <c r="M400" s="186">
        <f>+M346</f>
        <v>2650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v>181930</v>
      </c>
      <c r="L406" s="249">
        <f>+K406*(1+$AC$28)</f>
        <v>185568.6</v>
      </c>
      <c r="M406" s="249">
        <f t="shared" ref="M406:M408" si="104">+L406*(1+$AC$28)</f>
        <v>189279.97200000001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v>220710</v>
      </c>
      <c r="L407" s="249">
        <f t="shared" ref="L407:L408" si="105">+K407*(1+$AC$28)</f>
        <v>225124.2</v>
      </c>
      <c r="M407" s="249">
        <f t="shared" si="104"/>
        <v>229626.68400000001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v>36431</v>
      </c>
      <c r="L408" s="249">
        <f t="shared" si="105"/>
        <v>37159.620000000003</v>
      </c>
      <c r="M408" s="249">
        <f t="shared" si="104"/>
        <v>37902.812400000003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181930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11483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24948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f>SUM(K417:K418)</f>
        <v>36431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183782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18426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18502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f>SUM(K421:K423)</f>
        <v>220710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135908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5536556</v>
      </c>
      <c r="L449" s="275">
        <f>+O449</f>
        <v>10225921</v>
      </c>
      <c r="M449" s="260"/>
      <c r="N449" s="260"/>
      <c r="O449" s="276">
        <v>10225921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2585534</v>
      </c>
      <c r="L450" s="275">
        <f>+O450</f>
        <v>3483924</v>
      </c>
      <c r="M450" s="260"/>
      <c r="N450" s="260"/>
      <c r="O450" s="276">
        <v>3483924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2951022</v>
      </c>
      <c r="L451" s="181">
        <f>+L449-L450</f>
        <v>6741997</v>
      </c>
      <c r="M451" s="260"/>
      <c r="N451" s="260"/>
      <c r="O451" s="277">
        <f>+O449-O450</f>
        <v>6741997</v>
      </c>
      <c r="P451" s="181">
        <f>+P449-P450</f>
        <v>0</v>
      </c>
      <c r="Q451" s="278">
        <f>+O451-P451</f>
        <v>6741997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172803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5675460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5675460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2.3700834959494675E-2</v>
      </c>
      <c r="L457" s="281">
        <f>+O453/O449</f>
        <v>1.6898526792843403E-2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131221</v>
      </c>
      <c r="L459" s="282">
        <f>+O453</f>
        <v>172803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2018-06-20T20:47:25Z</dcterms:created>
  <dcterms:modified xsi:type="dcterms:W3CDTF">2018-06-20T20:47:44Z</dcterms:modified>
</cp:coreProperties>
</file>