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L455" i="1"/>
  <c r="K455" i="1"/>
  <c r="L453" i="1"/>
  <c r="P451" i="1"/>
  <c r="Q451" i="1" s="1"/>
  <c r="O451" i="1"/>
  <c r="K451" i="1"/>
  <c r="L450" i="1"/>
  <c r="L451" i="1" s="1"/>
  <c r="L449" i="1"/>
  <c r="K408" i="1"/>
  <c r="L408" i="1" s="1"/>
  <c r="M408" i="1" s="1"/>
  <c r="K407" i="1"/>
  <c r="L407" i="1" s="1"/>
  <c r="M407" i="1" s="1"/>
  <c r="M406" i="1"/>
  <c r="K406" i="1"/>
  <c r="L406" i="1" s="1"/>
  <c r="H403" i="1"/>
  <c r="L400" i="1"/>
  <c r="K400" i="1"/>
  <c r="J400" i="1"/>
  <c r="L398" i="1"/>
  <c r="K398" i="1"/>
  <c r="L397" i="1"/>
  <c r="K397" i="1"/>
  <c r="L390" i="1"/>
  <c r="L386" i="1"/>
  <c r="L385" i="1"/>
  <c r="M371" i="1"/>
  <c r="M366" i="1"/>
  <c r="AA360" i="1"/>
  <c r="J353" i="1"/>
  <c r="J350" i="1"/>
  <c r="K345" i="1"/>
  <c r="V344" i="1"/>
  <c r="W344" i="1" s="1"/>
  <c r="X344" i="1" s="1"/>
  <c r="Y344" i="1" s="1"/>
  <c r="Z344" i="1" s="1"/>
  <c r="U344" i="1"/>
  <c r="S344" i="1"/>
  <c r="T344" i="1" s="1"/>
  <c r="K343" i="1"/>
  <c r="M342" i="1"/>
  <c r="I338" i="1"/>
  <c r="I336" i="1"/>
  <c r="H336" i="1"/>
  <c r="M335" i="1"/>
  <c r="K335" i="1"/>
  <c r="J335" i="1"/>
  <c r="I335" i="1"/>
  <c r="M334" i="1"/>
  <c r="M344" i="1" s="1"/>
  <c r="M346" i="1" s="1"/>
  <c r="N333" i="1"/>
  <c r="M333" i="1"/>
  <c r="N334" i="1" s="1"/>
  <c r="N344" i="1" s="1"/>
  <c r="K333" i="1"/>
  <c r="L335" i="1" s="1"/>
  <c r="K332" i="1"/>
  <c r="K336" i="1" s="1"/>
  <c r="J332" i="1"/>
  <c r="I332" i="1"/>
  <c r="H332" i="1"/>
  <c r="N330" i="1"/>
  <c r="M330" i="1"/>
  <c r="M323" i="1"/>
  <c r="K314" i="1"/>
  <c r="L311" i="1" s="1"/>
  <c r="N308" i="1"/>
  <c r="N306" i="1"/>
  <c r="N305" i="1"/>
  <c r="M305" i="1"/>
  <c r="M311" i="1" s="1"/>
  <c r="L305" i="1"/>
  <c r="L306" i="1" s="1"/>
  <c r="L307" i="1" s="1"/>
  <c r="M304" i="1"/>
  <c r="M309" i="1" s="1"/>
  <c r="L304" i="1"/>
  <c r="S303" i="1"/>
  <c r="T303" i="1" s="1"/>
  <c r="U303" i="1" s="1"/>
  <c r="R303" i="1"/>
  <c r="T301" i="1"/>
  <c r="S301" i="1"/>
  <c r="R301" i="1"/>
  <c r="Q301" i="1"/>
  <c r="P301" i="1"/>
  <c r="O301" i="1"/>
  <c r="N301" i="1"/>
  <c r="M300" i="1"/>
  <c r="L300" i="1"/>
  <c r="K296" i="1"/>
  <c r="H296" i="1"/>
  <c r="K293" i="1"/>
  <c r="H293" i="1"/>
  <c r="N292" i="1"/>
  <c r="K292" i="1"/>
  <c r="L292" i="1" s="1"/>
  <c r="M292" i="1" s="1"/>
  <c r="J292" i="1"/>
  <c r="I292" i="1"/>
  <c r="H292" i="1"/>
  <c r="K291" i="1"/>
  <c r="L291" i="1" s="1"/>
  <c r="L293" i="1" s="1"/>
  <c r="L384" i="1" s="1"/>
  <c r="J291" i="1"/>
  <c r="J293" i="1" s="1"/>
  <c r="I291" i="1"/>
  <c r="I293" i="1" s="1"/>
  <c r="H291" i="1"/>
  <c r="J289" i="1"/>
  <c r="J398" i="1" s="1"/>
  <c r="J288" i="1"/>
  <c r="I288" i="1"/>
  <c r="H288" i="1"/>
  <c r="J287" i="1"/>
  <c r="J397" i="1" s="1"/>
  <c r="I287" i="1"/>
  <c r="I289" i="1" s="1"/>
  <c r="H287" i="1"/>
  <c r="H289" i="1" s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T252" i="1"/>
  <c r="G252" i="1"/>
  <c r="T251" i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K169" i="1"/>
  <c r="AE165" i="1"/>
  <c r="T164" i="1"/>
  <c r="AE149" i="1"/>
  <c r="T148" i="1" s="1"/>
  <c r="AB145" i="1"/>
  <c r="AE132" i="1"/>
  <c r="T131" i="1" s="1"/>
  <c r="Q120" i="1"/>
  <c r="K120" i="1"/>
  <c r="K153" i="1" s="1"/>
  <c r="Q119" i="1"/>
  <c r="K168" i="1" s="1"/>
  <c r="K119" i="1"/>
  <c r="K152" i="1" s="1"/>
  <c r="AE116" i="1"/>
  <c r="AB112" i="1"/>
  <c r="N116" i="1" s="1"/>
  <c r="AE84" i="1"/>
  <c r="AE166" i="1" s="1"/>
  <c r="T165" i="1" s="1"/>
  <c r="AE83" i="1"/>
  <c r="AE99" i="1" s="1"/>
  <c r="T98" i="1" s="1"/>
  <c r="T82" i="1"/>
  <c r="K78" i="1"/>
  <c r="D77" i="1"/>
  <c r="D76" i="1"/>
  <c r="F75" i="1"/>
  <c r="D75" i="1"/>
  <c r="D74" i="1"/>
  <c r="F73" i="1"/>
  <c r="D73" i="1"/>
  <c r="D72" i="1"/>
  <c r="F71" i="1"/>
  <c r="D71" i="1"/>
  <c r="AC70" i="1"/>
  <c r="D70" i="1"/>
  <c r="F69" i="1"/>
  <c r="D69" i="1"/>
  <c r="D68" i="1"/>
  <c r="F67" i="1"/>
  <c r="D67" i="1"/>
  <c r="D66" i="1"/>
  <c r="F65" i="1"/>
  <c r="D65" i="1"/>
  <c r="D64" i="1"/>
  <c r="F63" i="1"/>
  <c r="D63" i="1"/>
  <c r="AC62" i="1"/>
  <c r="D62" i="1"/>
  <c r="F61" i="1"/>
  <c r="D61" i="1"/>
  <c r="D60" i="1"/>
  <c r="F59" i="1"/>
  <c r="D59" i="1"/>
  <c r="AC58" i="1"/>
  <c r="D58" i="1"/>
  <c r="F57" i="1"/>
  <c r="D57" i="1"/>
  <c r="D56" i="1"/>
  <c r="F55" i="1"/>
  <c r="D55" i="1"/>
  <c r="AC54" i="1"/>
  <c r="AB79" i="1" s="1"/>
  <c r="N83" i="1" s="1"/>
  <c r="N54" i="1"/>
  <c r="D54" i="1"/>
  <c r="O53" i="1"/>
  <c r="N53" i="1"/>
  <c r="N57" i="1" s="1"/>
  <c r="N58" i="1" s="1"/>
  <c r="D53" i="1"/>
  <c r="F51" i="1"/>
  <c r="M49" i="1"/>
  <c r="K49" i="1"/>
  <c r="J49" i="1"/>
  <c r="I49" i="1"/>
  <c r="H49" i="1"/>
  <c r="J48" i="1"/>
  <c r="J296" i="1" s="1"/>
  <c r="H48" i="1"/>
  <c r="F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F43" i="1"/>
  <c r="H40" i="1"/>
  <c r="H50" i="1" s="1"/>
  <c r="B40" i="1"/>
  <c r="F39" i="1"/>
  <c r="F37" i="1"/>
  <c r="K35" i="1"/>
  <c r="J35" i="1"/>
  <c r="J36" i="1" s="1"/>
  <c r="I35" i="1"/>
  <c r="I48" i="1" s="1"/>
  <c r="I296" i="1" s="1"/>
  <c r="H35" i="1"/>
  <c r="G35" i="1"/>
  <c r="B35" i="1"/>
  <c r="K34" i="1"/>
  <c r="J34" i="1"/>
  <c r="I34" i="1"/>
  <c r="H34" i="1"/>
  <c r="H36" i="1" s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D33" i="1"/>
  <c r="D32" i="1"/>
  <c r="AC31" i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D31" i="1"/>
  <c r="AC30" i="1"/>
  <c r="N30" i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D30" i="1"/>
  <c r="D29" i="1"/>
  <c r="L28" i="1"/>
  <c r="L34" i="1" s="1"/>
  <c r="G27" i="1"/>
  <c r="F26" i="1"/>
  <c r="AA24" i="1"/>
  <c r="M24" i="1"/>
  <c r="K24" i="1"/>
  <c r="J24" i="1"/>
  <c r="J347" i="1" s="1"/>
  <c r="I24" i="1"/>
  <c r="I40" i="1" s="1"/>
  <c r="I50" i="1" s="1"/>
  <c r="H24" i="1"/>
  <c r="D23" i="1"/>
  <c r="N22" i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L22" i="1"/>
  <c r="M22" i="1" s="1"/>
  <c r="M21" i="1"/>
  <c r="M332" i="1" s="1"/>
  <c r="M338" i="1" s="1"/>
  <c r="L21" i="1"/>
  <c r="G20" i="1"/>
  <c r="I19" i="1"/>
  <c r="I285" i="1" s="1"/>
  <c r="F19" i="1"/>
  <c r="M18" i="1"/>
  <c r="F18" i="1"/>
  <c r="C18" i="1"/>
  <c r="M14" i="1"/>
  <c r="U14" i="1" s="1"/>
  <c r="U13" i="1"/>
  <c r="D13" i="1"/>
  <c r="M12" i="1"/>
  <c r="U12" i="1" s="1"/>
  <c r="U11" i="1"/>
  <c r="U10" i="1"/>
  <c r="H9" i="1"/>
  <c r="L6" i="1"/>
  <c r="L5" i="1"/>
  <c r="L4" i="1"/>
  <c r="M347" i="1" l="1"/>
  <c r="N372" i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O57" i="1"/>
  <c r="O54" i="1"/>
  <c r="N62" i="1"/>
  <c r="L309" i="1"/>
  <c r="L310" i="1" s="1"/>
  <c r="L49" i="1"/>
  <c r="O308" i="1"/>
  <c r="O18" i="1"/>
  <c r="L332" i="1"/>
  <c r="L24" i="1"/>
  <c r="J349" i="1"/>
  <c r="J352" i="1"/>
  <c r="M28" i="1"/>
  <c r="K48" i="1"/>
  <c r="K36" i="1"/>
  <c r="J38" i="1"/>
  <c r="J40" i="1"/>
  <c r="J50" i="1" s="1"/>
  <c r="P53" i="1"/>
  <c r="N61" i="1"/>
  <c r="N65" i="1" s="1"/>
  <c r="N69" i="1" s="1"/>
  <c r="H38" i="1"/>
  <c r="I36" i="1"/>
  <c r="I38" i="1" s="1"/>
  <c r="M40" i="1"/>
  <c r="M50" i="1" s="1"/>
  <c r="K111" i="1"/>
  <c r="AD112" i="1"/>
  <c r="V303" i="1"/>
  <c r="I403" i="1"/>
  <c r="J19" i="1"/>
  <c r="G40" i="1"/>
  <c r="K144" i="1"/>
  <c r="N149" i="1"/>
  <c r="AD145" i="1"/>
  <c r="Q144" i="1" s="1"/>
  <c r="C19" i="1"/>
  <c r="K347" i="1"/>
  <c r="K40" i="1"/>
  <c r="K50" i="1" s="1"/>
  <c r="K38" i="1"/>
  <c r="AB95" i="1"/>
  <c r="AC66" i="1"/>
  <c r="K353" i="1"/>
  <c r="K350" i="1"/>
  <c r="L345" i="1" s="1"/>
  <c r="M310" i="1"/>
  <c r="M287" i="1"/>
  <c r="M306" i="1"/>
  <c r="M307" i="1" s="1"/>
  <c r="M312" i="1" s="1"/>
  <c r="M400" i="1"/>
  <c r="N346" i="1"/>
  <c r="N366" i="1"/>
  <c r="N23" i="1" s="1"/>
  <c r="N25" i="1" s="1"/>
  <c r="N18" i="1"/>
  <c r="B41" i="1"/>
  <c r="AD79" i="1"/>
  <c r="Q78" i="1" s="1"/>
  <c r="AE133" i="1"/>
  <c r="T132" i="1" s="1"/>
  <c r="M291" i="1"/>
  <c r="L312" i="1"/>
  <c r="O334" i="1"/>
  <c r="AC74" i="1"/>
  <c r="T83" i="1"/>
  <c r="AE100" i="1"/>
  <c r="T99" i="1" s="1"/>
  <c r="AE117" i="1"/>
  <c r="AE150" i="1"/>
  <c r="T149" i="1" s="1"/>
  <c r="J338" i="1"/>
  <c r="J336" i="1"/>
  <c r="O305" i="1"/>
  <c r="N335" i="1"/>
  <c r="N332" i="1" s="1"/>
  <c r="K338" i="1"/>
  <c r="N323" i="1" l="1"/>
  <c r="N300" i="1" s="1"/>
  <c r="N304" i="1" s="1"/>
  <c r="M288" i="1"/>
  <c r="M35" i="1"/>
  <c r="I42" i="1"/>
  <c r="I44" i="1" s="1"/>
  <c r="I47" i="1" s="1"/>
  <c r="I52" i="1" s="1"/>
  <c r="I41" i="1"/>
  <c r="B42" i="1"/>
  <c r="G42" i="1" s="1"/>
  <c r="G41" i="1"/>
  <c r="M397" i="1"/>
  <c r="AD95" i="1"/>
  <c r="Q94" i="1" s="1"/>
  <c r="K94" i="1"/>
  <c r="N99" i="1"/>
  <c r="K42" i="1"/>
  <c r="K44" i="1" s="1"/>
  <c r="K47" i="1" s="1"/>
  <c r="K52" i="1" s="1"/>
  <c r="K41" i="1"/>
  <c r="K352" i="1"/>
  <c r="K349" i="1"/>
  <c r="O344" i="1"/>
  <c r="O330" i="1"/>
  <c r="N311" i="1"/>
  <c r="J403" i="1"/>
  <c r="J285" i="1"/>
  <c r="K19" i="1"/>
  <c r="O333" i="1"/>
  <c r="M293" i="1"/>
  <c r="N291" i="1"/>
  <c r="N293" i="1" s="1"/>
  <c r="L350" i="1"/>
  <c r="M345" i="1" s="1"/>
  <c r="L353" i="1"/>
  <c r="N73" i="1"/>
  <c r="N70" i="1"/>
  <c r="O61" i="1"/>
  <c r="O58" i="1"/>
  <c r="M349" i="1"/>
  <c r="M352" i="1"/>
  <c r="C20" i="1"/>
  <c r="AB161" i="1"/>
  <c r="N74" i="1"/>
  <c r="L314" i="1"/>
  <c r="L35" i="1"/>
  <c r="W303" i="1"/>
  <c r="H41" i="1"/>
  <c r="H42" i="1"/>
  <c r="H44" i="1" s="1"/>
  <c r="H47" i="1" s="1"/>
  <c r="H52" i="1" s="1"/>
  <c r="P54" i="1"/>
  <c r="Q53" i="1"/>
  <c r="P18" i="1"/>
  <c r="P57" i="1"/>
  <c r="N28" i="1"/>
  <c r="M34" i="1"/>
  <c r="M372" i="1"/>
  <c r="M373" i="1" s="1"/>
  <c r="L347" i="1"/>
  <c r="L40" i="1"/>
  <c r="P308" i="1"/>
  <c r="L336" i="1"/>
  <c r="L338" i="1"/>
  <c r="O306" i="1"/>
  <c r="P305" i="1"/>
  <c r="N363" i="1"/>
  <c r="O346" i="1"/>
  <c r="AB128" i="1"/>
  <c r="N66" i="1"/>
  <c r="J41" i="1"/>
  <c r="J42" i="1"/>
  <c r="J44" i="1" s="1"/>
  <c r="J47" i="1" s="1"/>
  <c r="J52" i="1" s="1"/>
  <c r="R53" i="1" l="1"/>
  <c r="Q57" i="1"/>
  <c r="Q54" i="1"/>
  <c r="Q18" i="1"/>
  <c r="L387" i="1"/>
  <c r="L50" i="1"/>
  <c r="X303" i="1"/>
  <c r="L48" i="1"/>
  <c r="L36" i="1"/>
  <c r="L38" i="1" s="1"/>
  <c r="N165" i="1"/>
  <c r="AD161" i="1"/>
  <c r="Q160" i="1" s="1"/>
  <c r="K160" i="1"/>
  <c r="K403" i="1"/>
  <c r="K285" i="1"/>
  <c r="L19" i="1"/>
  <c r="O28" i="1"/>
  <c r="N34" i="1"/>
  <c r="O65" i="1"/>
  <c r="O62" i="1"/>
  <c r="C21" i="1"/>
  <c r="M350" i="1"/>
  <c r="N345" i="1" s="1"/>
  <c r="M353" i="1"/>
  <c r="P334" i="1"/>
  <c r="O335" i="1"/>
  <c r="O332" i="1" s="1"/>
  <c r="M36" i="1"/>
  <c r="M38" i="1" s="1"/>
  <c r="M48" i="1"/>
  <c r="P306" i="1"/>
  <c r="Q305" i="1"/>
  <c r="L352" i="1"/>
  <c r="L349" i="1"/>
  <c r="P61" i="1"/>
  <c r="P58" i="1"/>
  <c r="Q111" i="1"/>
  <c r="T116" i="1"/>
  <c r="AD128" i="1"/>
  <c r="Q127" i="1" s="1"/>
  <c r="B49" i="1"/>
  <c r="Q308" i="1"/>
  <c r="M360" i="1"/>
  <c r="N355" i="1"/>
  <c r="C23" i="1"/>
  <c r="F23" i="1" s="1"/>
  <c r="C22" i="1"/>
  <c r="F22" i="1" s="1"/>
  <c r="M289" i="1"/>
  <c r="N307" i="1"/>
  <c r="N49" i="1"/>
  <c r="N309" i="1"/>
  <c r="N365" i="1" l="1"/>
  <c r="N21" i="1" s="1"/>
  <c r="N24" i="1" s="1"/>
  <c r="AB360" i="1"/>
  <c r="O69" i="1"/>
  <c r="O66" i="1"/>
  <c r="L403" i="1"/>
  <c r="L285" i="1"/>
  <c r="L329" i="1" s="1"/>
  <c r="M19" i="1"/>
  <c r="M398" i="1"/>
  <c r="N371" i="1"/>
  <c r="N373" i="1" s="1"/>
  <c r="L360" i="1"/>
  <c r="M365" i="1" s="1"/>
  <c r="M363" i="1"/>
  <c r="M355" i="1"/>
  <c r="P330" i="1"/>
  <c r="P344" i="1"/>
  <c r="P346" i="1" s="1"/>
  <c r="N353" i="1"/>
  <c r="N350" i="1"/>
  <c r="O345" i="1" s="1"/>
  <c r="Y303" i="1"/>
  <c r="Q61" i="1"/>
  <c r="Q58" i="1"/>
  <c r="N310" i="1"/>
  <c r="N312" i="1" s="1"/>
  <c r="N287" i="1"/>
  <c r="R308" i="1"/>
  <c r="P333" i="1"/>
  <c r="F21" i="1"/>
  <c r="C24" i="1"/>
  <c r="L41" i="1"/>
  <c r="L388" i="1" s="1"/>
  <c r="L42" i="1"/>
  <c r="R57" i="1"/>
  <c r="R18" i="1"/>
  <c r="S53" i="1"/>
  <c r="R54" i="1"/>
  <c r="G49" i="1"/>
  <c r="B50" i="1"/>
  <c r="G50" i="1" s="1"/>
  <c r="P65" i="1"/>
  <c r="P62" i="1"/>
  <c r="R305" i="1"/>
  <c r="Q306" i="1"/>
  <c r="M42" i="1"/>
  <c r="M44" i="1" s="1"/>
  <c r="M47" i="1" s="1"/>
  <c r="M52" i="1" s="1"/>
  <c r="M41" i="1"/>
  <c r="O34" i="1"/>
  <c r="P28" i="1"/>
  <c r="N35" i="1" l="1"/>
  <c r="O323" i="1"/>
  <c r="O300" i="1" s="1"/>
  <c r="O304" i="1" s="1"/>
  <c r="N288" i="1"/>
  <c r="P34" i="1"/>
  <c r="Q28" i="1"/>
  <c r="O311" i="1"/>
  <c r="O372" i="1"/>
  <c r="N347" i="1"/>
  <c r="N40" i="1"/>
  <c r="N50" i="1" s="1"/>
  <c r="R58" i="1"/>
  <c r="R61" i="1"/>
  <c r="F24" i="1"/>
  <c r="B247" i="1" s="1"/>
  <c r="H247" i="1" s="1"/>
  <c r="C25" i="1"/>
  <c r="Z303" i="1"/>
  <c r="M403" i="1"/>
  <c r="M285" i="1"/>
  <c r="N19" i="1"/>
  <c r="O73" i="1"/>
  <c r="O74" i="1" s="1"/>
  <c r="O70" i="1"/>
  <c r="S305" i="1"/>
  <c r="R306" i="1"/>
  <c r="S57" i="1"/>
  <c r="S54" i="1"/>
  <c r="S18" i="1"/>
  <c r="T53" i="1"/>
  <c r="Q333" i="1"/>
  <c r="Q334" i="1"/>
  <c r="P335" i="1"/>
  <c r="P332" i="1" s="1"/>
  <c r="Q65" i="1"/>
  <c r="Q62" i="1"/>
  <c r="O353" i="1"/>
  <c r="O350" i="1"/>
  <c r="P345" i="1" s="1"/>
  <c r="P69" i="1"/>
  <c r="P66" i="1"/>
  <c r="B58" i="1"/>
  <c r="L389" i="1"/>
  <c r="L44" i="1"/>
  <c r="L47" i="1" s="1"/>
  <c r="L52" i="1" s="1"/>
  <c r="S308" i="1"/>
  <c r="B54" i="1"/>
  <c r="P353" i="1" l="1"/>
  <c r="P350" i="1"/>
  <c r="B193" i="1"/>
  <c r="B100" i="1"/>
  <c r="K99" i="1" s="1"/>
  <c r="Q116" i="1" s="1"/>
  <c r="K165" i="1" s="1"/>
  <c r="B74" i="1"/>
  <c r="B66" i="1"/>
  <c r="G66" i="1" s="1"/>
  <c r="G58" i="1"/>
  <c r="C26" i="1"/>
  <c r="F25" i="1"/>
  <c r="R65" i="1"/>
  <c r="R62" i="1"/>
  <c r="Q69" i="1"/>
  <c r="Q66" i="1"/>
  <c r="S61" i="1"/>
  <c r="S58" i="1"/>
  <c r="S306" i="1"/>
  <c r="T305" i="1"/>
  <c r="M329" i="1"/>
  <c r="M358" i="1"/>
  <c r="B117" i="1"/>
  <c r="B84" i="1"/>
  <c r="B184" i="1"/>
  <c r="B62" i="1"/>
  <c r="G62" i="1" s="1"/>
  <c r="B70" i="1"/>
  <c r="G70" i="1" s="1"/>
  <c r="G54" i="1"/>
  <c r="P70" i="1"/>
  <c r="P73" i="1"/>
  <c r="P74" i="1" s="1"/>
  <c r="T54" i="1"/>
  <c r="U53" i="1"/>
  <c r="T57" i="1"/>
  <c r="T18" i="1"/>
  <c r="O49" i="1"/>
  <c r="O309" i="1"/>
  <c r="O307" i="1"/>
  <c r="T308" i="1"/>
  <c r="R334" i="1"/>
  <c r="R330" i="1" s="1"/>
  <c r="N285" i="1"/>
  <c r="N358" i="1" s="1"/>
  <c r="O19" i="1"/>
  <c r="B182" i="1"/>
  <c r="B191" i="1" s="1"/>
  <c r="Q335" i="1"/>
  <c r="Q332" i="1" s="1"/>
  <c r="R28" i="1"/>
  <c r="Q34" i="1"/>
  <c r="Q344" i="1"/>
  <c r="Q346" i="1" s="1"/>
  <c r="Q330" i="1"/>
  <c r="N349" i="1"/>
  <c r="N352" i="1"/>
  <c r="N289" i="1"/>
  <c r="O371" i="1" s="1"/>
  <c r="O373" i="1" s="1"/>
  <c r="N48" i="1"/>
  <c r="N36" i="1"/>
  <c r="N38" i="1" s="1"/>
  <c r="R346" i="1" l="1"/>
  <c r="Q345" i="1"/>
  <c r="O310" i="1"/>
  <c r="O312" i="1" s="1"/>
  <c r="O287" i="1"/>
  <c r="O285" i="1"/>
  <c r="O358" i="1" s="1"/>
  <c r="P19" i="1"/>
  <c r="C27" i="1"/>
  <c r="K83" i="1"/>
  <c r="K116" i="1" s="1"/>
  <c r="K149" i="1" s="1"/>
  <c r="B86" i="1"/>
  <c r="B119" i="1" s="1"/>
  <c r="N42" i="1"/>
  <c r="N44" i="1" s="1"/>
  <c r="N47" i="1" s="1"/>
  <c r="N52" i="1" s="1"/>
  <c r="N41" i="1"/>
  <c r="T306" i="1"/>
  <c r="U305" i="1"/>
  <c r="S62" i="1"/>
  <c r="S65" i="1"/>
  <c r="R69" i="1"/>
  <c r="R66" i="1"/>
  <c r="N360" i="1"/>
  <c r="O355" i="1"/>
  <c r="O363" i="1"/>
  <c r="U308" i="1"/>
  <c r="T61" i="1"/>
  <c r="T58" i="1"/>
  <c r="S28" i="1"/>
  <c r="R34" i="1"/>
  <c r="R333" i="1"/>
  <c r="V53" i="1"/>
  <c r="U57" i="1"/>
  <c r="U18" i="1"/>
  <c r="U54" i="1"/>
  <c r="Q73" i="1"/>
  <c r="Q74" i="1" s="1"/>
  <c r="Q70" i="1"/>
  <c r="G74" i="1"/>
  <c r="B83" i="1"/>
  <c r="P285" i="1" l="1"/>
  <c r="P358" i="1" s="1"/>
  <c r="Q19" i="1"/>
  <c r="S334" i="1"/>
  <c r="S330" i="1" s="1"/>
  <c r="S333" i="1"/>
  <c r="O365" i="1"/>
  <c r="O21" i="1" s="1"/>
  <c r="O360" i="1"/>
  <c r="V305" i="1"/>
  <c r="U306" i="1"/>
  <c r="U61" i="1"/>
  <c r="U58" i="1"/>
  <c r="V308" i="1"/>
  <c r="R73" i="1"/>
  <c r="R74" i="1" s="1"/>
  <c r="R70" i="1"/>
  <c r="P311" i="1"/>
  <c r="S346" i="1"/>
  <c r="F27" i="1"/>
  <c r="C28" i="1"/>
  <c r="Q350" i="1"/>
  <c r="R345" i="1" s="1"/>
  <c r="Q353" i="1"/>
  <c r="B116" i="1"/>
  <c r="B99" i="1"/>
  <c r="K98" i="1" s="1"/>
  <c r="Q115" i="1" s="1"/>
  <c r="K164" i="1" s="1"/>
  <c r="K82" i="1"/>
  <c r="K115" i="1" s="1"/>
  <c r="K148" i="1" s="1"/>
  <c r="V57" i="1"/>
  <c r="V18" i="1"/>
  <c r="V54" i="1"/>
  <c r="W53" i="1"/>
  <c r="S34" i="1"/>
  <c r="T28" i="1"/>
  <c r="T65" i="1"/>
  <c r="T62" i="1"/>
  <c r="S69" i="1"/>
  <c r="S66" i="1"/>
  <c r="N72" i="1"/>
  <c r="N64" i="1"/>
  <c r="N68" i="1"/>
  <c r="N56" i="1"/>
  <c r="N76" i="1"/>
  <c r="N60" i="1"/>
  <c r="B102" i="1"/>
  <c r="B105" i="1" s="1"/>
  <c r="T80" i="1" s="1"/>
  <c r="T96" i="1" s="1"/>
  <c r="T146" i="1" s="1"/>
  <c r="T162" i="1" s="1"/>
  <c r="P323" i="1"/>
  <c r="P300" i="1" s="1"/>
  <c r="P304" i="1" s="1"/>
  <c r="O35" i="1"/>
  <c r="O288" i="1"/>
  <c r="R350" i="1" l="1"/>
  <c r="R353" i="1"/>
  <c r="W305" i="1"/>
  <c r="V306" i="1"/>
  <c r="O48" i="1"/>
  <c r="O36" i="1"/>
  <c r="T69" i="1"/>
  <c r="T66" i="1"/>
  <c r="F28" i="1"/>
  <c r="C29" i="1"/>
  <c r="S345" i="1"/>
  <c r="T346" i="1"/>
  <c r="U65" i="1"/>
  <c r="U62" i="1"/>
  <c r="P360" i="1"/>
  <c r="O361" i="1"/>
  <c r="O366" i="1" s="1"/>
  <c r="O23" i="1" s="1"/>
  <c r="O25" i="1" s="1"/>
  <c r="P365" i="1"/>
  <c r="P21" i="1" s="1"/>
  <c r="S73" i="1"/>
  <c r="S74" i="1" s="1"/>
  <c r="S70" i="1"/>
  <c r="V61" i="1"/>
  <c r="V58" i="1"/>
  <c r="W57" i="1"/>
  <c r="W54" i="1"/>
  <c r="W18" i="1"/>
  <c r="X53" i="1"/>
  <c r="T334" i="1"/>
  <c r="T330" i="1" s="1"/>
  <c r="P49" i="1"/>
  <c r="P309" i="1"/>
  <c r="P310" i="1" s="1"/>
  <c r="P312" i="1" s="1"/>
  <c r="P307" i="1"/>
  <c r="T34" i="1"/>
  <c r="U28" i="1"/>
  <c r="O289" i="1"/>
  <c r="P371" i="1" s="1"/>
  <c r="W308" i="1"/>
  <c r="O24" i="1"/>
  <c r="R19" i="1"/>
  <c r="Q285" i="1"/>
  <c r="Q358" i="1" s="1"/>
  <c r="Q323" i="1" l="1"/>
  <c r="Q300" i="1" s="1"/>
  <c r="Q304" i="1" s="1"/>
  <c r="P35" i="1"/>
  <c r="P288" i="1"/>
  <c r="V28" i="1"/>
  <c r="U34" i="1"/>
  <c r="W61" i="1"/>
  <c r="W58" i="1"/>
  <c r="P24" i="1"/>
  <c r="F29" i="1"/>
  <c r="C30" i="1"/>
  <c r="R285" i="1"/>
  <c r="R358" i="1" s="1"/>
  <c r="S19" i="1"/>
  <c r="U346" i="1"/>
  <c r="W306" i="1"/>
  <c r="X305" i="1"/>
  <c r="T73" i="1"/>
  <c r="T74" i="1" s="1"/>
  <c r="T70" i="1"/>
  <c r="X308" i="1"/>
  <c r="X54" i="1"/>
  <c r="Y53" i="1"/>
  <c r="X18" i="1"/>
  <c r="X57" i="1"/>
  <c r="V65" i="1"/>
  <c r="V62" i="1"/>
  <c r="U69" i="1"/>
  <c r="U66" i="1"/>
  <c r="O347" i="1"/>
  <c r="P372" i="1"/>
  <c r="P373" i="1" s="1"/>
  <c r="O40" i="1"/>
  <c r="O50" i="1" s="1"/>
  <c r="O38" i="1"/>
  <c r="T333" i="1"/>
  <c r="Q365" i="1"/>
  <c r="Q21" i="1" s="1"/>
  <c r="P361" i="1"/>
  <c r="P366" i="1" s="1"/>
  <c r="P23" i="1" s="1"/>
  <c r="P25" i="1" s="1"/>
  <c r="Q360" i="1"/>
  <c r="P363" i="1"/>
  <c r="S353" i="1"/>
  <c r="S350" i="1"/>
  <c r="T345" i="1" s="1"/>
  <c r="P287" i="1"/>
  <c r="T353" i="1" l="1"/>
  <c r="T350" i="1"/>
  <c r="P347" i="1"/>
  <c r="Q372" i="1"/>
  <c r="P40" i="1"/>
  <c r="P50" i="1" s="1"/>
  <c r="X61" i="1"/>
  <c r="X58" i="1"/>
  <c r="Q361" i="1"/>
  <c r="Q366" i="1" s="1"/>
  <c r="Q23" i="1" s="1"/>
  <c r="Q25" i="1" s="1"/>
  <c r="R365" i="1"/>
  <c r="R21" i="1" s="1"/>
  <c r="R360" i="1"/>
  <c r="O352" i="1"/>
  <c r="O349" i="1"/>
  <c r="P355" i="1" s="1"/>
  <c r="U73" i="1"/>
  <c r="U74" i="1" s="1"/>
  <c r="U70" i="1"/>
  <c r="X306" i="1"/>
  <c r="Y305" i="1"/>
  <c r="F30" i="1"/>
  <c r="C31" i="1"/>
  <c r="W65" i="1"/>
  <c r="W62" i="1"/>
  <c r="P48" i="1"/>
  <c r="P36" i="1"/>
  <c r="P38" i="1" s="1"/>
  <c r="Q24" i="1"/>
  <c r="V69" i="1"/>
  <c r="V66" i="1"/>
  <c r="V34" i="1"/>
  <c r="W28" i="1"/>
  <c r="P289" i="1"/>
  <c r="Q371" i="1" s="1"/>
  <c r="Q311" i="1"/>
  <c r="U334" i="1"/>
  <c r="U330" i="1" s="1"/>
  <c r="Y308" i="1"/>
  <c r="V346" i="1"/>
  <c r="U345" i="1"/>
  <c r="O41" i="1"/>
  <c r="O42" i="1"/>
  <c r="O44" i="1" s="1"/>
  <c r="O47" i="1" s="1"/>
  <c r="O52" i="1" s="1"/>
  <c r="Z53" i="1"/>
  <c r="Y57" i="1"/>
  <c r="Y54" i="1"/>
  <c r="Y18" i="1"/>
  <c r="S285" i="1"/>
  <c r="S358" i="1" s="1"/>
  <c r="T19" i="1"/>
  <c r="Q49" i="1"/>
  <c r="Q309" i="1"/>
  <c r="Q310" i="1" s="1"/>
  <c r="Q307" i="1"/>
  <c r="P41" i="1" l="1"/>
  <c r="P42" i="1"/>
  <c r="P44" i="1" s="1"/>
  <c r="P47" i="1" s="1"/>
  <c r="P52" i="1" s="1"/>
  <c r="A80" i="1"/>
  <c r="Z57" i="1"/>
  <c r="Z18" i="1"/>
  <c r="Z54" i="1"/>
  <c r="AB86" i="1" s="1"/>
  <c r="U350" i="1"/>
  <c r="Q287" i="1"/>
  <c r="V73" i="1"/>
  <c r="V74" i="1" s="1"/>
  <c r="V70" i="1"/>
  <c r="S365" i="1"/>
  <c r="S21" i="1" s="1"/>
  <c r="S360" i="1"/>
  <c r="R361" i="1"/>
  <c r="R366" i="1" s="1"/>
  <c r="R23" i="1" s="1"/>
  <c r="R25" i="1" s="1"/>
  <c r="O76" i="1"/>
  <c r="O68" i="1"/>
  <c r="O72" i="1"/>
  <c r="O56" i="1"/>
  <c r="O64" i="1"/>
  <c r="O60" i="1"/>
  <c r="W346" i="1"/>
  <c r="V345" i="1"/>
  <c r="U333" i="1"/>
  <c r="W34" i="1"/>
  <c r="X28" i="1"/>
  <c r="Q347" i="1"/>
  <c r="R372" i="1"/>
  <c r="Q40" i="1"/>
  <c r="Q50" i="1" s="1"/>
  <c r="W69" i="1"/>
  <c r="W66" i="1"/>
  <c r="Z305" i="1"/>
  <c r="Y306" i="1"/>
  <c r="R24" i="1"/>
  <c r="X65" i="1"/>
  <c r="X62" i="1"/>
  <c r="P352" i="1"/>
  <c r="P349" i="1"/>
  <c r="T285" i="1"/>
  <c r="T358" i="1" s="1"/>
  <c r="U19" i="1"/>
  <c r="Z308" i="1"/>
  <c r="Q312" i="1"/>
  <c r="Y61" i="1"/>
  <c r="Y58" i="1"/>
  <c r="Q373" i="1"/>
  <c r="F31" i="1"/>
  <c r="C32" i="1"/>
  <c r="S372" i="1" l="1"/>
  <c r="R347" i="1"/>
  <c r="R40" i="1"/>
  <c r="R50" i="1" s="1"/>
  <c r="V334" i="1"/>
  <c r="V330" i="1" s="1"/>
  <c r="U353" i="1"/>
  <c r="F32" i="1"/>
  <c r="C33" i="1"/>
  <c r="Y65" i="1"/>
  <c r="Y62" i="1"/>
  <c r="U85" i="1"/>
  <c r="N85" i="1"/>
  <c r="P72" i="1"/>
  <c r="P56" i="1"/>
  <c r="P76" i="1"/>
  <c r="P60" i="1"/>
  <c r="P68" i="1"/>
  <c r="P64" i="1"/>
  <c r="Q355" i="1"/>
  <c r="Q363" i="1"/>
  <c r="Z58" i="1"/>
  <c r="AB102" i="1" s="1"/>
  <c r="Z61" i="1"/>
  <c r="W73" i="1"/>
  <c r="W74" i="1" s="1"/>
  <c r="W70" i="1"/>
  <c r="Q352" i="1"/>
  <c r="Q349" i="1"/>
  <c r="V350" i="1"/>
  <c r="A86" i="1"/>
  <c r="A85" i="1"/>
  <c r="K84" i="1" s="1"/>
  <c r="A89" i="1"/>
  <c r="K88" i="1" s="1"/>
  <c r="U285" i="1"/>
  <c r="U358" i="1" s="1"/>
  <c r="V19" i="1"/>
  <c r="Z306" i="1"/>
  <c r="Y28" i="1"/>
  <c r="X34" i="1"/>
  <c r="R323" i="1"/>
  <c r="R300" i="1" s="1"/>
  <c r="R304" i="1" s="1"/>
  <c r="Q35" i="1"/>
  <c r="Q288" i="1"/>
  <c r="X69" i="1"/>
  <c r="X66" i="1"/>
  <c r="X346" i="1"/>
  <c r="W345" i="1"/>
  <c r="T360" i="1"/>
  <c r="T365" i="1"/>
  <c r="T21" i="1" s="1"/>
  <c r="S361" i="1"/>
  <c r="S366" i="1" s="1"/>
  <c r="S23" i="1" s="1"/>
  <c r="S25" i="1" s="1"/>
  <c r="R311" i="1"/>
  <c r="R49" i="1" l="1"/>
  <c r="R309" i="1"/>
  <c r="R307" i="1"/>
  <c r="K117" i="1"/>
  <c r="K150" i="1" s="1"/>
  <c r="K100" i="1"/>
  <c r="Q117" i="1" s="1"/>
  <c r="K166" i="1" s="1"/>
  <c r="K85" i="1"/>
  <c r="A102" i="1"/>
  <c r="K101" i="1" s="1"/>
  <c r="N101" i="1"/>
  <c r="U101" i="1"/>
  <c r="V333" i="1"/>
  <c r="R349" i="1"/>
  <c r="R352" i="1"/>
  <c r="K121" i="1"/>
  <c r="K154" i="1" s="1"/>
  <c r="K104" i="1"/>
  <c r="Q121" i="1" s="1"/>
  <c r="K170" i="1" s="1"/>
  <c r="Q88" i="1"/>
  <c r="N118" i="1"/>
  <c r="W350" i="1"/>
  <c r="X345" i="1" s="1"/>
  <c r="X73" i="1"/>
  <c r="X74" i="1" s="1"/>
  <c r="X70" i="1"/>
  <c r="Z65" i="1"/>
  <c r="Z62" i="1"/>
  <c r="AB119" i="1" s="1"/>
  <c r="AD119" i="1" s="1"/>
  <c r="F33" i="1"/>
  <c r="C34" i="1"/>
  <c r="T24" i="1"/>
  <c r="Y346" i="1"/>
  <c r="V285" i="1"/>
  <c r="V358" i="1" s="1"/>
  <c r="W19" i="1"/>
  <c r="Q289" i="1"/>
  <c r="R371" i="1" s="1"/>
  <c r="R373" i="1" s="1"/>
  <c r="U365" i="1"/>
  <c r="U21" i="1" s="1"/>
  <c r="U360" i="1"/>
  <c r="T361" i="1"/>
  <c r="T366" i="1" s="1"/>
  <c r="T23" i="1" s="1"/>
  <c r="T25" i="1" s="1"/>
  <c r="Q48" i="1"/>
  <c r="Q36" i="1"/>
  <c r="Q38" i="1" s="1"/>
  <c r="Z28" i="1"/>
  <c r="Z34" i="1" s="1"/>
  <c r="Y34" i="1"/>
  <c r="R355" i="1"/>
  <c r="Q348" i="1"/>
  <c r="R363" i="1"/>
  <c r="S24" i="1"/>
  <c r="Y69" i="1"/>
  <c r="Y66" i="1"/>
  <c r="X350" i="1" l="1"/>
  <c r="Q42" i="1"/>
  <c r="Q44" i="1" s="1"/>
  <c r="Q47" i="1" s="1"/>
  <c r="Q52" i="1" s="1"/>
  <c r="Q41" i="1"/>
  <c r="Q118" i="1"/>
  <c r="Q101" i="1"/>
  <c r="T372" i="1"/>
  <c r="S347" i="1"/>
  <c r="S40" i="1"/>
  <c r="S50" i="1" s="1"/>
  <c r="W285" i="1"/>
  <c r="W358" i="1" s="1"/>
  <c r="X19" i="1"/>
  <c r="F34" i="1"/>
  <c r="C35" i="1"/>
  <c r="Z69" i="1"/>
  <c r="Z66" i="1"/>
  <c r="AB135" i="1" s="1"/>
  <c r="AD135" i="1" s="1"/>
  <c r="W334" i="1"/>
  <c r="W330" i="1" s="1"/>
  <c r="W333" i="1"/>
  <c r="V353" i="1"/>
  <c r="K118" i="1"/>
  <c r="K151" i="1" s="1"/>
  <c r="Q151" i="1" s="1"/>
  <c r="Q85" i="1"/>
  <c r="T347" i="1"/>
  <c r="U372" i="1"/>
  <c r="T40" i="1"/>
  <c r="T50" i="1" s="1"/>
  <c r="T118" i="1"/>
  <c r="R310" i="1"/>
  <c r="R312" i="1" s="1"/>
  <c r="R287" i="1"/>
  <c r="Y73" i="1"/>
  <c r="Y74" i="1" s="1"/>
  <c r="Y70" i="1"/>
  <c r="Z346" i="1"/>
  <c r="Y345" i="1"/>
  <c r="Q170" i="1"/>
  <c r="Q154" i="1"/>
  <c r="Q137" i="1"/>
  <c r="Q104" i="1"/>
  <c r="S355" i="1"/>
  <c r="S363" i="1"/>
  <c r="U361" i="1"/>
  <c r="U366" i="1" s="1"/>
  <c r="U23" i="1" s="1"/>
  <c r="U25" i="1" s="1"/>
  <c r="V365" i="1"/>
  <c r="V21" i="1" s="1"/>
  <c r="V360" i="1"/>
  <c r="U134" i="1"/>
  <c r="S311" i="1" l="1"/>
  <c r="T352" i="1"/>
  <c r="T349" i="1"/>
  <c r="X285" i="1"/>
  <c r="X358" i="1" s="1"/>
  <c r="Y19" i="1"/>
  <c r="S323" i="1"/>
  <c r="S300" i="1" s="1"/>
  <c r="S304" i="1" s="1"/>
  <c r="R35" i="1"/>
  <c r="R288" i="1"/>
  <c r="U24" i="1"/>
  <c r="X333" i="1"/>
  <c r="X334" i="1"/>
  <c r="X330" i="1" s="1"/>
  <c r="W353" i="1"/>
  <c r="Q76" i="1"/>
  <c r="Q60" i="1"/>
  <c r="Q64" i="1"/>
  <c r="Q72" i="1"/>
  <c r="Q68" i="1"/>
  <c r="Q56" i="1"/>
  <c r="V361" i="1"/>
  <c r="V366" i="1" s="1"/>
  <c r="V23" i="1" s="1"/>
  <c r="V25" i="1" s="1"/>
  <c r="W365" i="1"/>
  <c r="W21" i="1" s="1"/>
  <c r="W360" i="1"/>
  <c r="F35" i="1"/>
  <c r="C36" i="1"/>
  <c r="Y350" i="1"/>
  <c r="Z345" i="1" s="1"/>
  <c r="Z73" i="1"/>
  <c r="Z74" i="1" s="1"/>
  <c r="Z70" i="1"/>
  <c r="S349" i="1"/>
  <c r="S352" i="1"/>
  <c r="V24" i="1"/>
  <c r="K167" i="1"/>
  <c r="Q167" i="1" s="1"/>
  <c r="Q134" i="1"/>
  <c r="Z350" i="1" l="1"/>
  <c r="W372" i="1"/>
  <c r="V347" i="1"/>
  <c r="V40" i="1"/>
  <c r="V50" i="1" s="1"/>
  <c r="S49" i="1"/>
  <c r="S309" i="1"/>
  <c r="S310" i="1" s="1"/>
  <c r="S312" i="1" s="1"/>
  <c r="S307" i="1"/>
  <c r="U347" i="1"/>
  <c r="V372" i="1"/>
  <c r="U40" i="1"/>
  <c r="U50" i="1" s="1"/>
  <c r="AB168" i="1"/>
  <c r="AD168" i="1" s="1"/>
  <c r="U167" i="1" s="1"/>
  <c r="AB152" i="1"/>
  <c r="C37" i="1"/>
  <c r="C38" i="1" s="1"/>
  <c r="F36" i="1"/>
  <c r="Y334" i="1"/>
  <c r="Y330" i="1" s="1"/>
  <c r="X353" i="1"/>
  <c r="T355" i="1"/>
  <c r="T363" i="1"/>
  <c r="X360" i="1"/>
  <c r="X365" i="1"/>
  <c r="X21" i="1" s="1"/>
  <c r="W361" i="1"/>
  <c r="W366" i="1" s="1"/>
  <c r="W23" i="1" s="1"/>
  <c r="W25" i="1" s="1"/>
  <c r="Z19" i="1"/>
  <c r="Y285" i="1"/>
  <c r="Y358" i="1" s="1"/>
  <c r="R36" i="1"/>
  <c r="R38" i="1" s="1"/>
  <c r="R48" i="1"/>
  <c r="U355" i="1"/>
  <c r="T348" i="1"/>
  <c r="U363" i="1"/>
  <c r="R289" i="1"/>
  <c r="S371" i="1" s="1"/>
  <c r="S373" i="1" s="1"/>
  <c r="T323" i="1" l="1"/>
  <c r="T300" i="1" s="1"/>
  <c r="T304" i="1" s="1"/>
  <c r="S35" i="1"/>
  <c r="S288" i="1"/>
  <c r="W24" i="1"/>
  <c r="S287" i="1"/>
  <c r="Y365" i="1"/>
  <c r="Y21" i="1" s="1"/>
  <c r="Y360" i="1"/>
  <c r="X361" i="1"/>
  <c r="X366" i="1" s="1"/>
  <c r="X23" i="1" s="1"/>
  <c r="X25" i="1" s="1"/>
  <c r="AC360" i="1"/>
  <c r="Y333" i="1"/>
  <c r="C39" i="1"/>
  <c r="C40" i="1" s="1"/>
  <c r="F38" i="1"/>
  <c r="B248" i="1" s="1"/>
  <c r="R42" i="1"/>
  <c r="R44" i="1" s="1"/>
  <c r="R47" i="1" s="1"/>
  <c r="R52" i="1" s="1"/>
  <c r="R41" i="1"/>
  <c r="V349" i="1"/>
  <c r="V352" i="1"/>
  <c r="U352" i="1"/>
  <c r="U349" i="1"/>
  <c r="Z285" i="1"/>
  <c r="AA19" i="1"/>
  <c r="N151" i="1"/>
  <c r="AD152" i="1"/>
  <c r="U151" i="1" s="1"/>
  <c r="V355" i="1" l="1"/>
  <c r="V363" i="1"/>
  <c r="Y361" i="1"/>
  <c r="Y366" i="1" s="1"/>
  <c r="Y23" i="1" s="1"/>
  <c r="Y25" i="1" s="1"/>
  <c r="Z365" i="1"/>
  <c r="Z21" i="1" s="1"/>
  <c r="Z360" i="1"/>
  <c r="Z361" i="1" s="1"/>
  <c r="Z366" i="1" s="1"/>
  <c r="Z23" i="1" s="1"/>
  <c r="Z25" i="1" s="1"/>
  <c r="Z334" i="1"/>
  <c r="Z330" i="1" s="1"/>
  <c r="Z333" i="1"/>
  <c r="Z353" i="1" s="1"/>
  <c r="Y353" i="1"/>
  <c r="R72" i="1"/>
  <c r="R64" i="1"/>
  <c r="R68" i="1"/>
  <c r="R76" i="1"/>
  <c r="R60" i="1"/>
  <c r="R56" i="1"/>
  <c r="S289" i="1"/>
  <c r="T371" i="1" s="1"/>
  <c r="T373" i="1" s="1"/>
  <c r="T311" i="1"/>
  <c r="S48" i="1"/>
  <c r="S36" i="1"/>
  <c r="S38" i="1" s="1"/>
  <c r="F40" i="1"/>
  <c r="C41" i="1"/>
  <c r="X372" i="1"/>
  <c r="W40" i="1"/>
  <c r="W50" i="1" s="1"/>
  <c r="W347" i="1"/>
  <c r="N167" i="1"/>
  <c r="Z358" i="1"/>
  <c r="AA285" i="1"/>
  <c r="W355" i="1"/>
  <c r="W363" i="1"/>
  <c r="B249" i="1"/>
  <c r="H249" i="1" s="1"/>
  <c r="H248" i="1"/>
  <c r="X24" i="1"/>
  <c r="T49" i="1"/>
  <c r="T309" i="1"/>
  <c r="T310" i="1" s="1"/>
  <c r="T307" i="1"/>
  <c r="F41" i="1" l="1"/>
  <c r="C42" i="1"/>
  <c r="T312" i="1"/>
  <c r="W349" i="1"/>
  <c r="W352" i="1"/>
  <c r="T287" i="1"/>
  <c r="S42" i="1"/>
  <c r="S44" i="1" s="1"/>
  <c r="S47" i="1" s="1"/>
  <c r="S52" i="1" s="1"/>
  <c r="S41" i="1"/>
  <c r="Y24" i="1"/>
  <c r="Y372" i="1"/>
  <c r="X347" i="1"/>
  <c r="X40" i="1"/>
  <c r="X50" i="1" s="1"/>
  <c r="Z24" i="1"/>
  <c r="X355" i="1" l="1"/>
  <c r="X363" i="1"/>
  <c r="Z347" i="1"/>
  <c r="Z40" i="1"/>
  <c r="Z50" i="1" s="1"/>
  <c r="Y347" i="1"/>
  <c r="Z372" i="1"/>
  <c r="Y40" i="1"/>
  <c r="Y50" i="1" s="1"/>
  <c r="U304" i="1"/>
  <c r="U311" i="1"/>
  <c r="C43" i="1"/>
  <c r="C44" i="1" s="1"/>
  <c r="F42" i="1"/>
  <c r="S76" i="1"/>
  <c r="S68" i="1"/>
  <c r="S56" i="1"/>
  <c r="S60" i="1"/>
  <c r="S64" i="1"/>
  <c r="S72" i="1"/>
  <c r="T35" i="1"/>
  <c r="T288" i="1"/>
  <c r="T289" i="1" s="1"/>
  <c r="U371" i="1" s="1"/>
  <c r="U373" i="1" s="1"/>
  <c r="X352" i="1"/>
  <c r="X349" i="1"/>
  <c r="T48" i="1" l="1"/>
  <c r="T36" i="1"/>
  <c r="T38" i="1" s="1"/>
  <c r="F44" i="1"/>
  <c r="C45" i="1"/>
  <c r="Y352" i="1"/>
  <c r="Y349" i="1"/>
  <c r="U49" i="1"/>
  <c r="U309" i="1"/>
  <c r="U310" i="1" s="1"/>
  <c r="U307" i="1"/>
  <c r="Z349" i="1"/>
  <c r="Z352" i="1"/>
  <c r="Y355" i="1"/>
  <c r="Y363" i="1"/>
  <c r="U312" i="1"/>
  <c r="U35" i="1" s="1"/>
  <c r="T41" i="1" l="1"/>
  <c r="T42" i="1"/>
  <c r="T44" i="1" s="1"/>
  <c r="T47" i="1" s="1"/>
  <c r="T52" i="1" s="1"/>
  <c r="U48" i="1"/>
  <c r="U36" i="1"/>
  <c r="U38" i="1" s="1"/>
  <c r="U288" i="1"/>
  <c r="Z355" i="1"/>
  <c r="Z363" i="1"/>
  <c r="C46" i="1"/>
  <c r="C47" i="1" s="1"/>
  <c r="F45" i="1"/>
  <c r="U287" i="1"/>
  <c r="U42" i="1" l="1"/>
  <c r="U44" i="1" s="1"/>
  <c r="U47" i="1" s="1"/>
  <c r="U52" i="1" s="1"/>
  <c r="U41" i="1"/>
  <c r="U289" i="1"/>
  <c r="V371" i="1" s="1"/>
  <c r="V373" i="1" s="1"/>
  <c r="V304" i="1"/>
  <c r="V311" i="1"/>
  <c r="T56" i="1"/>
  <c r="T72" i="1"/>
  <c r="T60" i="1"/>
  <c r="T68" i="1"/>
  <c r="T64" i="1"/>
  <c r="T76" i="1"/>
  <c r="F47" i="1"/>
  <c r="C48" i="1"/>
  <c r="F48" i="1" l="1"/>
  <c r="C49" i="1"/>
  <c r="V49" i="1"/>
  <c r="V309" i="1"/>
  <c r="V307" i="1"/>
  <c r="U72" i="1"/>
  <c r="U60" i="1"/>
  <c r="U76" i="1"/>
  <c r="U64" i="1"/>
  <c r="U68" i="1"/>
  <c r="U56" i="1"/>
  <c r="F49" i="1" l="1"/>
  <c r="C50" i="1"/>
  <c r="V310" i="1"/>
  <c r="V312" i="1" s="1"/>
  <c r="V287" i="1"/>
  <c r="V35" i="1" l="1"/>
  <c r="V288" i="1"/>
  <c r="C51" i="1"/>
  <c r="C52" i="1" s="1"/>
  <c r="F50" i="1"/>
  <c r="W304" i="1"/>
  <c r="W311" i="1"/>
  <c r="W49" i="1" l="1"/>
  <c r="W309" i="1"/>
  <c r="W310" i="1" s="1"/>
  <c r="W307" i="1"/>
  <c r="W312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52" i="1"/>
  <c r="B260" i="1" s="1"/>
  <c r="H260" i="1" s="1"/>
  <c r="C53" i="1"/>
  <c r="W287" i="1"/>
  <c r="V289" i="1"/>
  <c r="W371" i="1" s="1"/>
  <c r="W373" i="1" s="1"/>
  <c r="V48" i="1"/>
  <c r="V36" i="1"/>
  <c r="V38" i="1" s="1"/>
  <c r="W35" i="1" l="1"/>
  <c r="W288" i="1"/>
  <c r="V42" i="1"/>
  <c r="V44" i="1" s="1"/>
  <c r="V47" i="1" s="1"/>
  <c r="V52" i="1" s="1"/>
  <c r="V41" i="1"/>
  <c r="X304" i="1"/>
  <c r="X311" i="1"/>
  <c r="F53" i="1"/>
  <c r="C54" i="1"/>
  <c r="V72" i="1" l="1"/>
  <c r="V76" i="1"/>
  <c r="V64" i="1"/>
  <c r="V68" i="1"/>
  <c r="V56" i="1"/>
  <c r="V60" i="1"/>
  <c r="C55" i="1"/>
  <c r="C56" i="1" s="1"/>
  <c r="F54" i="1"/>
  <c r="X312" i="1"/>
  <c r="X35" i="1" s="1"/>
  <c r="X49" i="1"/>
  <c r="X309" i="1"/>
  <c r="X310" i="1" s="1"/>
  <c r="X307" i="1"/>
  <c r="W289" i="1"/>
  <c r="X371" i="1" s="1"/>
  <c r="X373" i="1" s="1"/>
  <c r="W48" i="1"/>
  <c r="W36" i="1"/>
  <c r="W38" i="1" s="1"/>
  <c r="X288" i="1" l="1"/>
  <c r="F56" i="1"/>
  <c r="C57" i="1"/>
  <c r="C58" i="1" s="1"/>
  <c r="X48" i="1"/>
  <c r="X36" i="1"/>
  <c r="X38" i="1" s="1"/>
  <c r="W41" i="1"/>
  <c r="W42" i="1"/>
  <c r="W44" i="1" s="1"/>
  <c r="W47" i="1" s="1"/>
  <c r="W52" i="1" s="1"/>
  <c r="X287" i="1"/>
  <c r="X289" i="1" l="1"/>
  <c r="Y371" i="1" s="1"/>
  <c r="Y373" i="1" s="1"/>
  <c r="Y304" i="1"/>
  <c r="Y311" i="1"/>
  <c r="C59" i="1"/>
  <c r="C60" i="1" s="1"/>
  <c r="F58" i="1"/>
  <c r="W76" i="1"/>
  <c r="W68" i="1"/>
  <c r="W56" i="1"/>
  <c r="W72" i="1"/>
  <c r="W64" i="1"/>
  <c r="W60" i="1"/>
  <c r="X41" i="1"/>
  <c r="X42" i="1"/>
  <c r="X44" i="1" s="1"/>
  <c r="X47" i="1" s="1"/>
  <c r="X52" i="1" s="1"/>
  <c r="X56" i="1" l="1"/>
  <c r="X60" i="1"/>
  <c r="X68" i="1"/>
  <c r="X76" i="1"/>
  <c r="X72" i="1"/>
  <c r="X64" i="1"/>
  <c r="Y49" i="1"/>
  <c r="Y309" i="1"/>
  <c r="Y310" i="1" s="1"/>
  <c r="Y307" i="1"/>
  <c r="Y312" i="1" s="1"/>
  <c r="F60" i="1"/>
  <c r="C61" i="1"/>
  <c r="C62" i="1" s="1"/>
  <c r="Y287" i="1"/>
  <c r="Y35" i="1" l="1"/>
  <c r="Y288" i="1"/>
  <c r="C63" i="1"/>
  <c r="C64" i="1" s="1"/>
  <c r="F62" i="1"/>
  <c r="Y289" i="1"/>
  <c r="Z371" i="1" s="1"/>
  <c r="Z373" i="1" s="1"/>
  <c r="Z304" i="1"/>
  <c r="Z311" i="1"/>
  <c r="Z49" i="1" l="1"/>
  <c r="Z309" i="1"/>
  <c r="Z310" i="1" s="1"/>
  <c r="Z312" i="1" s="1"/>
  <c r="Z307" i="1"/>
  <c r="F64" i="1"/>
  <c r="C65" i="1"/>
  <c r="C66" i="1" s="1"/>
  <c r="Y48" i="1"/>
  <c r="Y36" i="1"/>
  <c r="Y38" i="1" s="1"/>
  <c r="Z35" i="1" l="1"/>
  <c r="Z288" i="1"/>
  <c r="Y42" i="1"/>
  <c r="Y44" i="1" s="1"/>
  <c r="Y47" i="1" s="1"/>
  <c r="Y52" i="1" s="1"/>
  <c r="Y41" i="1"/>
  <c r="Z287" i="1"/>
  <c r="Z289" i="1" s="1"/>
  <c r="C67" i="1"/>
  <c r="C68" i="1" s="1"/>
  <c r="F66" i="1"/>
  <c r="F68" i="1" l="1"/>
  <c r="C69" i="1"/>
  <c r="C70" i="1" s="1"/>
  <c r="Y60" i="1"/>
  <c r="Y72" i="1"/>
  <c r="Y64" i="1"/>
  <c r="Y76" i="1"/>
  <c r="Y68" i="1"/>
  <c r="Y56" i="1"/>
  <c r="Z48" i="1"/>
  <c r="Z36" i="1"/>
  <c r="Z38" i="1" s="1"/>
  <c r="C71" i="1" l="1"/>
  <c r="C72" i="1" s="1"/>
  <c r="F70" i="1"/>
  <c r="Z41" i="1"/>
  <c r="Z42" i="1"/>
  <c r="AD149" i="1" l="1"/>
  <c r="AD83" i="1"/>
  <c r="AD116" i="1"/>
  <c r="AD132" i="1" s="1"/>
  <c r="S131" i="1" s="1"/>
  <c r="U131" i="1" s="1"/>
  <c r="U133" i="1" s="1"/>
  <c r="U135" i="1" s="1"/>
  <c r="Z44" i="1"/>
  <c r="Z47" i="1" s="1"/>
  <c r="Z52" i="1" s="1"/>
  <c r="AD117" i="1"/>
  <c r="AD133" i="1" s="1"/>
  <c r="S132" i="1" s="1"/>
  <c r="U132" i="1" s="1"/>
  <c r="AD150" i="1"/>
  <c r="AD84" i="1"/>
  <c r="B261" i="1"/>
  <c r="H261" i="1" s="1"/>
  <c r="B262" i="1"/>
  <c r="H262" i="1" s="1"/>
  <c r="C73" i="1"/>
  <c r="C74" i="1" s="1"/>
  <c r="F72" i="1"/>
  <c r="Z72" i="1" l="1"/>
  <c r="AB72" i="1" s="1"/>
  <c r="Z64" i="1"/>
  <c r="AB64" i="1" s="1"/>
  <c r="AB52" i="1"/>
  <c r="Z76" i="1"/>
  <c r="AB76" i="1" s="1"/>
  <c r="Z68" i="1"/>
  <c r="AB68" i="1" s="1"/>
  <c r="Z56" i="1"/>
  <c r="AB56" i="1" s="1"/>
  <c r="Z60" i="1"/>
  <c r="AB60" i="1" s="1"/>
  <c r="AD100" i="1"/>
  <c r="S99" i="1" s="1"/>
  <c r="U99" i="1" s="1"/>
  <c r="S83" i="1"/>
  <c r="U83" i="1" s="1"/>
  <c r="C75" i="1"/>
  <c r="C76" i="1" s="1"/>
  <c r="F76" i="1" s="1"/>
  <c r="F74" i="1"/>
  <c r="S149" i="1"/>
  <c r="U149" i="1" s="1"/>
  <c r="AD166" i="1"/>
  <c r="S165" i="1" s="1"/>
  <c r="U165" i="1" s="1"/>
  <c r="S82" i="1"/>
  <c r="U82" i="1" s="1"/>
  <c r="U84" i="1" s="1"/>
  <c r="U86" i="1" s="1"/>
  <c r="AD99" i="1"/>
  <c r="S98" i="1" s="1"/>
  <c r="U98" i="1" s="1"/>
  <c r="U100" i="1" s="1"/>
  <c r="U102" i="1" s="1"/>
  <c r="S148" i="1"/>
  <c r="U148" i="1" s="1"/>
  <c r="U150" i="1" s="1"/>
  <c r="U152" i="1" s="1"/>
  <c r="AD165" i="1"/>
  <c r="S164" i="1" s="1"/>
  <c r="U164" i="1" s="1"/>
  <c r="U166" i="1" s="1"/>
  <c r="U168" i="1" s="1"/>
  <c r="AB165" i="1" l="1"/>
  <c r="N164" i="1" s="1"/>
  <c r="N166" i="1" s="1"/>
  <c r="N168" i="1" s="1"/>
  <c r="AB132" i="1"/>
  <c r="T115" i="1" s="1"/>
  <c r="T117" i="1" s="1"/>
  <c r="T119" i="1" s="1"/>
  <c r="AB116" i="1"/>
  <c r="N115" i="1" s="1"/>
  <c r="N117" i="1" s="1"/>
  <c r="N119" i="1" s="1"/>
  <c r="AB149" i="1"/>
  <c r="N148" i="1" s="1"/>
  <c r="N150" i="1" s="1"/>
  <c r="N152" i="1" s="1"/>
  <c r="AB99" i="1"/>
  <c r="N98" i="1" s="1"/>
  <c r="N100" i="1" s="1"/>
  <c r="N102" i="1" s="1"/>
  <c r="AB83" i="1"/>
  <c r="N82" i="1" s="1"/>
  <c r="N84" i="1" s="1"/>
  <c r="N86" i="1" s="1"/>
  <c r="AB122" i="1"/>
  <c r="AB89" i="1"/>
  <c r="AB105" i="1"/>
  <c r="AB138" i="1"/>
  <c r="AB171" i="1"/>
  <c r="AB155" i="1"/>
  <c r="AD155" i="1" l="1"/>
  <c r="U154" i="1" s="1"/>
  <c r="U156" i="1" s="1"/>
  <c r="N154" i="1"/>
  <c r="N104" i="1"/>
  <c r="N106" i="1" s="1"/>
  <c r="U104" i="1"/>
  <c r="U106" i="1" s="1"/>
  <c r="AD171" i="1"/>
  <c r="U170" i="1" s="1"/>
  <c r="U172" i="1" s="1"/>
  <c r="N170" i="1"/>
  <c r="N90" i="1"/>
  <c r="U88" i="1"/>
  <c r="U90" i="1" s="1"/>
  <c r="N88" i="1"/>
  <c r="N172" i="1"/>
  <c r="N123" i="1"/>
  <c r="U137" i="1"/>
  <c r="U139" i="1" s="1"/>
  <c r="AD138" i="1"/>
  <c r="T121" i="1"/>
  <c r="T123" i="1" s="1"/>
  <c r="AD122" i="1"/>
  <c r="N121" i="1"/>
  <c r="N156" i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<sst xmlns="http://schemas.openxmlformats.org/spreadsheetml/2006/main" count="332" uniqueCount="182">
  <si>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</si>
  <si>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</si>
  <si>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</si>
  <si>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</si>
  <si>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</si>
  <si>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</si>
  <si>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</si>
  <si>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</si>
  <si>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</si>
  <si>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</si>
  <si>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</si>
  <si>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MUNI</t>
  </si>
  <si>
    <t>flag</t>
  </si>
  <si>
    <t>Income Approach</t>
  </si>
  <si>
    <t>Township of Mahoning Water System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</si>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</sst>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38" fontId="5" fillId="0" borderId="7" xfId="0" applyNumberFormat="1" applyFont="1" applyFill="1" applyBorder="1"/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5.0000000000000001E-3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5.0000000000000001E-3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Water System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19"/>
      <c r="O12" s="19"/>
      <c r="P12" s="19"/>
      <c r="Q12" s="19"/>
      <c r="R12" s="19"/>
      <c r="U12" s="14" t="str">
        <f t="shared" si="0"/>
        <v>Pro Forma and Estimted Operations With MUNI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713319</v>
      </c>
      <c r="L21" s="38">
        <f>$K21*(1+(((1*0.1)+(0*0.15))*(3/12)))</f>
        <v>731151.97499999998</v>
      </c>
      <c r="M21" s="39">
        <f>$K21*(1+(((1*0.1)+(0*0.15))*(12/12)))</f>
        <v>784650.9</v>
      </c>
      <c r="N21" s="39">
        <f t="shared" ref="N21:O21" si="4">+N365</f>
        <v>809388</v>
      </c>
      <c r="O21" s="39">
        <f t="shared" si="4"/>
        <v>834177</v>
      </c>
      <c r="P21" s="39">
        <f>+P365</f>
        <v>838344</v>
      </c>
      <c r="Q21" s="39">
        <f t="shared" ref="Q21:Z21" si="5">+Q365</f>
        <v>842512</v>
      </c>
      <c r="R21" s="39">
        <f t="shared" si="5"/>
        <v>846707</v>
      </c>
      <c r="S21" s="39">
        <f t="shared" si="5"/>
        <v>850940</v>
      </c>
      <c r="T21" s="39">
        <f t="shared" si="5"/>
        <v>884272</v>
      </c>
      <c r="U21" s="39">
        <f t="shared" si="5"/>
        <v>888693</v>
      </c>
      <c r="V21" s="39">
        <f t="shared" si="5"/>
        <v>893136</v>
      </c>
      <c r="W21" s="39">
        <f t="shared" si="5"/>
        <v>926325</v>
      </c>
      <c r="X21" s="39">
        <f t="shared" si="5"/>
        <v>930957</v>
      </c>
      <c r="Y21" s="39">
        <f t="shared" si="5"/>
        <v>935612</v>
      </c>
      <c r="Z21" s="39">
        <f t="shared" si="5"/>
        <v>970379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22705</v>
      </c>
      <c r="L22" s="38">
        <f>+K22</f>
        <v>22705</v>
      </c>
      <c r="M22" s="38">
        <f>+L22</f>
        <v>22705</v>
      </c>
      <c r="N22" s="38">
        <f t="shared" ref="N22:Z22" si="6">+M22</f>
        <v>22705</v>
      </c>
      <c r="O22" s="38">
        <f t="shared" si="6"/>
        <v>22705</v>
      </c>
      <c r="P22" s="38">
        <f t="shared" si="6"/>
        <v>22705</v>
      </c>
      <c r="Q22" s="38">
        <f t="shared" si="6"/>
        <v>22705</v>
      </c>
      <c r="R22" s="38">
        <f t="shared" si="6"/>
        <v>22705</v>
      </c>
      <c r="S22" s="38">
        <f t="shared" si="6"/>
        <v>22705</v>
      </c>
      <c r="T22" s="38">
        <f t="shared" si="6"/>
        <v>22705</v>
      </c>
      <c r="U22" s="38">
        <f t="shared" si="6"/>
        <v>22705</v>
      </c>
      <c r="V22" s="38">
        <f t="shared" si="6"/>
        <v>22705</v>
      </c>
      <c r="W22" s="38">
        <f t="shared" si="6"/>
        <v>22705</v>
      </c>
      <c r="X22" s="38">
        <f t="shared" si="6"/>
        <v>22705</v>
      </c>
      <c r="Y22" s="38">
        <f t="shared" si="6"/>
        <v>22705</v>
      </c>
      <c r="Z22" s="38">
        <f t="shared" si="6"/>
        <v>22705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0</v>
      </c>
      <c r="Q23" s="38">
        <f t="shared" ref="Q23:Z23" si="8">+Q366</f>
        <v>0</v>
      </c>
      <c r="R23" s="38">
        <f t="shared" si="8"/>
        <v>0</v>
      </c>
      <c r="S23" s="38">
        <f t="shared" si="8"/>
        <v>28932</v>
      </c>
      <c r="T23" s="38">
        <f t="shared" si="8"/>
        <v>0</v>
      </c>
      <c r="U23" s="38">
        <f t="shared" si="8"/>
        <v>0</v>
      </c>
      <c r="V23" s="38">
        <f t="shared" si="8"/>
        <v>28580</v>
      </c>
      <c r="W23" s="38">
        <f t="shared" si="8"/>
        <v>0</v>
      </c>
      <c r="X23" s="38">
        <f t="shared" si="8"/>
        <v>0</v>
      </c>
      <c r="Y23" s="38">
        <f t="shared" si="8"/>
        <v>29940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Z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736024</v>
      </c>
      <c r="L24" s="41">
        <f t="shared" si="9"/>
        <v>753856.97499999998</v>
      </c>
      <c r="M24" s="41">
        <f t="shared" si="9"/>
        <v>807355.9</v>
      </c>
      <c r="N24" s="41">
        <f t="shared" si="9"/>
        <v>832093</v>
      </c>
      <c r="O24" s="41">
        <f t="shared" si="9"/>
        <v>856882</v>
      </c>
      <c r="P24" s="41">
        <f t="shared" si="9"/>
        <v>861049</v>
      </c>
      <c r="Q24" s="41">
        <f t="shared" si="9"/>
        <v>865217</v>
      </c>
      <c r="R24" s="41">
        <f t="shared" si="9"/>
        <v>869412</v>
      </c>
      <c r="S24" s="41">
        <f t="shared" si="9"/>
        <v>902577</v>
      </c>
      <c r="T24" s="41">
        <f t="shared" si="9"/>
        <v>906977</v>
      </c>
      <c r="U24" s="41">
        <f t="shared" si="9"/>
        <v>911398</v>
      </c>
      <c r="V24" s="41">
        <f t="shared" si="9"/>
        <v>944421</v>
      </c>
      <c r="W24" s="41">
        <f t="shared" si="9"/>
        <v>949030</v>
      </c>
      <c r="X24" s="41">
        <f t="shared" si="9"/>
        <v>953662</v>
      </c>
      <c r="Y24" s="41">
        <f t="shared" si="9"/>
        <v>988257</v>
      </c>
      <c r="Z24" s="41">
        <f t="shared" si="9"/>
        <v>993084</v>
      </c>
      <c r="AA24" s="41">
        <f t="shared" ref="AA24" si="10">SUM(AA21:AA23)</f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1">IF(N23&gt;0,+N23/N21,"")</f>
        <v/>
      </c>
      <c r="O25" s="45" t="str">
        <f t="shared" si="11"/>
        <v/>
      </c>
      <c r="P25" s="45" t="str">
        <f t="shared" si="11"/>
        <v/>
      </c>
      <c r="Q25" s="45" t="str">
        <f t="shared" si="11"/>
        <v/>
      </c>
      <c r="R25" s="45" t="str">
        <f t="shared" si="11"/>
        <v/>
      </c>
      <c r="S25" s="45">
        <f t="shared" si="11"/>
        <v>3.4000047006839493E-2</v>
      </c>
      <c r="T25" s="45" t="str">
        <f t="shared" si="11"/>
        <v/>
      </c>
      <c r="U25" s="45" t="str">
        <f t="shared" si="11"/>
        <v/>
      </c>
      <c r="V25" s="45">
        <f t="shared" si="11"/>
        <v>3.1999605883090594E-2</v>
      </c>
      <c r="W25" s="45" t="str">
        <f t="shared" si="11"/>
        <v/>
      </c>
      <c r="X25" s="45" t="str">
        <f t="shared" si="11"/>
        <v/>
      </c>
      <c r="Y25" s="45">
        <f t="shared" si="11"/>
        <v>3.2000444628756362E-2</v>
      </c>
      <c r="Z25" s="45" t="str">
        <f t="shared" si="11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590138</v>
      </c>
      <c r="L28" s="38">
        <f t="shared" ref="L28:Z28" si="12">+K28*(1+$AC28)</f>
        <v>601940.76</v>
      </c>
      <c r="M28" s="38">
        <f t="shared" si="12"/>
        <v>613979.57519999996</v>
      </c>
      <c r="N28" s="38">
        <f t="shared" si="12"/>
        <v>626259.16670399997</v>
      </c>
      <c r="O28" s="38">
        <f t="shared" si="12"/>
        <v>638784.35003808001</v>
      </c>
      <c r="P28" s="38">
        <f t="shared" si="12"/>
        <v>651560.03703884163</v>
      </c>
      <c r="Q28" s="38">
        <f t="shared" si="12"/>
        <v>664591.23777961847</v>
      </c>
      <c r="R28" s="38">
        <f t="shared" si="12"/>
        <v>677883.06253521086</v>
      </c>
      <c r="S28" s="38">
        <f t="shared" si="12"/>
        <v>691440.72378591506</v>
      </c>
      <c r="T28" s="38">
        <f t="shared" si="12"/>
        <v>705269.53826163337</v>
      </c>
      <c r="U28" s="38">
        <f t="shared" si="12"/>
        <v>719374.9290268661</v>
      </c>
      <c r="V28" s="38">
        <f t="shared" si="12"/>
        <v>733762.42760740349</v>
      </c>
      <c r="W28" s="38">
        <f t="shared" si="12"/>
        <v>748437.6761595516</v>
      </c>
      <c r="X28" s="38">
        <f t="shared" si="12"/>
        <v>763406.42968274269</v>
      </c>
      <c r="Y28" s="38">
        <f t="shared" si="12"/>
        <v>778674.55827639753</v>
      </c>
      <c r="Z28" s="38">
        <f t="shared" si="12"/>
        <v>794248.04944192548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-11583.934286400001</v>
      </c>
      <c r="O30" s="38">
        <f t="shared" ref="O30:Z32" si="13">+N30*(1+$AC30)</f>
        <v>-11815.612972128001</v>
      </c>
      <c r="P30" s="38">
        <f t="shared" si="13"/>
        <v>-12051.925231570562</v>
      </c>
      <c r="Q30" s="38">
        <f t="shared" si="13"/>
        <v>-12292.963736201973</v>
      </c>
      <c r="R30" s="38">
        <f t="shared" si="13"/>
        <v>-12538.823010926013</v>
      </c>
      <c r="S30" s="38">
        <f t="shared" si="13"/>
        <v>-12789.599471144533</v>
      </c>
      <c r="T30" s="38">
        <f t="shared" si="13"/>
        <v>-13045.391460567424</v>
      </c>
      <c r="U30" s="38">
        <f t="shared" si="13"/>
        <v>-13306.299289778772</v>
      </c>
      <c r="V30" s="38">
        <f t="shared" si="13"/>
        <v>-13572.425275574347</v>
      </c>
      <c r="W30" s="38">
        <f t="shared" si="13"/>
        <v>-13843.873781085835</v>
      </c>
      <c r="X30" s="38">
        <f t="shared" si="13"/>
        <v>-14120.751256707552</v>
      </c>
      <c r="Y30" s="38">
        <f t="shared" si="13"/>
        <v>-14403.166281841703</v>
      </c>
      <c r="Z30" s="38">
        <f t="shared" si="13"/>
        <v>-14691.229607478537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4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-44501.757480000007</v>
      </c>
      <c r="O31" s="38">
        <f t="shared" si="13"/>
        <v>-45391.792629600008</v>
      </c>
      <c r="P31" s="38">
        <f t="shared" si="13"/>
        <v>-46299.628482192005</v>
      </c>
      <c r="Q31" s="38">
        <f t="shared" si="13"/>
        <v>-47225.621051835849</v>
      </c>
      <c r="R31" s="38">
        <f t="shared" si="13"/>
        <v>-48170.133472872571</v>
      </c>
      <c r="S31" s="38">
        <f t="shared" si="13"/>
        <v>-49133.53614233002</v>
      </c>
      <c r="T31" s="38">
        <f t="shared" si="13"/>
        <v>-50116.206865176624</v>
      </c>
      <c r="U31" s="38">
        <f t="shared" si="13"/>
        <v>-51118.531002480158</v>
      </c>
      <c r="V31" s="38">
        <f t="shared" si="13"/>
        <v>-52140.90162252976</v>
      </c>
      <c r="W31" s="38">
        <f t="shared" si="13"/>
        <v>-53183.719654980356</v>
      </c>
      <c r="X31" s="38">
        <f t="shared" si="13"/>
        <v>-54247.394048079965</v>
      </c>
      <c r="Y31" s="38">
        <f t="shared" si="13"/>
        <v>-55332.341929041562</v>
      </c>
      <c r="Z31" s="38">
        <f t="shared" si="13"/>
        <v>-56438.988767622395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4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-1469.1363552000003</v>
      </c>
      <c r="O32" s="38">
        <f t="shared" si="13"/>
        <v>-1498.5190823040002</v>
      </c>
      <c r="P32" s="38">
        <f t="shared" si="13"/>
        <v>-1528.4894639500803</v>
      </c>
      <c r="Q32" s="38">
        <f t="shared" si="13"/>
        <v>-1559.0592532290821</v>
      </c>
      <c r="R32" s="38">
        <f t="shared" si="13"/>
        <v>-1590.2404382936638</v>
      </c>
      <c r="S32" s="38">
        <f t="shared" si="13"/>
        <v>-1622.0452470595371</v>
      </c>
      <c r="T32" s="38">
        <f t="shared" si="13"/>
        <v>-1654.486152000728</v>
      </c>
      <c r="U32" s="38">
        <f t="shared" si="13"/>
        <v>-1687.5758750407426</v>
      </c>
      <c r="V32" s="38">
        <f t="shared" si="13"/>
        <v>-1721.3273925415574</v>
      </c>
      <c r="W32" s="38">
        <f t="shared" si="13"/>
        <v>-1755.7539403923886</v>
      </c>
      <c r="X32" s="38">
        <f t="shared" si="13"/>
        <v>-1790.8690192002364</v>
      </c>
      <c r="Y32" s="38">
        <f t="shared" si="13"/>
        <v>-1826.6863995842411</v>
      </c>
      <c r="Z32" s="38">
        <f t="shared" si="13"/>
        <v>-1863.220127575926</v>
      </c>
      <c r="AA32" s="29"/>
      <c r="AB32" s="29"/>
      <c r="AC32" s="1">
        <f t="shared" ref="AC32" si="15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12</v>
      </c>
      <c r="D33" s="21">
        <f>IF($C$10="IOU",1,0)</f>
        <v>0</v>
      </c>
      <c r="F33" s="31">
        <f t="shared" si="2"/>
        <v>12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0</v>
      </c>
      <c r="O33" s="38">
        <f>IF($C$10="IOU",+O373,0)</f>
        <v>0</v>
      </c>
      <c r="P33" s="38">
        <f>IF($C$10="IOU",+P373,0)</f>
        <v>0</v>
      </c>
      <c r="Q33" s="38">
        <f>IF($C$10="IOU",+Q373,0)</f>
        <v>0</v>
      </c>
      <c r="R33" s="38">
        <f>IF($C$10="IOU",+R373,0)</f>
        <v>0</v>
      </c>
      <c r="S33" s="38">
        <f>IF($C$10="IOU",+S373,0)</f>
        <v>0</v>
      </c>
      <c r="T33" s="38">
        <f>IF($C$10="IOU",+T373,0)</f>
        <v>0</v>
      </c>
      <c r="U33" s="38">
        <f>IF($C$10="IOU",+U373,0)</f>
        <v>0</v>
      </c>
      <c r="V33" s="38">
        <f>IF($C$10="IOU",+V373,0)</f>
        <v>0</v>
      </c>
      <c r="W33" s="38">
        <f>IF($C$10="IOU",+W373,0)</f>
        <v>0</v>
      </c>
      <c r="X33" s="38">
        <f>IF($C$10="IOU",+X373,0)</f>
        <v>0</v>
      </c>
      <c r="Y33" s="38">
        <f>IF($C$10="IOU",+Y373,0)</f>
        <v>0</v>
      </c>
      <c r="Z33" s="38">
        <f>IF($C$10="IOU",+Z373,0)</f>
        <v>0</v>
      </c>
      <c r="AA33" s="29"/>
      <c r="AB33" s="29"/>
    </row>
    <row r="34" spans="1:28" ht="15" x14ac:dyDescent="0.25">
      <c r="C34" s="30">
        <f>IF(D34=0,C33,IF(ISBLANK(G34),C33,1+MAX(C$18:C33)))</f>
        <v>13</v>
      </c>
      <c r="D34" s="21">
        <v>1</v>
      </c>
      <c r="F34" s="31">
        <f t="shared" si="2"/>
        <v>13</v>
      </c>
      <c r="G34" s="56" t="s">
        <v>41</v>
      </c>
      <c r="H34" s="57">
        <f t="shared" ref="H34:Z34" si="16">SUM(H28:H33)</f>
        <v>0</v>
      </c>
      <c r="I34" s="57">
        <f t="shared" si="16"/>
        <v>0</v>
      </c>
      <c r="J34" s="57">
        <f t="shared" si="16"/>
        <v>0</v>
      </c>
      <c r="K34" s="57">
        <f t="shared" si="16"/>
        <v>590138</v>
      </c>
      <c r="L34" s="57">
        <f t="shared" si="16"/>
        <v>601940.76</v>
      </c>
      <c r="M34" s="57">
        <f t="shared" si="16"/>
        <v>613979.57519999996</v>
      </c>
      <c r="N34" s="57">
        <f t="shared" si="16"/>
        <v>568704.3385824</v>
      </c>
      <c r="O34" s="57">
        <f t="shared" si="16"/>
        <v>580078.42535404803</v>
      </c>
      <c r="P34" s="57">
        <f t="shared" si="16"/>
        <v>591679.99386112893</v>
      </c>
      <c r="Q34" s="57">
        <f t="shared" si="16"/>
        <v>603513.5937383516</v>
      </c>
      <c r="R34" s="57">
        <f t="shared" si="16"/>
        <v>615583.86561311863</v>
      </c>
      <c r="S34" s="57">
        <f t="shared" si="16"/>
        <v>627895.54292538099</v>
      </c>
      <c r="T34" s="57">
        <f t="shared" si="16"/>
        <v>640453.45378388849</v>
      </c>
      <c r="U34" s="57">
        <f t="shared" si="16"/>
        <v>653262.52285956638</v>
      </c>
      <c r="V34" s="57">
        <f t="shared" si="16"/>
        <v>666327.77331675787</v>
      </c>
      <c r="W34" s="57">
        <f t="shared" si="16"/>
        <v>679654.32878309302</v>
      </c>
      <c r="X34" s="57">
        <f t="shared" si="16"/>
        <v>693247.41535875492</v>
      </c>
      <c r="Y34" s="57">
        <f t="shared" si="16"/>
        <v>707112.36366593</v>
      </c>
      <c r="Z34" s="57">
        <f t="shared" si="16"/>
        <v>721254.6109392487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14</v>
      </c>
      <c r="D35" s="21">
        <v>1</v>
      </c>
      <c r="F35" s="31">
        <f t="shared" si="2"/>
        <v>14</v>
      </c>
      <c r="G35" s="26" t="str">
        <f>+A35&amp;" ("&amp;B35&amp;")"</f>
        <v>Depreciation (2)</v>
      </c>
      <c r="H35" s="39">
        <f>+H314</f>
        <v>0</v>
      </c>
      <c r="I35" s="39">
        <f t="shared" ref="I35:J35" si="17">+I314</f>
        <v>0</v>
      </c>
      <c r="J35" s="39">
        <f t="shared" si="17"/>
        <v>0</v>
      </c>
      <c r="K35" s="39">
        <f>+K459</f>
        <v>60448</v>
      </c>
      <c r="L35" s="39">
        <f>+L312</f>
        <v>60448</v>
      </c>
      <c r="M35" s="39">
        <f>+M312</f>
        <v>91061.478400000007</v>
      </c>
      <c r="N35" s="39">
        <f>+N312</f>
        <v>91582.291200000007</v>
      </c>
      <c r="O35" s="39">
        <f t="shared" ref="O35:Z35" si="18">+O312</f>
        <v>92849.768799999991</v>
      </c>
      <c r="P35" s="39">
        <f t="shared" si="18"/>
        <v>94129.647200000007</v>
      </c>
      <c r="Q35" s="39">
        <f t="shared" si="18"/>
        <v>95426.104000000007</v>
      </c>
      <c r="R35" s="39">
        <f t="shared" si="18"/>
        <v>96741.294000000009</v>
      </c>
      <c r="S35" s="39">
        <f t="shared" si="18"/>
        <v>98073.440799999997</v>
      </c>
      <c r="T35" s="39">
        <f t="shared" si="18"/>
        <v>99424.8024</v>
      </c>
      <c r="U35" s="39">
        <f t="shared" si="18"/>
        <v>100784.28080000001</v>
      </c>
      <c r="V35" s="39">
        <f t="shared" si="18"/>
        <v>102146.61599999999</v>
      </c>
      <c r="W35" s="39">
        <f t="shared" si="18"/>
        <v>103526.2004</v>
      </c>
      <c r="X35" s="39">
        <f t="shared" si="18"/>
        <v>104926.292</v>
      </c>
      <c r="Y35" s="39">
        <f t="shared" si="18"/>
        <v>106344.166</v>
      </c>
      <c r="Z35" s="39">
        <f t="shared" si="18"/>
        <v>107781.0288</v>
      </c>
      <c r="AA35" s="29"/>
      <c r="AB35" s="29"/>
    </row>
    <row r="36" spans="1:28" ht="15.75" thickBot="1" x14ac:dyDescent="0.3">
      <c r="C36" s="30">
        <f>IF(D36=0,C35,IF(ISBLANK(G36),C35,1+MAX(C$18:C35)))</f>
        <v>15</v>
      </c>
      <c r="D36" s="21">
        <v>1</v>
      </c>
      <c r="F36" s="31">
        <f t="shared" si="2"/>
        <v>15</v>
      </c>
      <c r="G36" s="56" t="s">
        <v>43</v>
      </c>
      <c r="H36" s="41">
        <f t="shared" ref="H36:Z36" si="19">+H35+H34</f>
        <v>0</v>
      </c>
      <c r="I36" s="41">
        <f t="shared" si="19"/>
        <v>0</v>
      </c>
      <c r="J36" s="41">
        <f t="shared" si="19"/>
        <v>0</v>
      </c>
      <c r="K36" s="41">
        <f t="shared" si="19"/>
        <v>650586</v>
      </c>
      <c r="L36" s="41">
        <f t="shared" si="19"/>
        <v>662388.76</v>
      </c>
      <c r="M36" s="41">
        <f t="shared" si="19"/>
        <v>705041.05359999998</v>
      </c>
      <c r="N36" s="41">
        <f t="shared" si="19"/>
        <v>660286.62978239998</v>
      </c>
      <c r="O36" s="41">
        <f t="shared" si="19"/>
        <v>672928.19415404799</v>
      </c>
      <c r="P36" s="41">
        <f t="shared" si="19"/>
        <v>685809.64106112893</v>
      </c>
      <c r="Q36" s="41">
        <f t="shared" si="19"/>
        <v>698939.69773835165</v>
      </c>
      <c r="R36" s="41">
        <f t="shared" si="19"/>
        <v>712325.15961311862</v>
      </c>
      <c r="S36" s="41">
        <f t="shared" si="19"/>
        <v>725968.98372538097</v>
      </c>
      <c r="T36" s="41">
        <f t="shared" si="19"/>
        <v>739878.25618388853</v>
      </c>
      <c r="U36" s="41">
        <f t="shared" si="19"/>
        <v>754046.80365956645</v>
      </c>
      <c r="V36" s="41">
        <f t="shared" si="19"/>
        <v>768474.38931675791</v>
      </c>
      <c r="W36" s="41">
        <f t="shared" si="19"/>
        <v>783180.52918309299</v>
      </c>
      <c r="X36" s="41">
        <f t="shared" si="19"/>
        <v>798173.70735875494</v>
      </c>
      <c r="Y36" s="41">
        <f t="shared" si="19"/>
        <v>813456.52966592996</v>
      </c>
      <c r="Z36" s="41">
        <f t="shared" si="19"/>
        <v>829035.63973924867</v>
      </c>
      <c r="AA36" s="29"/>
      <c r="AB36" s="29"/>
    </row>
    <row r="37" spans="1:28" ht="15.75" thickTop="1" x14ac:dyDescent="0.25">
      <c r="C37" s="30">
        <f>IF(D37=0,C36,IF(ISBLANK(G37),C36,1+MAX(C$18:C36)))</f>
        <v>15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16</v>
      </c>
      <c r="D38" s="21">
        <v>1</v>
      </c>
      <c r="F38" s="31">
        <f t="shared" si="2"/>
        <v>16</v>
      </c>
      <c r="G38" s="40" t="s">
        <v>44</v>
      </c>
      <c r="H38" s="41">
        <f t="shared" ref="H38:Z38" si="20">+H24-H36</f>
        <v>0</v>
      </c>
      <c r="I38" s="41">
        <f t="shared" si="20"/>
        <v>0</v>
      </c>
      <c r="J38" s="41">
        <f t="shared" si="20"/>
        <v>0</v>
      </c>
      <c r="K38" s="41">
        <f t="shared" si="20"/>
        <v>85438</v>
      </c>
      <c r="L38" s="41">
        <f t="shared" si="20"/>
        <v>91468.214999999967</v>
      </c>
      <c r="M38" s="41">
        <f t="shared" si="20"/>
        <v>102314.84640000004</v>
      </c>
      <c r="N38" s="41">
        <f t="shared" si="20"/>
        <v>171806.37021760002</v>
      </c>
      <c r="O38" s="41">
        <f t="shared" si="20"/>
        <v>183953.80584595201</v>
      </c>
      <c r="P38" s="41">
        <f t="shared" si="20"/>
        <v>175239.35893887107</v>
      </c>
      <c r="Q38" s="41">
        <f t="shared" si="20"/>
        <v>166277.30226164835</v>
      </c>
      <c r="R38" s="41">
        <f t="shared" si="20"/>
        <v>157086.84038688138</v>
      </c>
      <c r="S38" s="41">
        <f t="shared" si="20"/>
        <v>176608.01627461903</v>
      </c>
      <c r="T38" s="41">
        <f t="shared" si="20"/>
        <v>167098.74381611147</v>
      </c>
      <c r="U38" s="41">
        <f t="shared" si="20"/>
        <v>157351.19634043355</v>
      </c>
      <c r="V38" s="41">
        <f t="shared" si="20"/>
        <v>175946.61068324209</v>
      </c>
      <c r="W38" s="41">
        <f t="shared" si="20"/>
        <v>165849.47081690701</v>
      </c>
      <c r="X38" s="41">
        <f t="shared" si="20"/>
        <v>155488.29264124506</v>
      </c>
      <c r="Y38" s="41">
        <f t="shared" si="20"/>
        <v>174800.47033407004</v>
      </c>
      <c r="Z38" s="41">
        <f t="shared" si="20"/>
        <v>164048.36026075133</v>
      </c>
      <c r="AA38" s="29"/>
      <c r="AB38" s="29"/>
    </row>
    <row r="39" spans="1:28" ht="15.75" thickTop="1" x14ac:dyDescent="0.25">
      <c r="C39" s="30">
        <f>IF(D39=0,C38,IF(ISBLANK(G39),C38,1+MAX(C$18:C38)))</f>
        <v>16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17</v>
      </c>
      <c r="D40" s="21">
        <v>1</v>
      </c>
      <c r="F40" s="31">
        <f t="shared" si="2"/>
        <v>17</v>
      </c>
      <c r="G40" s="26" t="str">
        <f t="shared" ref="G40:G42" si="21">+A40&amp;" ("&amp;B40&amp;")"</f>
        <v>Revenues (3)</v>
      </c>
      <c r="H40" s="38">
        <f t="shared" ref="H40:Z40" si="22">+H24</f>
        <v>0</v>
      </c>
      <c r="I40" s="38">
        <f t="shared" si="22"/>
        <v>0</v>
      </c>
      <c r="J40" s="38">
        <f t="shared" si="22"/>
        <v>0</v>
      </c>
      <c r="K40" s="38">
        <f t="shared" si="22"/>
        <v>736024</v>
      </c>
      <c r="L40" s="38">
        <f t="shared" si="22"/>
        <v>753856.97499999998</v>
      </c>
      <c r="M40" s="38">
        <f t="shared" si="22"/>
        <v>807355.9</v>
      </c>
      <c r="N40" s="38">
        <f t="shared" si="22"/>
        <v>832093</v>
      </c>
      <c r="O40" s="38">
        <f t="shared" si="22"/>
        <v>856882</v>
      </c>
      <c r="P40" s="38">
        <f t="shared" si="22"/>
        <v>861049</v>
      </c>
      <c r="Q40" s="38">
        <f t="shared" si="22"/>
        <v>865217</v>
      </c>
      <c r="R40" s="38">
        <f t="shared" si="22"/>
        <v>869412</v>
      </c>
      <c r="S40" s="38">
        <f t="shared" si="22"/>
        <v>902577</v>
      </c>
      <c r="T40" s="38">
        <f t="shared" si="22"/>
        <v>906977</v>
      </c>
      <c r="U40" s="38">
        <f t="shared" si="22"/>
        <v>911398</v>
      </c>
      <c r="V40" s="38">
        <f t="shared" si="22"/>
        <v>944421</v>
      </c>
      <c r="W40" s="38">
        <f t="shared" si="22"/>
        <v>949030</v>
      </c>
      <c r="X40" s="38">
        <f t="shared" si="22"/>
        <v>953662</v>
      </c>
      <c r="Y40" s="38">
        <f t="shared" si="22"/>
        <v>988257</v>
      </c>
      <c r="Z40" s="38">
        <f t="shared" si="22"/>
        <v>993084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18</v>
      </c>
      <c r="D41" s="21">
        <v>1</v>
      </c>
      <c r="F41" s="31">
        <f t="shared" si="2"/>
        <v>18</v>
      </c>
      <c r="G41" s="26" t="str">
        <f t="shared" si="21"/>
        <v>EBITDA (4)</v>
      </c>
      <c r="H41" s="38">
        <f t="shared" ref="H41:Z41" si="23">+H38+H35</f>
        <v>0</v>
      </c>
      <c r="I41" s="38">
        <f t="shared" si="23"/>
        <v>0</v>
      </c>
      <c r="J41" s="38">
        <f t="shared" si="23"/>
        <v>0</v>
      </c>
      <c r="K41" s="38">
        <f t="shared" si="23"/>
        <v>145886</v>
      </c>
      <c r="L41" s="38">
        <f t="shared" si="23"/>
        <v>151916.21499999997</v>
      </c>
      <c r="M41" s="38">
        <f t="shared" si="23"/>
        <v>193376.32480000006</v>
      </c>
      <c r="N41" s="38">
        <f t="shared" si="23"/>
        <v>263388.6614176</v>
      </c>
      <c r="O41" s="38">
        <f t="shared" si="23"/>
        <v>276803.57464595197</v>
      </c>
      <c r="P41" s="38">
        <f t="shared" si="23"/>
        <v>269369.00613887107</v>
      </c>
      <c r="Q41" s="38">
        <f t="shared" si="23"/>
        <v>261703.40626164834</v>
      </c>
      <c r="R41" s="38">
        <f t="shared" si="23"/>
        <v>253828.13438688137</v>
      </c>
      <c r="S41" s="38">
        <f t="shared" si="23"/>
        <v>274681.45707461901</v>
      </c>
      <c r="T41" s="38">
        <f t="shared" si="23"/>
        <v>266523.54621611146</v>
      </c>
      <c r="U41" s="38">
        <f t="shared" si="23"/>
        <v>258135.47714043356</v>
      </c>
      <c r="V41" s="38">
        <f t="shared" si="23"/>
        <v>278093.22668324207</v>
      </c>
      <c r="W41" s="38">
        <f t="shared" si="23"/>
        <v>269375.67121690698</v>
      </c>
      <c r="X41" s="38">
        <f t="shared" si="23"/>
        <v>260414.58464124508</v>
      </c>
      <c r="Y41" s="38">
        <f t="shared" si="23"/>
        <v>281144.63633407</v>
      </c>
      <c r="Z41" s="38">
        <f t="shared" si="23"/>
        <v>271829.3890607513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19</v>
      </c>
      <c r="D42" s="21">
        <v>1</v>
      </c>
      <c r="F42" s="31">
        <f t="shared" si="2"/>
        <v>19</v>
      </c>
      <c r="G42" s="26" t="str">
        <f t="shared" si="21"/>
        <v>EBIT (5)</v>
      </c>
      <c r="H42" s="38">
        <f t="shared" ref="H42:Z42" si="24">+H38</f>
        <v>0</v>
      </c>
      <c r="I42" s="38">
        <f t="shared" si="24"/>
        <v>0</v>
      </c>
      <c r="J42" s="38">
        <f t="shared" si="24"/>
        <v>0</v>
      </c>
      <c r="K42" s="38">
        <f t="shared" si="24"/>
        <v>85438</v>
      </c>
      <c r="L42" s="38">
        <f t="shared" si="24"/>
        <v>91468.214999999967</v>
      </c>
      <c r="M42" s="38">
        <f t="shared" si="24"/>
        <v>102314.84640000004</v>
      </c>
      <c r="N42" s="38">
        <f t="shared" si="24"/>
        <v>171806.37021760002</v>
      </c>
      <c r="O42" s="38">
        <f t="shared" si="24"/>
        <v>183953.80584595201</v>
      </c>
      <c r="P42" s="38">
        <f t="shared" si="24"/>
        <v>175239.35893887107</v>
      </c>
      <c r="Q42" s="38">
        <f t="shared" si="24"/>
        <v>166277.30226164835</v>
      </c>
      <c r="R42" s="38">
        <f t="shared" si="24"/>
        <v>157086.84038688138</v>
      </c>
      <c r="S42" s="38">
        <f t="shared" si="24"/>
        <v>176608.01627461903</v>
      </c>
      <c r="T42" s="38">
        <f t="shared" si="24"/>
        <v>167098.74381611147</v>
      </c>
      <c r="U42" s="38">
        <f t="shared" si="24"/>
        <v>157351.19634043355</v>
      </c>
      <c r="V42" s="38">
        <f t="shared" si="24"/>
        <v>175946.61068324209</v>
      </c>
      <c r="W42" s="38">
        <f t="shared" si="24"/>
        <v>165849.47081690701</v>
      </c>
      <c r="X42" s="38">
        <f t="shared" si="24"/>
        <v>155488.29264124506</v>
      </c>
      <c r="Y42" s="38">
        <f t="shared" si="24"/>
        <v>174800.47033407004</v>
      </c>
      <c r="Z42" s="38">
        <f t="shared" si="24"/>
        <v>164048.36026075133</v>
      </c>
      <c r="AA42" s="29"/>
      <c r="AB42" s="29"/>
    </row>
    <row r="43" spans="1:28" ht="15" x14ac:dyDescent="0.25">
      <c r="C43" s="30">
        <f>IF(D43=0,C42,IF(ISBLANK(G43),C42,1+MAX(C$18:C42)))</f>
        <v>19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20</v>
      </c>
      <c r="D44" s="21">
        <v>1</v>
      </c>
      <c r="F44" s="31">
        <f t="shared" si="2"/>
        <v>20</v>
      </c>
      <c r="G44" s="59" t="s">
        <v>3</v>
      </c>
      <c r="H44" s="60">
        <f t="shared" ref="H44:Z44" si="25">+H42</f>
        <v>0</v>
      </c>
      <c r="I44" s="60">
        <f t="shared" si="25"/>
        <v>0</v>
      </c>
      <c r="J44" s="60">
        <f t="shared" si="25"/>
        <v>0</v>
      </c>
      <c r="K44" s="60">
        <f t="shared" si="25"/>
        <v>85438</v>
      </c>
      <c r="L44" s="60">
        <f t="shared" si="25"/>
        <v>91468.214999999967</v>
      </c>
      <c r="M44" s="60">
        <f t="shared" si="25"/>
        <v>102314.84640000004</v>
      </c>
      <c r="N44" s="60">
        <f t="shared" si="25"/>
        <v>171806.37021760002</v>
      </c>
      <c r="O44" s="60">
        <f t="shared" si="25"/>
        <v>183953.80584595201</v>
      </c>
      <c r="P44" s="60">
        <f t="shared" si="25"/>
        <v>175239.35893887107</v>
      </c>
      <c r="Q44" s="60">
        <f t="shared" si="25"/>
        <v>166277.30226164835</v>
      </c>
      <c r="R44" s="60">
        <f t="shared" si="25"/>
        <v>157086.84038688138</v>
      </c>
      <c r="S44" s="60">
        <f t="shared" si="25"/>
        <v>176608.01627461903</v>
      </c>
      <c r="T44" s="60">
        <f t="shared" si="25"/>
        <v>167098.74381611147</v>
      </c>
      <c r="U44" s="60">
        <f t="shared" si="25"/>
        <v>157351.19634043355</v>
      </c>
      <c r="V44" s="60">
        <f t="shared" si="25"/>
        <v>175946.61068324209</v>
      </c>
      <c r="W44" s="60">
        <f t="shared" si="25"/>
        <v>165849.47081690701</v>
      </c>
      <c r="X44" s="60">
        <f t="shared" si="25"/>
        <v>155488.29264124506</v>
      </c>
      <c r="Y44" s="60">
        <f t="shared" si="25"/>
        <v>174800.47033407004</v>
      </c>
      <c r="Z44" s="60">
        <f t="shared" si="25"/>
        <v>164048.36026075133</v>
      </c>
      <c r="AA44" s="29"/>
    </row>
    <row r="45" spans="1:28" ht="15" x14ac:dyDescent="0.25">
      <c r="C45" s="30">
        <f>IF(D45=0,C44,IF(ISBLANK(G45),C44,1+MAX(C$18:C44)))</f>
        <v>21</v>
      </c>
      <c r="D45" s="21">
        <v>1</v>
      </c>
      <c r="F45" s="31">
        <f t="shared" si="2"/>
        <v>21</v>
      </c>
      <c r="G45" s="60" t="s">
        <v>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f t="shared" ref="N45:Z45" si="26">IF($C$10="IOU",ROUND(+N44*$AB45,0),0)</f>
        <v>0</v>
      </c>
      <c r="O45" s="61">
        <f t="shared" si="26"/>
        <v>0</v>
      </c>
      <c r="P45" s="61">
        <f t="shared" si="26"/>
        <v>0</v>
      </c>
      <c r="Q45" s="61">
        <f t="shared" si="26"/>
        <v>0</v>
      </c>
      <c r="R45" s="61">
        <f t="shared" si="26"/>
        <v>0</v>
      </c>
      <c r="S45" s="61">
        <f t="shared" si="26"/>
        <v>0</v>
      </c>
      <c r="T45" s="61">
        <f t="shared" si="26"/>
        <v>0</v>
      </c>
      <c r="U45" s="61">
        <f t="shared" si="26"/>
        <v>0</v>
      </c>
      <c r="V45" s="61">
        <f t="shared" si="26"/>
        <v>0</v>
      </c>
      <c r="W45" s="61">
        <f t="shared" si="26"/>
        <v>0</v>
      </c>
      <c r="X45" s="61">
        <f t="shared" si="26"/>
        <v>0</v>
      </c>
      <c r="Y45" s="61">
        <f t="shared" si="26"/>
        <v>0</v>
      </c>
      <c r="Z45" s="61">
        <f t="shared" si="26"/>
        <v>0</v>
      </c>
      <c r="AA45" s="29"/>
      <c r="AB45" s="62">
        <v>0.28889999999999999</v>
      </c>
    </row>
    <row r="46" spans="1:28" ht="15" x14ac:dyDescent="0.25">
      <c r="C46" s="30">
        <f>IF(D46=0,C45,IF(ISBLANK(G46),C45,1+MAX(C$18:C45)))</f>
        <v>21</v>
      </c>
      <c r="D46" s="21">
        <v>1</v>
      </c>
      <c r="F46" s="31" t="str">
        <f t="shared" si="2"/>
        <v/>
      </c>
      <c r="G46" s="6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29"/>
      <c r="AB46" s="29"/>
    </row>
    <row r="47" spans="1:28" ht="15" x14ac:dyDescent="0.25">
      <c r="C47" s="30">
        <f>IF(D47=0,C46,IF(ISBLANK(G47),C46,1+MAX(C$18:C46)))</f>
        <v>22</v>
      </c>
      <c r="D47" s="21">
        <v>1</v>
      </c>
      <c r="F47" s="31">
        <f t="shared" si="2"/>
        <v>22</v>
      </c>
      <c r="G47" s="64" t="s">
        <v>47</v>
      </c>
      <c r="H47" s="60">
        <f t="shared" ref="H47:Z47" si="27">+H44-H45</f>
        <v>0</v>
      </c>
      <c r="I47" s="60">
        <f t="shared" si="27"/>
        <v>0</v>
      </c>
      <c r="J47" s="60">
        <f t="shared" si="27"/>
        <v>0</v>
      </c>
      <c r="K47" s="60">
        <f t="shared" si="27"/>
        <v>85438</v>
      </c>
      <c r="L47" s="60">
        <f t="shared" si="27"/>
        <v>91468.214999999967</v>
      </c>
      <c r="M47" s="60">
        <f t="shared" si="27"/>
        <v>102314.84640000004</v>
      </c>
      <c r="N47" s="60">
        <f t="shared" si="27"/>
        <v>171806.37021760002</v>
      </c>
      <c r="O47" s="60">
        <f t="shared" si="27"/>
        <v>183953.80584595201</v>
      </c>
      <c r="P47" s="60">
        <f t="shared" si="27"/>
        <v>175239.35893887107</v>
      </c>
      <c r="Q47" s="60">
        <f t="shared" si="27"/>
        <v>166277.30226164835</v>
      </c>
      <c r="R47" s="60">
        <f t="shared" si="27"/>
        <v>157086.84038688138</v>
      </c>
      <c r="S47" s="60">
        <f t="shared" si="27"/>
        <v>176608.01627461903</v>
      </c>
      <c r="T47" s="60">
        <f t="shared" si="27"/>
        <v>167098.74381611147</v>
      </c>
      <c r="U47" s="60">
        <f t="shared" si="27"/>
        <v>157351.19634043355</v>
      </c>
      <c r="V47" s="60">
        <f t="shared" si="27"/>
        <v>175946.61068324209</v>
      </c>
      <c r="W47" s="60">
        <f t="shared" si="27"/>
        <v>165849.47081690701</v>
      </c>
      <c r="X47" s="60">
        <f t="shared" si="27"/>
        <v>155488.29264124506</v>
      </c>
      <c r="Y47" s="60">
        <f t="shared" si="27"/>
        <v>174800.47033407004</v>
      </c>
      <c r="Z47" s="60">
        <f t="shared" si="27"/>
        <v>164048.36026075133</v>
      </c>
      <c r="AA47" s="29"/>
      <c r="AB47" s="29"/>
    </row>
    <row r="48" spans="1:28" ht="15" x14ac:dyDescent="0.25">
      <c r="C48" s="30">
        <f>IF(D48=0,C47,IF(ISBLANK(G48),C47,1+MAX(C$18:C47)))</f>
        <v>23</v>
      </c>
      <c r="D48" s="21">
        <v>1</v>
      </c>
      <c r="F48" s="31">
        <f t="shared" si="2"/>
        <v>23</v>
      </c>
      <c r="G48" s="60" t="s">
        <v>48</v>
      </c>
      <c r="H48" s="60">
        <f t="shared" ref="H48:Z48" si="28">+H35</f>
        <v>0</v>
      </c>
      <c r="I48" s="60">
        <f t="shared" si="28"/>
        <v>0</v>
      </c>
      <c r="J48" s="60">
        <f t="shared" si="28"/>
        <v>0</v>
      </c>
      <c r="K48" s="60">
        <f t="shared" si="28"/>
        <v>60448</v>
      </c>
      <c r="L48" s="60">
        <f t="shared" si="28"/>
        <v>60448</v>
      </c>
      <c r="M48" s="60">
        <f t="shared" si="28"/>
        <v>91061.478400000007</v>
      </c>
      <c r="N48" s="60">
        <f t="shared" si="28"/>
        <v>91582.291200000007</v>
      </c>
      <c r="O48" s="60">
        <f t="shared" si="28"/>
        <v>92849.768799999991</v>
      </c>
      <c r="P48" s="60">
        <f t="shared" si="28"/>
        <v>94129.647200000007</v>
      </c>
      <c r="Q48" s="60">
        <f t="shared" si="28"/>
        <v>95426.104000000007</v>
      </c>
      <c r="R48" s="60">
        <f t="shared" si="28"/>
        <v>96741.294000000009</v>
      </c>
      <c r="S48" s="60">
        <f t="shared" si="28"/>
        <v>98073.440799999997</v>
      </c>
      <c r="T48" s="60">
        <f t="shared" si="28"/>
        <v>99424.8024</v>
      </c>
      <c r="U48" s="60">
        <f t="shared" si="28"/>
        <v>100784.28080000001</v>
      </c>
      <c r="V48" s="60">
        <f t="shared" si="28"/>
        <v>102146.61599999999</v>
      </c>
      <c r="W48" s="60">
        <f t="shared" si="28"/>
        <v>103526.2004</v>
      </c>
      <c r="X48" s="60">
        <f t="shared" si="28"/>
        <v>104926.292</v>
      </c>
      <c r="Y48" s="60">
        <f t="shared" si="28"/>
        <v>106344.166</v>
      </c>
      <c r="Z48" s="60">
        <f t="shared" si="28"/>
        <v>107781.0288</v>
      </c>
      <c r="AA48" s="29"/>
      <c r="AB48" s="29"/>
    </row>
    <row r="49" spans="1:34" ht="15" x14ac:dyDescent="0.25">
      <c r="A49" s="60" t="s">
        <v>49</v>
      </c>
      <c r="B49" s="14">
        <f>MAX(B$20:B48)+1</f>
        <v>6</v>
      </c>
      <c r="C49" s="30">
        <f>IF(D49=0,C48,IF(ISBLANK(G49),C48,1+MAX(C$18:C48)))</f>
        <v>24</v>
      </c>
      <c r="D49" s="21">
        <v>1</v>
      </c>
      <c r="F49" s="31">
        <f t="shared" si="2"/>
        <v>24</v>
      </c>
      <c r="G49" s="26" t="str">
        <f t="shared" ref="G49:G50" si="29">+A49&amp;" ("&amp;B49&amp;")"</f>
        <v>(-)  Capital Expenditures (6)</v>
      </c>
      <c r="H49" s="60">
        <f>+H444</f>
        <v>0</v>
      </c>
      <c r="I49" s="60">
        <f t="shared" ref="I49:K49" si="30">+I444</f>
        <v>0</v>
      </c>
      <c r="J49" s="60">
        <f t="shared" si="30"/>
        <v>0</v>
      </c>
      <c r="K49" s="60">
        <f t="shared" si="30"/>
        <v>70364</v>
      </c>
      <c r="L49" s="60">
        <f>+L304</f>
        <v>0</v>
      </c>
      <c r="M49" s="60">
        <f t="shared" ref="M49:Z49" si="31">+M304</f>
        <v>0</v>
      </c>
      <c r="N49" s="60">
        <f t="shared" si="31"/>
        <v>86508</v>
      </c>
      <c r="O49" s="60">
        <f t="shared" si="31"/>
        <v>87003</v>
      </c>
      <c r="P49" s="60">
        <f t="shared" si="31"/>
        <v>88207</v>
      </c>
      <c r="Q49" s="60">
        <f t="shared" si="31"/>
        <v>89423</v>
      </c>
      <c r="R49" s="60">
        <f t="shared" si="31"/>
        <v>90655</v>
      </c>
      <c r="S49" s="60">
        <f t="shared" si="31"/>
        <v>91904</v>
      </c>
      <c r="T49" s="60">
        <f t="shared" si="31"/>
        <v>93170</v>
      </c>
      <c r="U49" s="60">
        <f t="shared" si="31"/>
        <v>92651</v>
      </c>
      <c r="V49" s="60">
        <f t="shared" si="31"/>
        <v>93903</v>
      </c>
      <c r="W49" s="60">
        <f t="shared" si="31"/>
        <v>95172</v>
      </c>
      <c r="X49" s="60">
        <f t="shared" si="31"/>
        <v>96459</v>
      </c>
      <c r="Y49" s="60">
        <f t="shared" si="31"/>
        <v>97762</v>
      </c>
      <c r="Z49" s="60">
        <f t="shared" si="31"/>
        <v>99084</v>
      </c>
      <c r="AA49" s="29"/>
      <c r="AB49" s="29"/>
      <c r="AC49" s="29"/>
      <c r="AE49" s="29"/>
    </row>
    <row r="50" spans="1:34" ht="15" x14ac:dyDescent="0.25">
      <c r="A50" s="60" t="s">
        <v>50</v>
      </c>
      <c r="B50" s="14">
        <f>MAX(B$20:B49)+1</f>
        <v>7</v>
      </c>
      <c r="C50" s="30">
        <f>IF(D50=0,C49,IF(ISBLANK(G50),C49,1+MAX(C$18:C49)))</f>
        <v>25</v>
      </c>
      <c r="D50" s="21">
        <v>1</v>
      </c>
      <c r="F50" s="31">
        <f t="shared" si="2"/>
        <v>25</v>
      </c>
      <c r="G50" s="26" t="str">
        <f t="shared" si="29"/>
        <v>(-)  Changes in Working Capital (7)</v>
      </c>
      <c r="H50" s="61">
        <f t="shared" ref="H50:J50" si="32">0.0024*H40</f>
        <v>0</v>
      </c>
      <c r="I50" s="61">
        <f t="shared" si="32"/>
        <v>0</v>
      </c>
      <c r="J50" s="61">
        <f t="shared" si="32"/>
        <v>0</v>
      </c>
      <c r="K50" s="61">
        <f>-0.0119*K40</f>
        <v>-8758.6856000000007</v>
      </c>
      <c r="L50" s="61">
        <f t="shared" ref="L50:Z50" si="33">-0.0119*L40</f>
        <v>-8970.8980025000001</v>
      </c>
      <c r="M50" s="61">
        <f t="shared" si="33"/>
        <v>-9607.5352100000018</v>
      </c>
      <c r="N50" s="61">
        <f t="shared" si="33"/>
        <v>-9901.9067000000014</v>
      </c>
      <c r="O50" s="61">
        <f t="shared" si="33"/>
        <v>-10196.8958</v>
      </c>
      <c r="P50" s="61">
        <f t="shared" si="33"/>
        <v>-10246.483100000001</v>
      </c>
      <c r="Q50" s="61">
        <f t="shared" si="33"/>
        <v>-10296.0823</v>
      </c>
      <c r="R50" s="61">
        <f t="shared" si="33"/>
        <v>-10346.0028</v>
      </c>
      <c r="S50" s="61">
        <f t="shared" si="33"/>
        <v>-10740.666300000001</v>
      </c>
      <c r="T50" s="61">
        <f t="shared" si="33"/>
        <v>-10793.026300000001</v>
      </c>
      <c r="U50" s="61">
        <f t="shared" si="33"/>
        <v>-10845.636200000001</v>
      </c>
      <c r="V50" s="61">
        <f t="shared" si="33"/>
        <v>-11238.609900000001</v>
      </c>
      <c r="W50" s="61">
        <f t="shared" si="33"/>
        <v>-11293.457</v>
      </c>
      <c r="X50" s="61">
        <f t="shared" si="33"/>
        <v>-11348.577800000001</v>
      </c>
      <c r="Y50" s="61">
        <f t="shared" si="33"/>
        <v>-11760.258300000001</v>
      </c>
      <c r="Z50" s="61">
        <f t="shared" si="33"/>
        <v>-11817.699600000002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25</v>
      </c>
      <c r="D51" s="21">
        <v>1</v>
      </c>
      <c r="F51" s="31" t="str">
        <f t="shared" si="2"/>
        <v/>
      </c>
      <c r="G51" s="60"/>
      <c r="H51" s="65"/>
      <c r="I51" s="65"/>
      <c r="J51" s="65"/>
      <c r="K51" s="65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65"/>
      <c r="AC51" s="65"/>
      <c r="AD51" s="65"/>
      <c r="AE51" s="65"/>
    </row>
    <row r="52" spans="1:34" ht="15.75" thickBot="1" x14ac:dyDescent="0.3">
      <c r="C52" s="30">
        <f>IF(D52=0,C51,IF(ISBLANK(G52),C51,1+MAX(C$18:C51)))</f>
        <v>26</v>
      </c>
      <c r="D52" s="21">
        <v>1</v>
      </c>
      <c r="F52" s="31">
        <f t="shared" si="2"/>
        <v>26</v>
      </c>
      <c r="G52" s="64" t="s">
        <v>51</v>
      </c>
      <c r="H52" s="66">
        <f>+H47+H48-H49-H50</f>
        <v>0</v>
      </c>
      <c r="I52" s="66">
        <f t="shared" ref="I52:Z52" si="34">+I47+I48-I49-I50</f>
        <v>0</v>
      </c>
      <c r="J52" s="66">
        <f t="shared" si="34"/>
        <v>0</v>
      </c>
      <c r="K52" s="66">
        <f t="shared" si="34"/>
        <v>84280.685599999997</v>
      </c>
      <c r="L52" s="66">
        <f t="shared" si="34"/>
        <v>160887.11300249997</v>
      </c>
      <c r="M52" s="66">
        <f t="shared" si="34"/>
        <v>202983.86001000006</v>
      </c>
      <c r="N52" s="66">
        <f t="shared" si="34"/>
        <v>186782.56811759999</v>
      </c>
      <c r="O52" s="66">
        <f t="shared" si="34"/>
        <v>199997.47044595197</v>
      </c>
      <c r="P52" s="66">
        <f t="shared" si="34"/>
        <v>191408.48923887109</v>
      </c>
      <c r="Q52" s="66">
        <f t="shared" si="34"/>
        <v>182576.48856164835</v>
      </c>
      <c r="R52" s="66">
        <f t="shared" si="34"/>
        <v>173519.13718688136</v>
      </c>
      <c r="S52" s="66">
        <f t="shared" si="34"/>
        <v>193518.12337461903</v>
      </c>
      <c r="T52" s="66">
        <f t="shared" si="34"/>
        <v>184146.57251611145</v>
      </c>
      <c r="U52" s="66">
        <f t="shared" si="34"/>
        <v>176330.11334043357</v>
      </c>
      <c r="V52" s="66">
        <f t="shared" si="34"/>
        <v>195428.83658324208</v>
      </c>
      <c r="W52" s="66">
        <f t="shared" si="34"/>
        <v>185497.12821690697</v>
      </c>
      <c r="X52" s="66">
        <f t="shared" si="34"/>
        <v>175304.16244124508</v>
      </c>
      <c r="Y52" s="66">
        <f t="shared" si="34"/>
        <v>195142.89463406999</v>
      </c>
      <c r="Z52" s="66">
        <f t="shared" si="34"/>
        <v>184563.08866075129</v>
      </c>
      <c r="AA52" s="39"/>
      <c r="AB52" s="39">
        <f>+Z52</f>
        <v>184563.08866075129</v>
      </c>
      <c r="AC52" s="39"/>
      <c r="AE52" s="67"/>
    </row>
    <row r="53" spans="1:34" ht="15.75" thickTop="1" x14ac:dyDescent="0.25">
      <c r="C53" s="30">
        <f>IF(D53=0,C52,IF(ISBLANK(G53),C52,1+MAX(C$18:C52)))</f>
        <v>27</v>
      </c>
      <c r="D53" s="21">
        <f>IF($C$10="SUBJECT",0,1)</f>
        <v>1</v>
      </c>
      <c r="F53" s="31">
        <f t="shared" si="2"/>
        <v>27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5">+M53+1</f>
        <v>0.5</v>
      </c>
      <c r="O53" s="72">
        <f t="shared" si="35"/>
        <v>1.5</v>
      </c>
      <c r="P53" s="72">
        <f t="shared" si="35"/>
        <v>2.5</v>
      </c>
      <c r="Q53" s="72">
        <f t="shared" si="35"/>
        <v>3.5</v>
      </c>
      <c r="R53" s="72">
        <f t="shared" si="35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6">+V53+1</f>
        <v>9.5</v>
      </c>
      <c r="X53" s="72">
        <f t="shared" si="36"/>
        <v>10.5</v>
      </c>
      <c r="Y53" s="72">
        <f t="shared" si="36"/>
        <v>11.5</v>
      </c>
      <c r="Z53" s="72">
        <f t="shared" si="36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27</v>
      </c>
      <c r="D54" s="21">
        <f t="shared" ref="D54:D68" si="37">IF($C$10="IOU",1,0)</f>
        <v>0</v>
      </c>
      <c r="F54" s="31">
        <f t="shared" si="2"/>
        <v>27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8">ROUND((1/((1+$AC54)^N53)),4)</f>
        <v>0.96619999999999995</v>
      </c>
      <c r="O54" s="73">
        <f t="shared" si="38"/>
        <v>0.90200000000000002</v>
      </c>
      <c r="P54" s="73">
        <f t="shared" si="38"/>
        <v>0.84199999999999997</v>
      </c>
      <c r="Q54" s="73">
        <f t="shared" si="38"/>
        <v>0.78610000000000002</v>
      </c>
      <c r="R54" s="73">
        <f t="shared" si="38"/>
        <v>0.73380000000000001</v>
      </c>
      <c r="S54" s="73">
        <f t="shared" si="38"/>
        <v>0.68500000000000005</v>
      </c>
      <c r="T54" s="73">
        <f t="shared" si="38"/>
        <v>0.63949999999999996</v>
      </c>
      <c r="U54" s="73">
        <f t="shared" si="38"/>
        <v>0.59699999999999998</v>
      </c>
      <c r="V54" s="73">
        <f t="shared" si="38"/>
        <v>0.55730000000000002</v>
      </c>
      <c r="W54" s="73">
        <f t="shared" si="38"/>
        <v>0.52029999999999998</v>
      </c>
      <c r="X54" s="73">
        <f t="shared" si="38"/>
        <v>0.48570000000000002</v>
      </c>
      <c r="Y54" s="73">
        <f t="shared" si="38"/>
        <v>0.45340000000000003</v>
      </c>
      <c r="Z54" s="73">
        <f t="shared" si="38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27</v>
      </c>
      <c r="D55" s="21">
        <f t="shared" si="37"/>
        <v>0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27</v>
      </c>
      <c r="D56" s="21">
        <f t="shared" si="37"/>
        <v>0</v>
      </c>
      <c r="F56" s="31">
        <f t="shared" si="2"/>
        <v>27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9">+N52*N54</f>
        <v>180469.31731522511</v>
      </c>
      <c r="O56" s="66">
        <f t="shared" si="39"/>
        <v>180397.71834224867</v>
      </c>
      <c r="P56" s="66">
        <f t="shared" si="39"/>
        <v>161165.94793912946</v>
      </c>
      <c r="Q56" s="66">
        <f t="shared" si="39"/>
        <v>143523.37765831177</v>
      </c>
      <c r="R56" s="66">
        <f t="shared" si="39"/>
        <v>127328.34286773355</v>
      </c>
      <c r="S56" s="66">
        <f>+S52*S54</f>
        <v>132559.91451161404</v>
      </c>
      <c r="T56" s="66">
        <f>+T52*T54</f>
        <v>117761.73312405327</v>
      </c>
      <c r="U56" s="66">
        <f>+U52*U54</f>
        <v>105269.07766423884</v>
      </c>
      <c r="V56" s="66">
        <f>+V52*V54</f>
        <v>108912.49062784082</v>
      </c>
      <c r="W56" s="66">
        <f t="shared" ref="W56:Z56" si="40">+W52*W54</f>
        <v>96514.1558112567</v>
      </c>
      <c r="X56" s="66">
        <f t="shared" si="40"/>
        <v>85145.231697712734</v>
      </c>
      <c r="Y56" s="66">
        <f t="shared" si="40"/>
        <v>88477.788427087333</v>
      </c>
      <c r="Z56" s="66">
        <f t="shared" si="40"/>
        <v>78125.555430096021</v>
      </c>
      <c r="AB56" s="60">
        <f>SUM(M56:Z56)</f>
        <v>1605650.6514165483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27</v>
      </c>
      <c r="D57" s="21">
        <f t="shared" si="37"/>
        <v>0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1">+N53</f>
        <v>0.5</v>
      </c>
      <c r="O57" s="79">
        <f t="shared" si="41"/>
        <v>1.5</v>
      </c>
      <c r="P57" s="79">
        <f t="shared" si="41"/>
        <v>2.5</v>
      </c>
      <c r="Q57" s="79">
        <f t="shared" si="41"/>
        <v>3.5</v>
      </c>
      <c r="R57" s="79">
        <f t="shared" si="41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2">+W53</f>
        <v>9.5</v>
      </c>
      <c r="X57" s="79">
        <f t="shared" si="42"/>
        <v>10.5</v>
      </c>
      <c r="Y57" s="79">
        <f t="shared" si="42"/>
        <v>11.5</v>
      </c>
      <c r="Z57" s="79">
        <f t="shared" si="42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27</v>
      </c>
      <c r="D58" s="21">
        <f t="shared" si="37"/>
        <v>0</v>
      </c>
      <c r="F58" s="31">
        <f t="shared" si="2"/>
        <v>27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3">ROUND((1/((1+$AC58)^N57)),4)</f>
        <v>0.96009999999999995</v>
      </c>
      <c r="O58" s="73">
        <f t="shared" si="43"/>
        <v>0.8851</v>
      </c>
      <c r="P58" s="73">
        <f t="shared" si="43"/>
        <v>0.81589999999999996</v>
      </c>
      <c r="Q58" s="73">
        <f t="shared" si="43"/>
        <v>0.75209999999999999</v>
      </c>
      <c r="R58" s="73">
        <f t="shared" si="43"/>
        <v>0.69330000000000003</v>
      </c>
      <c r="S58" s="73">
        <f t="shared" si="43"/>
        <v>0.6391</v>
      </c>
      <c r="T58" s="73">
        <f t="shared" si="43"/>
        <v>0.58919999999999995</v>
      </c>
      <c r="U58" s="73">
        <f t="shared" si="43"/>
        <v>0.54310000000000003</v>
      </c>
      <c r="V58" s="73">
        <f t="shared" si="43"/>
        <v>0.50060000000000004</v>
      </c>
      <c r="W58" s="73">
        <f t="shared" si="43"/>
        <v>0.46150000000000002</v>
      </c>
      <c r="X58" s="73">
        <f t="shared" si="43"/>
        <v>0.4254</v>
      </c>
      <c r="Y58" s="73">
        <f t="shared" si="43"/>
        <v>0.39219999999999999</v>
      </c>
      <c r="Z58" s="73">
        <f t="shared" si="43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27</v>
      </c>
      <c r="D59" s="21">
        <f t="shared" si="37"/>
        <v>0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27</v>
      </c>
      <c r="D60" s="21">
        <f t="shared" si="37"/>
        <v>0</v>
      </c>
      <c r="F60" s="31">
        <f t="shared" si="2"/>
        <v>27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4">+N52*N58</f>
        <v>179329.94364970774</v>
      </c>
      <c r="O60" s="66">
        <f t="shared" si="44"/>
        <v>177017.76109171208</v>
      </c>
      <c r="P60" s="66">
        <f t="shared" si="44"/>
        <v>156170.18636999492</v>
      </c>
      <c r="Q60" s="66">
        <f t="shared" si="44"/>
        <v>137315.77704721573</v>
      </c>
      <c r="R60" s="66">
        <f t="shared" si="44"/>
        <v>120300.81781166485</v>
      </c>
      <c r="S60" s="66">
        <f t="shared" si="44"/>
        <v>123677.43264871903</v>
      </c>
      <c r="T60" s="66">
        <f t="shared" si="44"/>
        <v>108499.16052649285</v>
      </c>
      <c r="U60" s="66">
        <f t="shared" si="44"/>
        <v>95764.884555189477</v>
      </c>
      <c r="V60" s="66">
        <f t="shared" si="44"/>
        <v>97831.675593570995</v>
      </c>
      <c r="W60" s="66">
        <f t="shared" si="44"/>
        <v>85606.92467210257</v>
      </c>
      <c r="X60" s="66">
        <f t="shared" si="44"/>
        <v>74574.390702505654</v>
      </c>
      <c r="Y60" s="66">
        <f t="shared" si="44"/>
        <v>76535.043275482254</v>
      </c>
      <c r="Z60" s="66">
        <f t="shared" si="44"/>
        <v>66719.556550861584</v>
      </c>
      <c r="AB60" s="60">
        <f>SUM(M60:Z60)</f>
        <v>1499343.5544952198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27</v>
      </c>
      <c r="D61" s="21">
        <f t="shared" si="37"/>
        <v>0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5">+N57</f>
        <v>0.5</v>
      </c>
      <c r="O61" s="80">
        <f t="shared" si="45"/>
        <v>1.5</v>
      </c>
      <c r="P61" s="80">
        <f t="shared" si="45"/>
        <v>2.5</v>
      </c>
      <c r="Q61" s="80">
        <f t="shared" si="45"/>
        <v>3.5</v>
      </c>
      <c r="R61" s="80">
        <f t="shared" si="45"/>
        <v>4.5</v>
      </c>
      <c r="S61" s="80">
        <f t="shared" si="45"/>
        <v>5.5</v>
      </c>
      <c r="T61" s="80">
        <f t="shared" si="45"/>
        <v>6.5</v>
      </c>
      <c r="U61" s="80">
        <f t="shared" si="45"/>
        <v>7.5</v>
      </c>
      <c r="V61" s="80">
        <f t="shared" si="45"/>
        <v>8.5</v>
      </c>
      <c r="W61" s="80">
        <f t="shared" si="45"/>
        <v>9.5</v>
      </c>
      <c r="X61" s="80">
        <f t="shared" si="45"/>
        <v>10.5</v>
      </c>
      <c r="Y61" s="80">
        <f t="shared" si="45"/>
        <v>11.5</v>
      </c>
      <c r="Z61" s="80">
        <f t="shared" si="45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27</v>
      </c>
      <c r="D62" s="21">
        <f t="shared" si="37"/>
        <v>0</v>
      </c>
      <c r="F62" s="31">
        <f t="shared" si="2"/>
        <v>27</v>
      </c>
      <c r="G62" s="4" t="str">
        <f>+"Present Value Factor:   "&amp;TEXT(AC62,"0.00%")&amp;"  ("&amp;B62&amp;")"</f>
        <v>Present Value Factor:   6.62%  (8)</v>
      </c>
      <c r="J62" s="38"/>
      <c r="K62" s="38"/>
      <c r="L62" s="38"/>
      <c r="M62" s="38"/>
      <c r="N62" s="73">
        <f t="shared" ref="N62:Z62" si="46">ROUND((1/((1+$AC62)^N61)),4)</f>
        <v>0.96850000000000003</v>
      </c>
      <c r="O62" s="73">
        <f t="shared" si="46"/>
        <v>0.9083</v>
      </c>
      <c r="P62" s="73">
        <f t="shared" si="46"/>
        <v>0.85189999999999999</v>
      </c>
      <c r="Q62" s="73">
        <f t="shared" si="46"/>
        <v>0.79900000000000004</v>
      </c>
      <c r="R62" s="73">
        <f t="shared" si="46"/>
        <v>0.74939999999999996</v>
      </c>
      <c r="S62" s="73">
        <f t="shared" si="46"/>
        <v>0.70289999999999997</v>
      </c>
      <c r="T62" s="73">
        <f t="shared" si="46"/>
        <v>0.65920000000000001</v>
      </c>
      <c r="U62" s="73">
        <f t="shared" si="46"/>
        <v>0.61829999999999996</v>
      </c>
      <c r="V62" s="73">
        <f t="shared" si="46"/>
        <v>0.57989999999999997</v>
      </c>
      <c r="W62" s="73">
        <f t="shared" si="46"/>
        <v>0.54390000000000005</v>
      </c>
      <c r="X62" s="73">
        <f t="shared" si="46"/>
        <v>0.5101</v>
      </c>
      <c r="Y62" s="73">
        <f t="shared" si="46"/>
        <v>0.47849999999999998</v>
      </c>
      <c r="Z62" s="73">
        <f t="shared" si="46"/>
        <v>0.44879999999999998</v>
      </c>
      <c r="AC62" s="74">
        <f>+AC54-H9</f>
        <v>6.6199999999999995E-2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27</v>
      </c>
      <c r="D63" s="21">
        <f t="shared" si="37"/>
        <v>0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27</v>
      </c>
      <c r="D64" s="21">
        <f t="shared" si="37"/>
        <v>0</v>
      </c>
      <c r="F64" s="31">
        <f t="shared" si="2"/>
        <v>27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7">+N$52*N62</f>
        <v>180898.91722189559</v>
      </c>
      <c r="O64" s="66">
        <f t="shared" si="47"/>
        <v>181657.70240605818</v>
      </c>
      <c r="P64" s="66">
        <f t="shared" si="47"/>
        <v>163060.89198259427</v>
      </c>
      <c r="Q64" s="66">
        <f t="shared" si="47"/>
        <v>145878.61436075703</v>
      </c>
      <c r="R64" s="66">
        <f t="shared" si="47"/>
        <v>130035.24140784888</v>
      </c>
      <c r="S64" s="66">
        <f t="shared" si="47"/>
        <v>136023.8889200197</v>
      </c>
      <c r="T64" s="66">
        <f t="shared" si="47"/>
        <v>121389.42060262067</v>
      </c>
      <c r="U64" s="66">
        <f t="shared" si="47"/>
        <v>109024.90907839008</v>
      </c>
      <c r="V64" s="66">
        <f t="shared" si="47"/>
        <v>113329.18233462208</v>
      </c>
      <c r="W64" s="66">
        <f t="shared" si="47"/>
        <v>100891.88803717571</v>
      </c>
      <c r="X64" s="66">
        <f t="shared" si="47"/>
        <v>89422.65326127912</v>
      </c>
      <c r="Y64" s="66">
        <f t="shared" si="47"/>
        <v>93375.87508240249</v>
      </c>
      <c r="Z64" s="66">
        <f t="shared" si="47"/>
        <v>82831.914190945172</v>
      </c>
      <c r="AB64" s="60">
        <f>SUM(M64:Z64)</f>
        <v>1647821.0988866091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27</v>
      </c>
      <c r="D65" s="21">
        <f t="shared" si="37"/>
        <v>0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8">+N61</f>
        <v>0.5</v>
      </c>
      <c r="O65" s="80">
        <f t="shared" si="48"/>
        <v>1.5</v>
      </c>
      <c r="P65" s="80">
        <f t="shared" si="48"/>
        <v>2.5</v>
      </c>
      <c r="Q65" s="80">
        <f t="shared" si="48"/>
        <v>3.5</v>
      </c>
      <c r="R65" s="80">
        <f t="shared" si="48"/>
        <v>4.5</v>
      </c>
      <c r="S65" s="80">
        <f t="shared" si="48"/>
        <v>5.5</v>
      </c>
      <c r="T65" s="80">
        <f t="shared" si="48"/>
        <v>6.5</v>
      </c>
      <c r="U65" s="80">
        <f t="shared" si="48"/>
        <v>7.5</v>
      </c>
      <c r="V65" s="80">
        <f t="shared" si="48"/>
        <v>8.5</v>
      </c>
      <c r="W65" s="80">
        <f t="shared" si="48"/>
        <v>9.5</v>
      </c>
      <c r="X65" s="80">
        <f t="shared" si="48"/>
        <v>10.5</v>
      </c>
      <c r="Y65" s="80">
        <f t="shared" si="48"/>
        <v>11.5</v>
      </c>
      <c r="Z65" s="80">
        <f t="shared" si="48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27</v>
      </c>
      <c r="D66" s="21">
        <f t="shared" si="37"/>
        <v>0</v>
      </c>
      <c r="F66" s="31">
        <f t="shared" si="2"/>
        <v>27</v>
      </c>
      <c r="G66" s="4" t="str">
        <f>+"Present Value Factor:   "&amp;TEXT(AC66,"0.00%")&amp;"  ("&amp;B66&amp;")"</f>
        <v>Present Value Factor:   7.98%  (9)</v>
      </c>
      <c r="J66" s="38"/>
      <c r="K66" s="38"/>
      <c r="L66" s="38"/>
      <c r="M66" s="38"/>
      <c r="N66" s="73">
        <f t="shared" ref="N66:Z66" si="49">ROUND((1/((1+$AC66)^N65)),4)</f>
        <v>0.96230000000000004</v>
      </c>
      <c r="O66" s="73">
        <f t="shared" si="49"/>
        <v>0.89119999999999999</v>
      </c>
      <c r="P66" s="73">
        <f t="shared" si="49"/>
        <v>0.82540000000000002</v>
      </c>
      <c r="Q66" s="73">
        <f t="shared" si="49"/>
        <v>0.76439999999999997</v>
      </c>
      <c r="R66" s="73">
        <f t="shared" si="49"/>
        <v>0.70789999999999997</v>
      </c>
      <c r="S66" s="73">
        <f t="shared" si="49"/>
        <v>0.65559999999999996</v>
      </c>
      <c r="T66" s="73">
        <f t="shared" si="49"/>
        <v>0.60709999999999997</v>
      </c>
      <c r="U66" s="73">
        <f t="shared" si="49"/>
        <v>0.56220000000000003</v>
      </c>
      <c r="V66" s="73">
        <f t="shared" si="49"/>
        <v>0.52070000000000005</v>
      </c>
      <c r="W66" s="73">
        <f t="shared" si="49"/>
        <v>0.48220000000000002</v>
      </c>
      <c r="X66" s="73">
        <f t="shared" si="49"/>
        <v>0.4466</v>
      </c>
      <c r="Y66" s="73">
        <f t="shared" si="49"/>
        <v>0.41360000000000002</v>
      </c>
      <c r="Z66" s="73">
        <f t="shared" si="49"/>
        <v>0.38300000000000001</v>
      </c>
      <c r="AB66" s="39"/>
      <c r="AC66" s="74">
        <f>+AC58-H9</f>
        <v>7.9799999999999996E-2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27</v>
      </c>
      <c r="D67" s="21">
        <f t="shared" si="37"/>
        <v>0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27</v>
      </c>
      <c r="D68" s="21">
        <f t="shared" si="37"/>
        <v>0</v>
      </c>
      <c r="F68" s="31">
        <f t="shared" si="2"/>
        <v>27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50">+N$52*N66</f>
        <v>179740.86529956647</v>
      </c>
      <c r="O68" s="66">
        <f t="shared" si="50"/>
        <v>178237.74566143239</v>
      </c>
      <c r="P68" s="66">
        <f t="shared" si="50"/>
        <v>157988.5670177642</v>
      </c>
      <c r="Q68" s="66">
        <f t="shared" si="50"/>
        <v>139561.46785652399</v>
      </c>
      <c r="R68" s="66">
        <f t="shared" si="50"/>
        <v>122834.19721459331</v>
      </c>
      <c r="S68" s="66">
        <f t="shared" si="50"/>
        <v>126870.48168440022</v>
      </c>
      <c r="T68" s="66">
        <f t="shared" si="50"/>
        <v>111795.38417453125</v>
      </c>
      <c r="U68" s="66">
        <f t="shared" si="50"/>
        <v>99132.789719991764</v>
      </c>
      <c r="V68" s="66">
        <f t="shared" si="50"/>
        <v>101759.79520889417</v>
      </c>
      <c r="W68" s="66">
        <f t="shared" si="50"/>
        <v>89446.715226192551</v>
      </c>
      <c r="X68" s="66">
        <f t="shared" si="50"/>
        <v>78290.838946260046</v>
      </c>
      <c r="Y68" s="66">
        <f t="shared" si="50"/>
        <v>80711.101220651355</v>
      </c>
      <c r="Z68" s="66">
        <f t="shared" si="50"/>
        <v>70687.662957067747</v>
      </c>
      <c r="AB68" s="60">
        <f>SUM(M68:Z68)</f>
        <v>1537057.6121878694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27</v>
      </c>
      <c r="D69" s="21">
        <f t="shared" ref="D69:D76" si="51">IF($C$10="MUNI",1,0)</f>
        <v>1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2">+N65</f>
        <v>0.5</v>
      </c>
      <c r="O69" s="80">
        <f t="shared" si="52"/>
        <v>1.5</v>
      </c>
      <c r="P69" s="80">
        <f t="shared" si="52"/>
        <v>2.5</v>
      </c>
      <c r="Q69" s="80">
        <f t="shared" si="52"/>
        <v>3.5</v>
      </c>
      <c r="R69" s="80">
        <f t="shared" si="52"/>
        <v>4.5</v>
      </c>
      <c r="S69" s="80">
        <f t="shared" si="52"/>
        <v>5.5</v>
      </c>
      <c r="T69" s="80">
        <f t="shared" si="52"/>
        <v>6.5</v>
      </c>
      <c r="U69" s="80">
        <f t="shared" si="52"/>
        <v>7.5</v>
      </c>
      <c r="V69" s="80">
        <f t="shared" si="52"/>
        <v>8.5</v>
      </c>
      <c r="W69" s="80">
        <f t="shared" si="52"/>
        <v>9.5</v>
      </c>
      <c r="X69" s="80">
        <f t="shared" si="52"/>
        <v>10.5</v>
      </c>
      <c r="Y69" s="80">
        <f t="shared" si="52"/>
        <v>11.5</v>
      </c>
      <c r="Z69" s="80">
        <f t="shared" si="52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28</v>
      </c>
      <c r="D70" s="21">
        <f t="shared" si="51"/>
        <v>1</v>
      </c>
      <c r="F70" s="31">
        <f t="shared" si="2"/>
        <v>28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3">ROUND((1/((1+$AC70)^N69)),4)</f>
        <v>0.98129999999999995</v>
      </c>
      <c r="O70" s="73">
        <f t="shared" si="53"/>
        <v>0.94499999999999995</v>
      </c>
      <c r="P70" s="73">
        <f t="shared" si="53"/>
        <v>0.91010000000000002</v>
      </c>
      <c r="Q70" s="73">
        <f t="shared" si="53"/>
        <v>0.87639999999999996</v>
      </c>
      <c r="R70" s="73">
        <f t="shared" si="53"/>
        <v>0.84399999999999997</v>
      </c>
      <c r="S70" s="73">
        <f t="shared" si="53"/>
        <v>0.81279999999999997</v>
      </c>
      <c r="T70" s="73">
        <f t="shared" si="53"/>
        <v>0.78280000000000005</v>
      </c>
      <c r="U70" s="73">
        <f t="shared" si="53"/>
        <v>0.75380000000000003</v>
      </c>
      <c r="V70" s="73">
        <f t="shared" si="53"/>
        <v>0.72589999999999999</v>
      </c>
      <c r="W70" s="73">
        <f t="shared" si="53"/>
        <v>0.69910000000000005</v>
      </c>
      <c r="X70" s="73">
        <f t="shared" si="53"/>
        <v>0.67320000000000002</v>
      </c>
      <c r="Y70" s="73">
        <f t="shared" si="53"/>
        <v>0.64829999999999999</v>
      </c>
      <c r="Z70" s="73">
        <f t="shared" si="53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28</v>
      </c>
      <c r="D71" s="21">
        <f t="shared" si="51"/>
        <v>1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29</v>
      </c>
      <c r="D72" s="21">
        <f t="shared" si="51"/>
        <v>1</v>
      </c>
      <c r="F72" s="31">
        <f t="shared" si="2"/>
        <v>29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4">+N$52*N70</f>
        <v>183289.73409380086</v>
      </c>
      <c r="O72" s="66">
        <f t="shared" si="54"/>
        <v>188997.6095714246</v>
      </c>
      <c r="P72" s="66">
        <f t="shared" si="54"/>
        <v>174200.86605629657</v>
      </c>
      <c r="Q72" s="66">
        <f t="shared" si="54"/>
        <v>160010.03457542861</v>
      </c>
      <c r="R72" s="66">
        <f t="shared" si="54"/>
        <v>146450.15178572785</v>
      </c>
      <c r="S72" s="66">
        <f t="shared" si="54"/>
        <v>157291.53067889033</v>
      </c>
      <c r="T72" s="66">
        <f t="shared" si="54"/>
        <v>144149.93696561205</v>
      </c>
      <c r="U72" s="66">
        <f t="shared" si="54"/>
        <v>132917.63943601883</v>
      </c>
      <c r="V72" s="66">
        <f t="shared" si="54"/>
        <v>141861.79247577544</v>
      </c>
      <c r="W72" s="66">
        <f t="shared" si="54"/>
        <v>129681.04233643967</v>
      </c>
      <c r="X72" s="66">
        <f t="shared" si="54"/>
        <v>118014.76215544619</v>
      </c>
      <c r="Y72" s="66">
        <f t="shared" si="54"/>
        <v>126511.13859126758</v>
      </c>
      <c r="Z72" s="66">
        <f t="shared" si="54"/>
        <v>115241.1925597731</v>
      </c>
      <c r="AB72" s="60">
        <f>SUM(M72:Z72)</f>
        <v>1918617.4312819017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29</v>
      </c>
      <c r="D73" s="21">
        <f t="shared" si="51"/>
        <v>1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5">+N69</f>
        <v>0.5</v>
      </c>
      <c r="O73" s="80">
        <f t="shared" si="55"/>
        <v>1.5</v>
      </c>
      <c r="P73" s="80">
        <f t="shared" si="55"/>
        <v>2.5</v>
      </c>
      <c r="Q73" s="80">
        <f t="shared" si="55"/>
        <v>3.5</v>
      </c>
      <c r="R73" s="80">
        <f t="shared" si="55"/>
        <v>4.5</v>
      </c>
      <c r="S73" s="80">
        <f t="shared" si="55"/>
        <v>5.5</v>
      </c>
      <c r="T73" s="80">
        <f t="shared" si="55"/>
        <v>6.5</v>
      </c>
      <c r="U73" s="80">
        <f t="shared" si="55"/>
        <v>7.5</v>
      </c>
      <c r="V73" s="80">
        <f t="shared" si="55"/>
        <v>8.5</v>
      </c>
      <c r="W73" s="80">
        <f t="shared" si="55"/>
        <v>9.5</v>
      </c>
      <c r="X73" s="80">
        <f t="shared" si="55"/>
        <v>10.5</v>
      </c>
      <c r="Y73" s="80">
        <f t="shared" si="55"/>
        <v>11.5</v>
      </c>
      <c r="Z73" s="80">
        <f t="shared" si="55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30</v>
      </c>
      <c r="D74" s="21">
        <f t="shared" si="51"/>
        <v>1</v>
      </c>
      <c r="F74" s="31">
        <f t="shared" si="2"/>
        <v>30</v>
      </c>
      <c r="G74" s="4" t="str">
        <f>+"Present Value Factor:   "&amp;TEXT(AC74,"0.00%")&amp;"  ("&amp;B74&amp;")"</f>
        <v>Present Value Factor:   3.34%  (9)</v>
      </c>
      <c r="J74" s="38"/>
      <c r="K74" s="38"/>
      <c r="L74" s="38"/>
      <c r="M74" s="38"/>
      <c r="N74" s="73">
        <f t="shared" ref="N74:Z74" si="56">ROUND((1/((1+$AC74)^N73)),4)</f>
        <v>0.98370000000000002</v>
      </c>
      <c r="O74" s="73">
        <f t="shared" si="56"/>
        <v>0.95189999999999997</v>
      </c>
      <c r="P74" s="73">
        <f t="shared" si="56"/>
        <v>0.92110000000000003</v>
      </c>
      <c r="Q74" s="73">
        <f t="shared" si="56"/>
        <v>0.89139999999999997</v>
      </c>
      <c r="R74" s="73">
        <f t="shared" si="56"/>
        <v>0.86260000000000003</v>
      </c>
      <c r="S74" s="73">
        <f t="shared" si="56"/>
        <v>0.8347</v>
      </c>
      <c r="T74" s="73">
        <f t="shared" si="56"/>
        <v>0.80769999999999997</v>
      </c>
      <c r="U74" s="73">
        <f t="shared" si="56"/>
        <v>0.78159999999999996</v>
      </c>
      <c r="V74" s="73">
        <f t="shared" si="56"/>
        <v>0.75629999999999997</v>
      </c>
      <c r="W74" s="73">
        <f t="shared" si="56"/>
        <v>0.7319</v>
      </c>
      <c r="X74" s="73">
        <f t="shared" si="56"/>
        <v>0.70820000000000005</v>
      </c>
      <c r="Y74" s="73">
        <f t="shared" si="56"/>
        <v>0.68540000000000001</v>
      </c>
      <c r="Z74" s="73">
        <f t="shared" si="56"/>
        <v>0.66320000000000001</v>
      </c>
      <c r="AB74" s="39"/>
      <c r="AC74" s="74">
        <f>+AC70-H9</f>
        <v>3.3399999999999999E-2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30</v>
      </c>
      <c r="D75" s="21">
        <f t="shared" si="51"/>
        <v>1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31</v>
      </c>
      <c r="D76" s="21">
        <f t="shared" si="51"/>
        <v>1</v>
      </c>
      <c r="F76" s="31">
        <f t="shared" si="2"/>
        <v>31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7">+N$52*N74</f>
        <v>183738.01225728312</v>
      </c>
      <c r="O76" s="66">
        <f t="shared" si="57"/>
        <v>190377.59211750168</v>
      </c>
      <c r="P76" s="66">
        <f t="shared" si="57"/>
        <v>176306.35943792417</v>
      </c>
      <c r="Q76" s="66">
        <f t="shared" si="57"/>
        <v>162748.68190385334</v>
      </c>
      <c r="R76" s="66">
        <f t="shared" si="57"/>
        <v>149677.60773740386</v>
      </c>
      <c r="S76" s="66">
        <f t="shared" si="57"/>
        <v>161529.57758079449</v>
      </c>
      <c r="T76" s="66">
        <f t="shared" si="57"/>
        <v>148735.18662126322</v>
      </c>
      <c r="U76" s="66">
        <f t="shared" si="57"/>
        <v>137819.61658688288</v>
      </c>
      <c r="V76" s="66">
        <f t="shared" si="57"/>
        <v>147802.82910790597</v>
      </c>
      <c r="W76" s="66">
        <f t="shared" si="57"/>
        <v>135765.34814195422</v>
      </c>
      <c r="X76" s="66">
        <f t="shared" si="57"/>
        <v>124150.40784088978</v>
      </c>
      <c r="Y76" s="66">
        <f t="shared" si="57"/>
        <v>133750.93998219157</v>
      </c>
      <c r="Z76" s="66">
        <f t="shared" si="57"/>
        <v>122402.24039981027</v>
      </c>
      <c r="AB76" s="60">
        <f>SUM(M76:Z76)</f>
        <v>1974804.3997156587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3"/>
      <c r="N80" s="22" t="s">
        <v>59</v>
      </c>
      <c r="O80" s="101"/>
      <c r="Q80" s="99"/>
      <c r="R80" s="100"/>
      <c r="S80" s="63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6" ht="15" x14ac:dyDescent="0.25">
      <c r="D81" s="21">
        <v>2</v>
      </c>
      <c r="K81" s="99"/>
      <c r="L81" s="100"/>
      <c r="M81" s="63"/>
      <c r="N81" s="100"/>
      <c r="O81" s="101"/>
      <c r="Q81" s="99"/>
      <c r="R81" s="100"/>
      <c r="S81" s="63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6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184563.08866075129</v>
      </c>
      <c r="O82" s="101"/>
      <c r="Q82" s="105" t="s">
        <v>60</v>
      </c>
      <c r="R82" s="100"/>
      <c r="S82" s="100">
        <f>+AD83</f>
        <v>164048.36026075133</v>
      </c>
      <c r="T82" s="106">
        <f>+AE83</f>
        <v>14.6</v>
      </c>
      <c r="U82" s="103">
        <f>+T82*S82</f>
        <v>2395106.0598069695</v>
      </c>
      <c r="AB82" s="39"/>
      <c r="AC82" s="39"/>
      <c r="AD82" s="39"/>
      <c r="AE82" s="39"/>
      <c r="AF82" s="39"/>
      <c r="AG82" s="39"/>
      <c r="AH82" s="39"/>
    </row>
    <row r="83" spans="1:36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271829.3890607513</v>
      </c>
      <c r="T83" s="106">
        <f>+AE84</f>
        <v>10.1</v>
      </c>
      <c r="U83" s="109">
        <f>+T83*S83</f>
        <v>2745476.829513588</v>
      </c>
      <c r="V83" s="110"/>
      <c r="W83" s="110"/>
      <c r="X83" s="110"/>
      <c r="Y83" s="110"/>
      <c r="Z83" s="110"/>
      <c r="AB83" s="39">
        <f>+AB52</f>
        <v>184563.08866075129</v>
      </c>
      <c r="AC83" s="39"/>
      <c r="AD83" s="39">
        <f>+Z$42</f>
        <v>164048.36026075133</v>
      </c>
      <c r="AE83" s="39">
        <f>+H7</f>
        <v>14.6</v>
      </c>
      <c r="AF83" s="39"/>
      <c r="AG83" s="39"/>
      <c r="AH83" s="39"/>
    </row>
    <row r="84" spans="1:36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3"/>
      <c r="N84" s="78">
        <f>+N82/N83</f>
        <v>2592178.2115274058</v>
      </c>
      <c r="O84" s="101"/>
      <c r="Q84" s="112" t="s">
        <v>64</v>
      </c>
      <c r="R84" s="100"/>
      <c r="S84" s="63"/>
      <c r="T84" s="100"/>
      <c r="U84" s="113">
        <f>ROUND((0.33*U82)+(0.67*U83),0)</f>
        <v>2629854</v>
      </c>
      <c r="AB84" s="39"/>
      <c r="AC84" s="39"/>
      <c r="AD84" s="39">
        <f>+Z$41</f>
        <v>271829.3890607513</v>
      </c>
      <c r="AE84" s="39">
        <f>+H8</f>
        <v>10.1</v>
      </c>
      <c r="AF84" s="39"/>
      <c r="AG84" s="39"/>
      <c r="AH84" s="39"/>
    </row>
    <row r="85" spans="1:36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3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3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6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3"/>
      <c r="N86" s="117">
        <f>+N85*N84</f>
        <v>1097269.0369395509</v>
      </c>
      <c r="O86" s="101"/>
      <c r="Q86" s="105" t="s">
        <v>65</v>
      </c>
      <c r="R86" s="116"/>
      <c r="S86" s="63"/>
      <c r="T86" s="78"/>
      <c r="U86" s="118">
        <f>+U85*U84</f>
        <v>1113217.1982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6" ht="16.899999999999999" customHeight="1" x14ac:dyDescent="0.25">
      <c r="D87" s="21">
        <v>2</v>
      </c>
      <c r="K87" s="104" t="s">
        <v>66</v>
      </c>
      <c r="L87" s="116"/>
      <c r="M87" s="63"/>
      <c r="N87" s="100"/>
      <c r="O87" s="101"/>
      <c r="Q87" s="105" t="s">
        <v>66</v>
      </c>
      <c r="R87" s="116"/>
      <c r="S87" s="63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6" ht="16.899999999999999" customHeight="1" x14ac:dyDescent="0.25">
      <c r="D88" s="21">
        <v>2</v>
      </c>
      <c r="K88" s="104" t="str">
        <f>+A89</f>
        <v>Cash Flow for 13 Years</v>
      </c>
      <c r="L88" s="116"/>
      <c r="M88" s="63"/>
      <c r="N88" s="121">
        <f>+AB89</f>
        <v>1605650.6514165483</v>
      </c>
      <c r="O88" s="101"/>
      <c r="Q88" s="105" t="str">
        <f>+K88</f>
        <v>Cash Flow for 13 Years</v>
      </c>
      <c r="R88" s="116"/>
      <c r="S88" s="63"/>
      <c r="T88" s="78"/>
      <c r="U88" s="109">
        <f>+AB89</f>
        <v>1605650.6514165483</v>
      </c>
      <c r="AB88" s="39"/>
      <c r="AC88" s="39"/>
      <c r="AD88" s="39"/>
      <c r="AE88" s="39"/>
      <c r="AF88" s="39"/>
      <c r="AG88" s="39"/>
      <c r="AH88" s="39"/>
    </row>
    <row r="89" spans="1:36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3"/>
      <c r="N89" s="100"/>
      <c r="O89" s="101"/>
      <c r="Q89" s="105"/>
      <c r="R89" s="116"/>
      <c r="S89" s="63"/>
      <c r="T89" s="100"/>
      <c r="U89" s="103"/>
      <c r="AB89" s="39">
        <f>+AB56</f>
        <v>1605650.6514165483</v>
      </c>
      <c r="AC89" s="39"/>
      <c r="AD89" s="39"/>
      <c r="AE89" s="39"/>
      <c r="AF89" s="39"/>
      <c r="AG89" s="39"/>
      <c r="AH89" s="39"/>
    </row>
    <row r="90" spans="1:36" ht="16.899999999999999" customHeight="1" thickBot="1" x14ac:dyDescent="0.3">
      <c r="D90" s="21">
        <v>2</v>
      </c>
      <c r="K90" s="104" t="s">
        <v>67</v>
      </c>
      <c r="L90" s="116"/>
      <c r="M90" s="63"/>
      <c r="N90" s="66">
        <f>+N86+N88</f>
        <v>2702919.6883560992</v>
      </c>
      <c r="O90" s="101"/>
      <c r="Q90" s="105" t="s">
        <v>67</v>
      </c>
      <c r="R90" s="116"/>
      <c r="S90" s="63"/>
      <c r="T90" s="78"/>
      <c r="U90" s="122">
        <f>+U86+U88</f>
        <v>2718867.849616548</v>
      </c>
      <c r="AB90" s="39"/>
      <c r="AC90" s="39"/>
      <c r="AD90" s="39"/>
      <c r="AE90" s="39"/>
      <c r="AF90" s="39"/>
      <c r="AG90" s="39"/>
      <c r="AH90" s="39"/>
    </row>
    <row r="91" spans="1:36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</row>
    <row r="92" spans="1:36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spans="1:36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spans="1:36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</row>
    <row r="95" spans="1:36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</row>
    <row r="96" spans="1:36" ht="15" x14ac:dyDescent="0.25">
      <c r="D96" s="21">
        <v>2</v>
      </c>
      <c r="K96" s="99"/>
      <c r="L96" s="100"/>
      <c r="M96" s="63"/>
      <c r="N96" s="22" t="s">
        <v>59</v>
      </c>
      <c r="O96" s="101"/>
      <c r="P96" s="38"/>
      <c r="Q96" s="99"/>
      <c r="R96" s="100"/>
      <c r="S96" s="63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</row>
    <row r="97" spans="1:36" ht="15" x14ac:dyDescent="0.25">
      <c r="D97" s="21">
        <v>2</v>
      </c>
      <c r="K97" s="99"/>
      <c r="L97" s="100"/>
      <c r="M97" s="63"/>
      <c r="N97" s="100"/>
      <c r="O97" s="101"/>
      <c r="P97" s="38"/>
      <c r="Q97" s="99"/>
      <c r="R97" s="100"/>
      <c r="S97" s="63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</row>
    <row r="98" spans="1:36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184563.08866075129</v>
      </c>
      <c r="O98" s="101"/>
      <c r="P98" s="38"/>
      <c r="Q98" s="105" t="s">
        <v>60</v>
      </c>
      <c r="R98" s="100"/>
      <c r="S98" s="100">
        <f>+AD99</f>
        <v>164048.36026075133</v>
      </c>
      <c r="T98" s="106">
        <f>+AE99</f>
        <v>14.6</v>
      </c>
      <c r="U98" s="103">
        <f>+T98*S98</f>
        <v>2395106.0598069695</v>
      </c>
      <c r="AB98" s="39"/>
      <c r="AC98" s="39"/>
      <c r="AD98" s="39"/>
      <c r="AE98" s="39"/>
      <c r="AF98" s="39"/>
      <c r="AG98" s="39"/>
      <c r="AH98" s="39"/>
      <c r="AI98" s="39"/>
      <c r="AJ98" s="39"/>
    </row>
    <row r="99" spans="1:36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271829.3890607513</v>
      </c>
      <c r="T99" s="106">
        <f>+AE100</f>
        <v>10.1</v>
      </c>
      <c r="U99" s="109">
        <f>+T99*S99</f>
        <v>2745476.829513588</v>
      </c>
      <c r="AB99" s="39">
        <f>+AB52</f>
        <v>184563.08866075129</v>
      </c>
      <c r="AC99" s="39"/>
      <c r="AD99" s="39">
        <f>+AD83</f>
        <v>164048.36026075133</v>
      </c>
      <c r="AE99" s="39">
        <f>+AE$83</f>
        <v>14.6</v>
      </c>
      <c r="AF99" s="39"/>
      <c r="AG99" s="39"/>
      <c r="AH99" s="39"/>
      <c r="AI99" s="39"/>
      <c r="AJ99" s="39"/>
    </row>
    <row r="100" spans="1:36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3"/>
      <c r="N100" s="78">
        <f>+N98/N99</f>
        <v>2176451.5172258406</v>
      </c>
      <c r="O100" s="101"/>
      <c r="P100" s="38"/>
      <c r="Q100" s="112" t="s">
        <v>64</v>
      </c>
      <c r="R100" s="100"/>
      <c r="S100" s="63"/>
      <c r="T100" s="100"/>
      <c r="U100" s="113">
        <f>ROUND((0.33*U98)+(0.67*U99),0)</f>
        <v>2629854</v>
      </c>
      <c r="AB100" s="39"/>
      <c r="AC100" s="39"/>
      <c r="AD100" s="39">
        <f>+AD84</f>
        <v>271829.3890607513</v>
      </c>
      <c r="AE100" s="39">
        <f>+AE$84</f>
        <v>10.1</v>
      </c>
      <c r="AF100" s="39"/>
      <c r="AG100" s="39"/>
      <c r="AH100" s="39"/>
      <c r="AI100" s="39"/>
      <c r="AJ100" s="39"/>
    </row>
    <row r="101" spans="1:36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3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3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</row>
    <row r="102" spans="1:36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3"/>
      <c r="N102" s="117">
        <f>+N101*N100</f>
        <v>786787.22347714135</v>
      </c>
      <c r="O102" s="101"/>
      <c r="P102" s="38"/>
      <c r="Q102" s="105" t="s">
        <v>65</v>
      </c>
      <c r="R102" s="116"/>
      <c r="S102" s="63"/>
      <c r="T102" s="78"/>
      <c r="U102" s="118">
        <f>+U101*U100</f>
        <v>950692.22100000002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</row>
    <row r="103" spans="1:36" ht="16.899999999999999" customHeight="1" x14ac:dyDescent="0.25">
      <c r="D103" s="21">
        <v>2</v>
      </c>
      <c r="K103" s="104" t="s">
        <v>66</v>
      </c>
      <c r="L103" s="116"/>
      <c r="M103" s="63"/>
      <c r="N103" s="100"/>
      <c r="O103" s="101"/>
      <c r="P103" s="38"/>
      <c r="Q103" s="105" t="s">
        <v>66</v>
      </c>
      <c r="R103" s="116"/>
      <c r="S103" s="63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</row>
    <row r="104" spans="1:36" ht="16.899999999999999" customHeight="1" x14ac:dyDescent="0.25">
      <c r="D104" s="21">
        <v>2</v>
      </c>
      <c r="K104" s="104" t="str">
        <f>+K$88</f>
        <v>Cash Flow for 13 Years</v>
      </c>
      <c r="L104" s="116"/>
      <c r="M104" s="63"/>
      <c r="N104" s="121">
        <f>+AB105</f>
        <v>1499343.5544952198</v>
      </c>
      <c r="O104" s="101"/>
      <c r="P104" s="38"/>
      <c r="Q104" s="105" t="str">
        <f>+Q$88</f>
        <v>Cash Flow for 13 Years</v>
      </c>
      <c r="R104" s="116"/>
      <c r="S104" s="63"/>
      <c r="T104" s="78"/>
      <c r="U104" s="109">
        <f>+AB105</f>
        <v>1499343.5544952198</v>
      </c>
      <c r="AB104" s="39"/>
      <c r="AC104" s="39"/>
      <c r="AD104" s="39"/>
      <c r="AE104" s="39"/>
      <c r="AF104" s="39"/>
      <c r="AG104" s="39"/>
      <c r="AH104" s="39"/>
      <c r="AI104" s="39"/>
      <c r="AJ104" s="39"/>
    </row>
    <row r="105" spans="1:36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3"/>
      <c r="N105" s="100"/>
      <c r="O105" s="101"/>
      <c r="P105" s="38"/>
      <c r="Q105" s="105"/>
      <c r="R105" s="116"/>
      <c r="S105" s="63"/>
      <c r="T105" s="100"/>
      <c r="U105" s="103"/>
      <c r="AB105" s="39">
        <f>+AB60</f>
        <v>1499343.5544952198</v>
      </c>
      <c r="AC105" s="39"/>
      <c r="AD105" s="39"/>
      <c r="AE105" s="39"/>
      <c r="AF105" s="39"/>
      <c r="AG105" s="39"/>
      <c r="AH105" s="39"/>
      <c r="AI105" s="39"/>
      <c r="AJ105" s="39"/>
    </row>
    <row r="106" spans="1:36" ht="16.899999999999999" customHeight="1" thickBot="1" x14ac:dyDescent="0.3">
      <c r="D106" s="21">
        <v>2</v>
      </c>
      <c r="K106" s="104" t="s">
        <v>67</v>
      </c>
      <c r="L106" s="116"/>
      <c r="M106" s="63"/>
      <c r="N106" s="66">
        <f>+N102+N104</f>
        <v>2286130.7779723611</v>
      </c>
      <c r="O106" s="101"/>
      <c r="P106" s="38"/>
      <c r="Q106" s="105" t="s">
        <v>67</v>
      </c>
      <c r="R106" s="116"/>
      <c r="S106" s="63"/>
      <c r="T106" s="78"/>
      <c r="U106" s="122">
        <f>+U102+U104</f>
        <v>2450035.77549522</v>
      </c>
      <c r="AB106" s="39"/>
      <c r="AC106" s="39"/>
      <c r="AD106" s="39"/>
      <c r="AE106" s="39"/>
      <c r="AF106" s="39"/>
      <c r="AG106" s="39"/>
      <c r="AH106" s="39"/>
      <c r="AI106" s="39"/>
      <c r="AJ106" s="39"/>
    </row>
    <row r="107" spans="1:36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</row>
    <row r="108" spans="1:36" ht="15" x14ac:dyDescent="0.25">
      <c r="D108" s="21">
        <v>2</v>
      </c>
      <c r="K108" s="100"/>
      <c r="L108" s="100"/>
      <c r="M108" s="63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</row>
    <row r="109" spans="1:36" ht="15" x14ac:dyDescent="0.25">
      <c r="D109" s="21">
        <v>2</v>
      </c>
      <c r="K109" s="100"/>
      <c r="L109" s="100"/>
      <c r="M109" s="63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</row>
    <row r="110" spans="1:36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</row>
    <row r="111" spans="1:36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6.62%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7.98%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</row>
    <row r="112" spans="1:36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6.6199999999999995E-2</v>
      </c>
      <c r="AC112" s="39"/>
      <c r="AD112" s="97">
        <f>+AB112</f>
        <v>6.6199999999999995E-2</v>
      </c>
      <c r="AE112" s="39"/>
      <c r="AF112" s="39"/>
      <c r="AG112" s="39"/>
      <c r="AH112" s="39"/>
      <c r="AI112" s="39"/>
      <c r="AJ112" s="39"/>
    </row>
    <row r="113" spans="1:40" ht="15" x14ac:dyDescent="0.25">
      <c r="D113" s="21">
        <v>2</v>
      </c>
      <c r="K113" s="99"/>
      <c r="L113" s="100"/>
      <c r="M113" s="63"/>
      <c r="N113" s="22" t="s">
        <v>59</v>
      </c>
      <c r="O113" s="101"/>
      <c r="Q113" s="99"/>
      <c r="R113" s="100"/>
      <c r="S113" s="63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</row>
    <row r="114" spans="1:40" ht="15" x14ac:dyDescent="0.25">
      <c r="D114" s="21">
        <v>2</v>
      </c>
      <c r="K114" s="99"/>
      <c r="L114" s="100"/>
      <c r="M114" s="63"/>
      <c r="N114" s="100"/>
      <c r="O114" s="101"/>
      <c r="Q114" s="99"/>
      <c r="R114" s="100"/>
      <c r="S114" s="63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184563.08866075129</v>
      </c>
      <c r="O115" s="101"/>
      <c r="Q115" s="104" t="str">
        <f t="shared" ref="Q115:Q121" si="58">+K98</f>
        <v>Projected Debt Free Net Cash Flow (10)</v>
      </c>
      <c r="R115" s="100"/>
      <c r="S115" s="100"/>
      <c r="T115" s="100">
        <f>+AB132</f>
        <v>184563.08866075129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9">+K83</f>
        <v>Divided by Capitalization Factor (8)</v>
      </c>
      <c r="L116" s="100"/>
      <c r="M116" s="78"/>
      <c r="N116" s="108">
        <f>+AB112</f>
        <v>6.6199999999999995E-2</v>
      </c>
      <c r="O116" s="101"/>
      <c r="Q116" s="104" t="str">
        <f t="shared" si="58"/>
        <v>Divided by Capitalization Factor (9)</v>
      </c>
      <c r="R116" s="100"/>
      <c r="S116" s="78"/>
      <c r="T116" s="108">
        <f>+AB128</f>
        <v>7.9799999999999996E-2</v>
      </c>
      <c r="U116" s="101"/>
      <c r="AB116" s="39">
        <f>+AB$52</f>
        <v>184563.08866075129</v>
      </c>
      <c r="AC116" s="39"/>
      <c r="AD116" s="39">
        <f>+Z$42</f>
        <v>164048.36026075133</v>
      </c>
      <c r="AE116" s="39">
        <f>+AE$83</f>
        <v>14.6</v>
      </c>
      <c r="AF116" s="39"/>
      <c r="AG116" s="39"/>
      <c r="AH116" s="39"/>
      <c r="AI116" s="39"/>
      <c r="AJ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9"/>
        <v>13th Year Terminal Value</v>
      </c>
      <c r="L117" s="100"/>
      <c r="M117" s="63"/>
      <c r="N117" s="78">
        <f>+N115/N116</f>
        <v>2787962.0643618023</v>
      </c>
      <c r="O117" s="101"/>
      <c r="Q117" s="104" t="str">
        <f t="shared" si="58"/>
        <v>13th Year Terminal Value</v>
      </c>
      <c r="R117" s="100"/>
      <c r="S117" s="63"/>
      <c r="T117" s="78">
        <f>+T115/T116</f>
        <v>2312820.6599091641</v>
      </c>
      <c r="U117" s="101"/>
      <c r="AB117" s="39"/>
      <c r="AC117" s="39"/>
      <c r="AD117" s="39">
        <f>+Z$41</f>
        <v>271829.3890607513</v>
      </c>
      <c r="AE117" s="39">
        <f>+AE$84</f>
        <v>10.1</v>
      </c>
      <c r="AF117" s="39"/>
      <c r="AG117" s="39"/>
      <c r="AH117" s="39"/>
      <c r="AI117" s="39"/>
      <c r="AJ117" s="39"/>
    </row>
    <row r="118" spans="1:40" ht="16.899999999999999" customHeight="1" x14ac:dyDescent="0.25">
      <c r="D118" s="21">
        <v>2</v>
      </c>
      <c r="K118" s="104" t="str">
        <f t="shared" si="59"/>
        <v>13th Year Present Value Factor (11)</v>
      </c>
      <c r="L118" s="100"/>
      <c r="M118" s="63"/>
      <c r="N118" s="114">
        <f>+N85</f>
        <v>0.42330000000000001</v>
      </c>
      <c r="O118" s="101"/>
      <c r="Q118" s="104" t="str">
        <f t="shared" si="58"/>
        <v>13th Year Present Value Factor (12)</v>
      </c>
      <c r="R118" s="100"/>
      <c r="S118" s="63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9"/>
        <v>Present Value of Terminal Value</v>
      </c>
      <c r="L119" s="116"/>
      <c r="M119" s="63"/>
      <c r="N119" s="117">
        <f>+N118*N117</f>
        <v>1180144.341844351</v>
      </c>
      <c r="O119" s="101"/>
      <c r="Q119" s="104" t="str">
        <f t="shared" si="58"/>
        <v>Present Value of Terminal Value</v>
      </c>
      <c r="R119" s="116"/>
      <c r="S119" s="63"/>
      <c r="T119" s="117">
        <f>+T118*T117</f>
        <v>836084.66855716275</v>
      </c>
      <c r="U119" s="101"/>
      <c r="AB119" s="119">
        <f>+Z62</f>
        <v>0.44879999999999998</v>
      </c>
      <c r="AC119" s="39"/>
      <c r="AD119" s="120">
        <f>+AB119</f>
        <v>0.44879999999999998</v>
      </c>
      <c r="AE119" s="39"/>
      <c r="AF119" s="39"/>
      <c r="AG119" s="39"/>
      <c r="AH119" s="39"/>
      <c r="AI119" s="39"/>
      <c r="AJ119" s="39"/>
    </row>
    <row r="120" spans="1:40" ht="16.899999999999999" customHeight="1" x14ac:dyDescent="0.25">
      <c r="D120" s="21">
        <v>2</v>
      </c>
      <c r="K120" s="104" t="str">
        <f t="shared" si="59"/>
        <v>Present Value Debt Free Net</v>
      </c>
      <c r="L120" s="116"/>
      <c r="M120" s="63"/>
      <c r="N120" s="100"/>
      <c r="O120" s="101"/>
      <c r="Q120" s="104" t="str">
        <f t="shared" si="58"/>
        <v>Present Value Debt Free Net</v>
      </c>
      <c r="R120" s="116"/>
      <c r="S120" s="63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3"/>
      <c r="N121" s="121">
        <f>+AB122</f>
        <v>1605650.6514165483</v>
      </c>
      <c r="O121" s="101"/>
      <c r="Q121" s="104" t="str">
        <f t="shared" si="58"/>
        <v>Cash Flow for 13 Years</v>
      </c>
      <c r="R121" s="116"/>
      <c r="S121" s="63"/>
      <c r="T121" s="121">
        <f>+AB138</f>
        <v>1499343.5544952198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</row>
    <row r="122" spans="1:40" ht="16.899999999999999" customHeight="1" x14ac:dyDescent="0.25">
      <c r="D122" s="21">
        <v>2</v>
      </c>
      <c r="K122" s="104"/>
      <c r="L122" s="116"/>
      <c r="M122" s="63"/>
      <c r="N122" s="100"/>
      <c r="O122" s="101"/>
      <c r="Q122" s="104"/>
      <c r="R122" s="116"/>
      <c r="S122" s="63"/>
      <c r="T122" s="100"/>
      <c r="U122" s="101"/>
      <c r="V122" s="39"/>
      <c r="W122" s="39"/>
      <c r="X122" s="39"/>
      <c r="Y122" s="39"/>
      <c r="AB122" s="39">
        <f>+AB56</f>
        <v>1605650.6514165483</v>
      </c>
      <c r="AC122" s="39"/>
      <c r="AD122" s="39">
        <f>+AB122</f>
        <v>1605650.6514165483</v>
      </c>
      <c r="AE122" s="39"/>
      <c r="AF122" s="39"/>
      <c r="AG122" s="39"/>
      <c r="AH122" s="39"/>
      <c r="AI122" s="39"/>
      <c r="AJ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3"/>
      <c r="N123" s="66">
        <f>+N119+N121</f>
        <v>2785794.9932608996</v>
      </c>
      <c r="O123" s="101"/>
      <c r="Q123" s="104" t="s">
        <v>67</v>
      </c>
      <c r="R123" s="116"/>
      <c r="S123" s="63"/>
      <c r="T123" s="66">
        <f>+T119+T121</f>
        <v>2335428.2230523825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7.98%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7.9799999999999996E-2</v>
      </c>
      <c r="AC128" s="39"/>
      <c r="AD128" s="97">
        <f>+AB128</f>
        <v>7.9799999999999996E-2</v>
      </c>
      <c r="AE128" s="39"/>
      <c r="AF128" s="39"/>
      <c r="AG128" s="39"/>
      <c r="AH128" s="39"/>
      <c r="AI128" s="39"/>
      <c r="AJ128" s="39"/>
    </row>
    <row r="129" spans="4:36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</row>
    <row r="130" spans="4:36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</row>
    <row r="131" spans="4:36" ht="15" x14ac:dyDescent="0.25">
      <c r="D131" s="21"/>
      <c r="P131" s="38"/>
      <c r="Q131" s="137" t="s">
        <v>60</v>
      </c>
      <c r="R131" s="133"/>
      <c r="S131" s="133">
        <f>+AD132</f>
        <v>164048.36026075133</v>
      </c>
      <c r="T131" s="138">
        <f>+AE132</f>
        <v>14.6</v>
      </c>
      <c r="U131" s="133">
        <f>+T131*S131</f>
        <v>2395106.0598069695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</row>
    <row r="132" spans="4:36" ht="16.899999999999999" customHeight="1" x14ac:dyDescent="0.25">
      <c r="D132" s="21"/>
      <c r="P132" s="38"/>
      <c r="Q132" s="137" t="s">
        <v>62</v>
      </c>
      <c r="R132" s="133"/>
      <c r="S132" s="139">
        <f>+AD133</f>
        <v>271829.3890607513</v>
      </c>
      <c r="T132" s="138">
        <f>+AE133</f>
        <v>10.1</v>
      </c>
      <c r="U132" s="139">
        <f>+T132*S132</f>
        <v>2745476.829513588</v>
      </c>
      <c r="V132" s="39"/>
      <c r="W132" s="39"/>
      <c r="X132" s="39"/>
      <c r="Y132" s="39"/>
      <c r="AB132" s="39">
        <f>+AB$52</f>
        <v>184563.08866075129</v>
      </c>
      <c r="AC132" s="39"/>
      <c r="AD132" s="39">
        <f>+AD116</f>
        <v>164048.36026075133</v>
      </c>
      <c r="AE132" s="39">
        <f>+AE$83</f>
        <v>14.6</v>
      </c>
      <c r="AF132" s="39"/>
      <c r="AG132" s="39"/>
      <c r="AH132" s="39"/>
      <c r="AI132" s="39"/>
      <c r="AJ132" s="39"/>
    </row>
    <row r="133" spans="4:36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2629854</v>
      </c>
      <c r="V133" s="39"/>
      <c r="W133" s="39"/>
      <c r="X133" s="39"/>
      <c r="Y133" s="39"/>
      <c r="AB133" s="39"/>
      <c r="AC133" s="39"/>
      <c r="AD133" s="39">
        <f>+AD117</f>
        <v>271829.3890607513</v>
      </c>
      <c r="AE133" s="39">
        <f>+AE$84</f>
        <v>10.1</v>
      </c>
      <c r="AF133" s="39"/>
      <c r="AG133" s="39"/>
      <c r="AH133" s="39"/>
      <c r="AI133" s="39"/>
      <c r="AJ133" s="39"/>
    </row>
    <row r="134" spans="4:36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</row>
    <row r="135" spans="4:36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950692.22100000002</v>
      </c>
      <c r="V135" s="39"/>
      <c r="W135" s="39"/>
      <c r="X135" s="39"/>
      <c r="Y135" s="39"/>
      <c r="AB135" s="119">
        <f>+Z66</f>
        <v>0.38300000000000001</v>
      </c>
      <c r="AC135" s="39"/>
      <c r="AD135" s="120">
        <f>+AB135</f>
        <v>0.38300000000000001</v>
      </c>
      <c r="AE135" s="39"/>
      <c r="AF135" s="39"/>
      <c r="AG135" s="39"/>
      <c r="AH135" s="39"/>
      <c r="AI135" s="39"/>
      <c r="AJ135" s="39"/>
    </row>
    <row r="136" spans="4:36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</row>
    <row r="137" spans="4:36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1499343.5544952198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</row>
    <row r="138" spans="4:36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1499343.5544952198</v>
      </c>
      <c r="AC138" s="39"/>
      <c r="AD138" s="39">
        <f>+AB138</f>
        <v>1499343.5544952198</v>
      </c>
      <c r="AE138" s="39"/>
      <c r="AF138" s="39"/>
      <c r="AG138" s="39"/>
      <c r="AH138" s="39"/>
      <c r="AI138" s="39"/>
      <c r="AJ138" s="39"/>
    </row>
    <row r="139" spans="4:36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2450035.77549522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</row>
    <row r="140" spans="4:36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</row>
    <row r="141" spans="4:36" ht="15" x14ac:dyDescent="0.25">
      <c r="D141" s="21"/>
      <c r="K141" s="100"/>
      <c r="L141" s="100"/>
      <c r="M141" s="63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</row>
    <row r="142" spans="4:36" ht="15.75" x14ac:dyDescent="0.25">
      <c r="D142" s="21">
        <v>2</v>
      </c>
      <c r="L142" s="82" t="s">
        <v>71</v>
      </c>
      <c r="M142" s="63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</row>
    <row r="143" spans="4:36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</row>
    <row r="144" spans="4:36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</row>
    <row r="145" spans="3:36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</row>
    <row r="146" spans="3:36" ht="15" x14ac:dyDescent="0.25">
      <c r="D146" s="21">
        <v>3</v>
      </c>
      <c r="K146" s="99"/>
      <c r="L146" s="100"/>
      <c r="M146" s="63"/>
      <c r="N146" s="22" t="s">
        <v>59</v>
      </c>
      <c r="O146" s="101"/>
      <c r="Q146" s="99"/>
      <c r="R146" s="100"/>
      <c r="S146" s="63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</row>
    <row r="147" spans="3:36" ht="15" x14ac:dyDescent="0.25">
      <c r="D147" s="21">
        <v>3</v>
      </c>
      <c r="K147" s="99"/>
      <c r="L147" s="100"/>
      <c r="M147" s="63"/>
      <c r="N147" s="100"/>
      <c r="O147" s="101"/>
      <c r="Q147" s="99"/>
      <c r="R147" s="100"/>
      <c r="S147" s="63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</row>
    <row r="148" spans="3:36" ht="15" x14ac:dyDescent="0.25">
      <c r="D148" s="21">
        <v>3</v>
      </c>
      <c r="K148" s="104" t="str">
        <f t="shared" ref="K148:K154" si="60">+K115</f>
        <v>Projected Debt Free Net Cash Flow (10)</v>
      </c>
      <c r="L148" s="100"/>
      <c r="M148" s="100"/>
      <c r="N148" s="100">
        <f>+AB149</f>
        <v>184563.08866075129</v>
      </c>
      <c r="O148" s="101"/>
      <c r="Q148" s="105" t="s">
        <v>60</v>
      </c>
      <c r="R148" s="100"/>
      <c r="S148" s="100">
        <f>+AD149</f>
        <v>164048.36026075133</v>
      </c>
      <c r="T148" s="106">
        <f>+AE149</f>
        <v>14.6</v>
      </c>
      <c r="U148" s="103">
        <f>+T148*S148</f>
        <v>2395106.0598069695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spans="3:36" ht="16.899999999999999" customHeight="1" x14ac:dyDescent="0.25">
      <c r="D149" s="21">
        <v>3</v>
      </c>
      <c r="K149" s="104" t="str">
        <f t="shared" si="60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271829.3890607513</v>
      </c>
      <c r="T149" s="106">
        <f>+AE150</f>
        <v>10.1</v>
      </c>
      <c r="U149" s="109">
        <f>+T149*S149</f>
        <v>2745476.829513588</v>
      </c>
      <c r="V149" s="39"/>
      <c r="W149" s="39"/>
      <c r="X149" s="39"/>
      <c r="Y149" s="39"/>
      <c r="AB149" s="39">
        <f>+AB$52</f>
        <v>184563.08866075129</v>
      </c>
      <c r="AC149" s="39"/>
      <c r="AD149" s="39">
        <f>+Z$42</f>
        <v>164048.36026075133</v>
      </c>
      <c r="AE149" s="39">
        <f>+AE$83</f>
        <v>14.6</v>
      </c>
      <c r="AF149" s="39"/>
      <c r="AG149" s="39"/>
      <c r="AH149" s="39"/>
      <c r="AI149" s="39"/>
      <c r="AJ149" s="39"/>
    </row>
    <row r="150" spans="3:36" ht="16.899999999999999" customHeight="1" x14ac:dyDescent="0.25">
      <c r="D150" s="21">
        <v>3</v>
      </c>
      <c r="K150" s="104" t="str">
        <f t="shared" si="60"/>
        <v>13th Year Terminal Value</v>
      </c>
      <c r="L150" s="100"/>
      <c r="M150" s="63"/>
      <c r="N150" s="78">
        <f>+N148/N149</f>
        <v>4806330.4338737316</v>
      </c>
      <c r="O150" s="101"/>
      <c r="Q150" s="112" t="s">
        <v>64</v>
      </c>
      <c r="R150" s="100"/>
      <c r="S150" s="63"/>
      <c r="T150" s="100"/>
      <c r="U150" s="113">
        <f>ROUND((0.33*U148)+(0.67*U149),0)</f>
        <v>2629854</v>
      </c>
      <c r="V150" s="39"/>
      <c r="W150" s="39"/>
      <c r="X150" s="39"/>
      <c r="Y150" s="39"/>
      <c r="AB150" s="39"/>
      <c r="AC150" s="39"/>
      <c r="AD150" s="39">
        <f>+Z$41</f>
        <v>271829.3890607513</v>
      </c>
      <c r="AE150" s="39">
        <f>+AE$84</f>
        <v>10.1</v>
      </c>
      <c r="AF150" s="39"/>
      <c r="AG150" s="39"/>
      <c r="AH150" s="39"/>
      <c r="AI150" s="39"/>
      <c r="AJ150" s="39"/>
    </row>
    <row r="151" spans="3:36" ht="16.899999999999999" customHeight="1" x14ac:dyDescent="0.25">
      <c r="D151" s="21">
        <v>3</v>
      </c>
      <c r="K151" s="104" t="str">
        <f t="shared" si="60"/>
        <v>13th Year Present Value Factor (11)</v>
      </c>
      <c r="L151" s="100"/>
      <c r="M151" s="63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3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</row>
    <row r="152" spans="3:36" ht="16.899999999999999" customHeight="1" x14ac:dyDescent="0.25">
      <c r="D152" s="21">
        <v>3</v>
      </c>
      <c r="K152" s="104" t="str">
        <f t="shared" si="60"/>
        <v>Present Value of Terminal Value</v>
      </c>
      <c r="L152" s="116"/>
      <c r="M152" s="63"/>
      <c r="N152" s="117">
        <f>+N151*N150</f>
        <v>3001072.7229107576</v>
      </c>
      <c r="O152" s="101"/>
      <c r="Q152" s="105" t="s">
        <v>65</v>
      </c>
      <c r="R152" s="116"/>
      <c r="S152" s="63"/>
      <c r="T152" s="78"/>
      <c r="U152" s="118">
        <f>+U151*U150</f>
        <v>1642080.8376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</row>
    <row r="153" spans="3:36" ht="16.899999999999999" customHeight="1" x14ac:dyDescent="0.25">
      <c r="D153" s="21">
        <v>3</v>
      </c>
      <c r="K153" s="104" t="str">
        <f t="shared" si="60"/>
        <v>Present Value Debt Free Net</v>
      </c>
      <c r="L153" s="116"/>
      <c r="M153" s="63"/>
      <c r="N153" s="100"/>
      <c r="O153" s="101"/>
      <c r="Q153" s="105" t="s">
        <v>66</v>
      </c>
      <c r="R153" s="116"/>
      <c r="S153" s="63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</row>
    <row r="154" spans="3:36" ht="16.899999999999999" customHeight="1" x14ac:dyDescent="0.25">
      <c r="D154" s="21">
        <v>3</v>
      </c>
      <c r="K154" s="104" t="str">
        <f t="shared" si="60"/>
        <v>Cash Flow for 13 Years</v>
      </c>
      <c r="L154" s="116"/>
      <c r="M154" s="63"/>
      <c r="N154" s="121">
        <f>+AB155</f>
        <v>1918617.4312819017</v>
      </c>
      <c r="O154" s="101"/>
      <c r="Q154" s="105" t="str">
        <f>+Q$88</f>
        <v>Cash Flow for 13 Years</v>
      </c>
      <c r="R154" s="116"/>
      <c r="S154" s="63"/>
      <c r="T154" s="78"/>
      <c r="U154" s="109">
        <f>+AD155</f>
        <v>1918617.4312819017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</row>
    <row r="155" spans="3:36" ht="16.899999999999999" customHeight="1" x14ac:dyDescent="0.25">
      <c r="D155" s="21">
        <v>3</v>
      </c>
      <c r="K155" s="104"/>
      <c r="L155" s="116"/>
      <c r="M155" s="63"/>
      <c r="N155" s="100"/>
      <c r="O155" s="101"/>
      <c r="Q155" s="105"/>
      <c r="R155" s="116"/>
      <c r="S155" s="63"/>
      <c r="T155" s="100"/>
      <c r="U155" s="103"/>
      <c r="V155" s="39"/>
      <c r="W155" s="39"/>
      <c r="X155" s="39"/>
      <c r="Y155" s="39"/>
      <c r="AB155" s="39">
        <f>+AB72</f>
        <v>1918617.4312819017</v>
      </c>
      <c r="AC155" s="39"/>
      <c r="AD155" s="39">
        <f>+AB155</f>
        <v>1918617.4312819017</v>
      </c>
      <c r="AE155" s="39"/>
      <c r="AF155" s="39"/>
      <c r="AG155" s="39"/>
      <c r="AH155" s="39"/>
    </row>
    <row r="156" spans="3:36" ht="16.899999999999999" customHeight="1" thickBot="1" x14ac:dyDescent="0.3">
      <c r="D156" s="21">
        <v>3</v>
      </c>
      <c r="K156" s="104" t="s">
        <v>67</v>
      </c>
      <c r="L156" s="116"/>
      <c r="M156" s="63"/>
      <c r="N156" s="66">
        <f>+N152+N154</f>
        <v>4919690.1541926591</v>
      </c>
      <c r="O156" s="101"/>
      <c r="Q156" s="105" t="s">
        <v>67</v>
      </c>
      <c r="R156" s="116"/>
      <c r="S156" s="63"/>
      <c r="T156" s="78"/>
      <c r="U156" s="122">
        <f>+U152+U154</f>
        <v>3560698.2688819016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</row>
    <row r="157" spans="3:36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</row>
    <row r="158" spans="3:36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</row>
    <row r="159" spans="3:36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</row>
    <row r="160" spans="3:36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3.34%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3.34%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</row>
    <row r="161" spans="3:34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3.3399999999999999E-2</v>
      </c>
      <c r="AC161" s="39"/>
      <c r="AD161" s="97">
        <f>+AB161</f>
        <v>3.3399999999999999E-2</v>
      </c>
      <c r="AE161" s="39"/>
      <c r="AF161" s="39"/>
      <c r="AG161" s="39"/>
      <c r="AH161" s="39"/>
    </row>
    <row r="162" spans="3:34" ht="15" x14ac:dyDescent="0.25">
      <c r="D162" s="21">
        <v>3</v>
      </c>
      <c r="K162" s="99"/>
      <c r="L162" s="100"/>
      <c r="M162" s="63"/>
      <c r="N162" s="22" t="s">
        <v>59</v>
      </c>
      <c r="O162" s="101"/>
      <c r="P162" s="38"/>
      <c r="Q162" s="99"/>
      <c r="R162" s="100"/>
      <c r="S162" s="63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</row>
    <row r="163" spans="3:34" ht="15" x14ac:dyDescent="0.25">
      <c r="D163" s="21">
        <v>3</v>
      </c>
      <c r="K163" s="99"/>
      <c r="L163" s="100"/>
      <c r="M163" s="63"/>
      <c r="N163" s="100"/>
      <c r="O163" s="101"/>
      <c r="P163" s="38"/>
      <c r="Q163" s="99"/>
      <c r="R163" s="100"/>
      <c r="S163" s="63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</row>
    <row r="164" spans="3:34" ht="15" x14ac:dyDescent="0.25">
      <c r="D164" s="21">
        <v>3</v>
      </c>
      <c r="K164" s="104" t="str">
        <f t="shared" ref="K164:K170" si="61">+Q115</f>
        <v>Projected Debt Free Net Cash Flow (10)</v>
      </c>
      <c r="L164" s="100"/>
      <c r="M164" s="100"/>
      <c r="N164" s="100">
        <f>+AB165</f>
        <v>184563.08866075129</v>
      </c>
      <c r="O164" s="101"/>
      <c r="P164" s="38"/>
      <c r="Q164" s="105" t="s">
        <v>60</v>
      </c>
      <c r="R164" s="100"/>
      <c r="S164" s="100">
        <f>+AD165</f>
        <v>164048.36026075133</v>
      </c>
      <c r="T164" s="106">
        <f>+AE165</f>
        <v>14.6</v>
      </c>
      <c r="U164" s="103">
        <f>+T164*S164</f>
        <v>2395106.0598069695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</row>
    <row r="165" spans="3:34" ht="16.899999999999999" customHeight="1" x14ac:dyDescent="0.25">
      <c r="D165" s="21">
        <v>3</v>
      </c>
      <c r="K165" s="104" t="str">
        <f t="shared" si="61"/>
        <v>Divided by Capitalization Factor (9)</v>
      </c>
      <c r="L165" s="100"/>
      <c r="M165" s="78"/>
      <c r="N165" s="108">
        <f>+AB161</f>
        <v>3.3399999999999999E-2</v>
      </c>
      <c r="O165" s="101"/>
      <c r="P165" s="38"/>
      <c r="Q165" s="105" t="s">
        <v>62</v>
      </c>
      <c r="R165" s="100"/>
      <c r="S165" s="78">
        <f>+AD166</f>
        <v>271829.3890607513</v>
      </c>
      <c r="T165" s="106">
        <f>+AE166</f>
        <v>10.1</v>
      </c>
      <c r="U165" s="109">
        <f>+T165*S165</f>
        <v>2745476.829513588</v>
      </c>
      <c r="V165" s="39"/>
      <c r="W165" s="39"/>
      <c r="X165" s="39"/>
      <c r="Y165" s="39"/>
      <c r="AB165" s="39">
        <f>+AB$52</f>
        <v>184563.08866075129</v>
      </c>
      <c r="AC165" s="39"/>
      <c r="AD165" s="39">
        <f>+AD149</f>
        <v>164048.36026075133</v>
      </c>
      <c r="AE165" s="39">
        <f>+AE$83</f>
        <v>14.6</v>
      </c>
      <c r="AF165" s="39"/>
      <c r="AG165" s="39"/>
      <c r="AH165" s="39"/>
    </row>
    <row r="166" spans="3:34" ht="16.899999999999999" customHeight="1" x14ac:dyDescent="0.25">
      <c r="D166" s="21">
        <v>3</v>
      </c>
      <c r="K166" s="104" t="str">
        <f t="shared" si="61"/>
        <v>13th Year Terminal Value</v>
      </c>
      <c r="L166" s="100"/>
      <c r="M166" s="63"/>
      <c r="N166" s="78">
        <f>+N164/N165</f>
        <v>5525840.9778668052</v>
      </c>
      <c r="O166" s="101"/>
      <c r="P166" s="38"/>
      <c r="Q166" s="112" t="s">
        <v>64</v>
      </c>
      <c r="R166" s="100"/>
      <c r="S166" s="63"/>
      <c r="T166" s="100"/>
      <c r="U166" s="113">
        <f>ROUND((0.33*U164)+(0.67*U165),0)</f>
        <v>2629854</v>
      </c>
      <c r="V166" s="39"/>
      <c r="W166" s="39"/>
      <c r="X166" s="39"/>
      <c r="Y166" s="39"/>
      <c r="AB166" s="39"/>
      <c r="AC166" s="39"/>
      <c r="AD166" s="39">
        <f>+AD150</f>
        <v>271829.3890607513</v>
      </c>
      <c r="AE166" s="39">
        <f>+AE$84</f>
        <v>10.1</v>
      </c>
      <c r="AF166" s="39"/>
      <c r="AG166" s="39"/>
      <c r="AH166" s="39"/>
    </row>
    <row r="167" spans="3:34" ht="16.899999999999999" customHeight="1" x14ac:dyDescent="0.25">
      <c r="D167" s="21">
        <v>3</v>
      </c>
      <c r="K167" s="104" t="str">
        <f t="shared" si="61"/>
        <v>13th Year Present Value Factor (12)</v>
      </c>
      <c r="L167" s="100"/>
      <c r="M167" s="63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3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</row>
    <row r="168" spans="3:34" ht="16.899999999999999" customHeight="1" x14ac:dyDescent="0.25">
      <c r="D168" s="21">
        <v>3</v>
      </c>
      <c r="K168" s="104" t="str">
        <f t="shared" si="61"/>
        <v>Present Value of Terminal Value</v>
      </c>
      <c r="L168" s="116"/>
      <c r="M168" s="63"/>
      <c r="N168" s="117">
        <f>+N167*N166</f>
        <v>3450335.106580033</v>
      </c>
      <c r="O168" s="101"/>
      <c r="P168" s="38"/>
      <c r="Q168" s="105" t="s">
        <v>65</v>
      </c>
      <c r="R168" s="116"/>
      <c r="S168" s="63"/>
      <c r="T168" s="78"/>
      <c r="U168" s="118">
        <f>+U167*U166</f>
        <v>1642080.8376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4" ht="16.899999999999999" customHeight="1" x14ac:dyDescent="0.25">
      <c r="D169" s="21">
        <v>3</v>
      </c>
      <c r="K169" s="104" t="str">
        <f t="shared" si="61"/>
        <v>Present Value Debt Free Net</v>
      </c>
      <c r="L169" s="116"/>
      <c r="M169" s="63"/>
      <c r="N169" s="100"/>
      <c r="O169" s="101"/>
      <c r="P169" s="38"/>
      <c r="Q169" s="105" t="s">
        <v>66</v>
      </c>
      <c r="R169" s="116"/>
      <c r="S169" s="63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4" ht="16.899999999999999" customHeight="1" x14ac:dyDescent="0.25">
      <c r="D170" s="21">
        <v>3</v>
      </c>
      <c r="K170" s="104" t="str">
        <f t="shared" si="61"/>
        <v>Cash Flow for 13 Years</v>
      </c>
      <c r="L170" s="116"/>
      <c r="M170" s="63"/>
      <c r="N170" s="121">
        <f>+AB171</f>
        <v>1918617.4312819017</v>
      </c>
      <c r="O170" s="101"/>
      <c r="P170" s="38"/>
      <c r="Q170" s="105" t="str">
        <f>+Q$88</f>
        <v>Cash Flow for 13 Years</v>
      </c>
      <c r="R170" s="116"/>
      <c r="S170" s="63"/>
      <c r="T170" s="78"/>
      <c r="U170" s="109">
        <f>+AD171</f>
        <v>1918617.4312819017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4" ht="16.899999999999999" customHeight="1" x14ac:dyDescent="0.25">
      <c r="D171" s="21">
        <v>3</v>
      </c>
      <c r="K171" s="104"/>
      <c r="L171" s="116"/>
      <c r="M171" s="63"/>
      <c r="N171" s="100"/>
      <c r="O171" s="101"/>
      <c r="P171" s="38"/>
      <c r="Q171" s="105"/>
      <c r="R171" s="116"/>
      <c r="S171" s="63"/>
      <c r="T171" s="100"/>
      <c r="U171" s="103"/>
      <c r="V171" s="39"/>
      <c r="W171" s="39"/>
      <c r="X171" s="39"/>
      <c r="Y171" s="39"/>
      <c r="AB171" s="39">
        <f>+AB72</f>
        <v>1918617.4312819017</v>
      </c>
      <c r="AC171" s="39"/>
      <c r="AD171" s="39">
        <f>+AB171</f>
        <v>1918617.4312819017</v>
      </c>
      <c r="AE171" s="39"/>
      <c r="AF171" s="39"/>
      <c r="AG171" s="39"/>
      <c r="AH171" s="39"/>
    </row>
    <row r="172" spans="3:34" ht="16.899999999999999" customHeight="1" thickBot="1" x14ac:dyDescent="0.3">
      <c r="D172" s="21">
        <v>3</v>
      </c>
      <c r="K172" s="104" t="s">
        <v>67</v>
      </c>
      <c r="L172" s="116"/>
      <c r="M172" s="63"/>
      <c r="N172" s="66">
        <f>+N168+N170</f>
        <v>5368952.5378619349</v>
      </c>
      <c r="O172" s="101"/>
      <c r="P172" s="38"/>
      <c r="Q172" s="105" t="s">
        <v>67</v>
      </c>
      <c r="R172" s="116"/>
      <c r="S172" s="63"/>
      <c r="T172" s="78"/>
      <c r="U172" s="122">
        <f>+U168+U170</f>
        <v>3560698.2688819016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4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4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4" ht="15" x14ac:dyDescent="0.25">
      <c r="D175" s="21">
        <v>3</v>
      </c>
      <c r="H175" s="100"/>
      <c r="I175" s="100"/>
      <c r="J175" s="63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4" ht="15.75" x14ac:dyDescent="0.25">
      <c r="D176" s="21">
        <v>3</v>
      </c>
      <c r="G176" s="81" t="s">
        <v>56</v>
      </c>
      <c r="H176" s="100"/>
      <c r="I176" s="100"/>
      <c r="J176" s="63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26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26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26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26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26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26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26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26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26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26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26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26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26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26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3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3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3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3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0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0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3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3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1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1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0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2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2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16</v>
      </c>
      <c r="D248" s="21">
        <v>1</v>
      </c>
      <c r="G248" s="162" t="str">
        <f t="shared" si="62"/>
        <v>(4)</v>
      </c>
      <c r="H248" s="1" t="str">
        <f>+"Line "&amp;B248&amp;" + line "&amp;B248-2&amp;"."</f>
        <v>Line 16 + line 14.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16</v>
      </c>
      <c r="D249" s="21">
        <v>1</v>
      </c>
      <c r="G249" s="162" t="str">
        <f t="shared" si="62"/>
        <v>(5)</v>
      </c>
      <c r="H249" s="1" t="str">
        <f>+"Line "&amp;B249&amp;"."</f>
        <v>Line 16.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1</v>
      </c>
      <c r="G250" s="159" t="str">
        <f t="shared" si="62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0</v>
      </c>
      <c r="F251" s="48"/>
      <c r="G251" s="159" t="str">
        <f t="shared" si="62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2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0</v>
      </c>
      <c r="G256" s="159" t="str">
        <f t="shared" ref="G256:G264" si="63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0</v>
      </c>
      <c r="G257" s="159" t="str">
        <f t="shared" si="63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1</v>
      </c>
      <c r="G258" s="159" t="str">
        <f t="shared" si="63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1</v>
      </c>
      <c r="G259" s="159" t="str">
        <f t="shared" si="63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26</v>
      </c>
      <c r="D260" s="21">
        <v>1</v>
      </c>
      <c r="G260" s="162" t="str">
        <f t="shared" si="63"/>
        <v>(10)</v>
      </c>
      <c r="H260" s="1" t="str">
        <f>+"Final year shown, line "&amp;B260&amp;"."</f>
        <v>Final year shown, line 26.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28</v>
      </c>
      <c r="D261" s="21">
        <f>IF($C$10="SUBJECT",0,1)</f>
        <v>1</v>
      </c>
      <c r="G261" s="162" t="str">
        <f t="shared" si="63"/>
        <v>(11)</v>
      </c>
      <c r="H261" s="1" t="str">
        <f>+"Final year shown, line "&amp;B261&amp;"."</f>
        <v>Final year shown, line 28.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28</v>
      </c>
      <c r="D262" s="21">
        <f>IF($C$10="SUBJECT",0,1)</f>
        <v>1</v>
      </c>
      <c r="G262" s="162" t="str">
        <f t="shared" si="63"/>
        <v>(12)</v>
      </c>
      <c r="H262" s="1" t="str">
        <f>+"Final year shown, line "&amp;B262&amp;"."</f>
        <v>Final year shown, line 28.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3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3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4">+H19</f>
        <v>2013</v>
      </c>
      <c r="I285" s="20">
        <f t="shared" si="64"/>
        <v>2014</v>
      </c>
      <c r="J285" s="20">
        <f t="shared" si="64"/>
        <v>2015</v>
      </c>
      <c r="K285" s="20">
        <f t="shared" si="64"/>
        <v>2016</v>
      </c>
      <c r="L285" s="20">
        <f t="shared" si="64"/>
        <v>2017</v>
      </c>
      <c r="M285" s="20">
        <f t="shared" si="64"/>
        <v>2018</v>
      </c>
      <c r="N285" s="178">
        <f t="shared" si="64"/>
        <v>2019</v>
      </c>
      <c r="O285" s="178">
        <f t="shared" si="64"/>
        <v>2020</v>
      </c>
      <c r="P285" s="20">
        <f t="shared" si="64"/>
        <v>2021</v>
      </c>
      <c r="Q285" s="20">
        <f t="shared" si="64"/>
        <v>2022</v>
      </c>
      <c r="R285" s="20">
        <f t="shared" si="64"/>
        <v>2023</v>
      </c>
      <c r="S285" s="20">
        <f t="shared" si="64"/>
        <v>2024</v>
      </c>
      <c r="T285" s="20">
        <f t="shared" si="64"/>
        <v>2025</v>
      </c>
      <c r="U285" s="20">
        <f t="shared" si="64"/>
        <v>2026</v>
      </c>
      <c r="V285" s="20">
        <f t="shared" si="64"/>
        <v>2027</v>
      </c>
      <c r="W285" s="20">
        <f t="shared" si="64"/>
        <v>2028</v>
      </c>
      <c r="X285" s="20">
        <f t="shared" si="64"/>
        <v>2029</v>
      </c>
      <c r="Y285" s="20">
        <f t="shared" si="64"/>
        <v>2030</v>
      </c>
      <c r="Z285" s="20">
        <f t="shared" si="64"/>
        <v>2031</v>
      </c>
      <c r="AA285" s="20">
        <f t="shared" ref="AA285" si="65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6">+I449</f>
        <v>0</v>
      </c>
      <c r="J287" s="179">
        <f t="shared" si="66"/>
        <v>0</v>
      </c>
      <c r="K287" s="179"/>
      <c r="L287" s="179">
        <v>5294272</v>
      </c>
      <c r="M287" s="179">
        <f>+L287+M304-M309</f>
        <v>5294272</v>
      </c>
      <c r="N287" s="179">
        <f>+M287+N304-N309</f>
        <v>5367804</v>
      </c>
      <c r="O287" s="179">
        <f>+N287+O304-O309</f>
        <v>5441757</v>
      </c>
      <c r="P287" s="179">
        <f>+O287+P304-P309</f>
        <v>5516733</v>
      </c>
      <c r="Q287" s="179">
        <f>+P287+Q304-Q309</f>
        <v>5592743</v>
      </c>
      <c r="R287" s="179">
        <f>+Q287+R304-R309</f>
        <v>5669800</v>
      </c>
      <c r="S287" s="179">
        <f>+R287+S304-S309</f>
        <v>5747918</v>
      </c>
      <c r="T287" s="179">
        <f>+S287+T304-T309</f>
        <v>5827112</v>
      </c>
      <c r="U287" s="179">
        <f>+T287+U304-U309</f>
        <v>5905865</v>
      </c>
      <c r="V287" s="179">
        <f>+U287+V304-V309</f>
        <v>5985683</v>
      </c>
      <c r="W287" s="179">
        <f>+V287+W304-W309</f>
        <v>6066579</v>
      </c>
      <c r="X287" s="179">
        <f>+W287+X304-X309</f>
        <v>6148569</v>
      </c>
      <c r="Y287" s="179">
        <f>+X287+Y304-Y309</f>
        <v>6231667</v>
      </c>
      <c r="Z287" s="179">
        <f>+Y287+Z304-Z309</f>
        <v>6315888</v>
      </c>
      <c r="AA287" s="20"/>
    </row>
    <row r="288" spans="4:29" x14ac:dyDescent="0.2">
      <c r="G288" s="1" t="s">
        <v>116</v>
      </c>
      <c r="H288" s="179">
        <f t="shared" ref="H288:J288" si="67">+H450</f>
        <v>0</v>
      </c>
      <c r="I288" s="179">
        <f t="shared" si="67"/>
        <v>0</v>
      </c>
      <c r="J288" s="179">
        <f t="shared" si="67"/>
        <v>0</v>
      </c>
      <c r="K288" s="179"/>
      <c r="L288" s="179">
        <v>1787134</v>
      </c>
      <c r="M288" s="179">
        <f>+L288+M312-M309</f>
        <v>1878195.4783999999</v>
      </c>
      <c r="N288" s="179">
        <f>+M288+N312-N309</f>
        <v>1956801.7696</v>
      </c>
      <c r="O288" s="179">
        <f>+N288+O312-O309</f>
        <v>2036601.5384</v>
      </c>
      <c r="P288" s="179">
        <f>+O288+P312-P309</f>
        <v>2117500.1856</v>
      </c>
      <c r="Q288" s="179">
        <f>+P288+Q312-Q309</f>
        <v>2199513.2895999998</v>
      </c>
      <c r="R288" s="179">
        <f>+Q288+R312-R309</f>
        <v>2282656.5836</v>
      </c>
      <c r="S288" s="179">
        <f>+R288+S312-S309</f>
        <v>2366944.0244</v>
      </c>
      <c r="T288" s="179">
        <f>+S288+T312-T309</f>
        <v>2452392.8267999999</v>
      </c>
      <c r="U288" s="179">
        <f>+T288+U312-U309</f>
        <v>2539279.1075999998</v>
      </c>
      <c r="V288" s="179">
        <f>+U288+V312-V309</f>
        <v>2627340.7235999997</v>
      </c>
      <c r="W288" s="179">
        <f>+V288+W312-W309</f>
        <v>2716590.9239999996</v>
      </c>
      <c r="X288" s="179">
        <f>+W288+X312-X309</f>
        <v>2807048.2159999995</v>
      </c>
      <c r="Y288" s="179">
        <f>+X288+Y312-Y309</f>
        <v>2898728.3819999998</v>
      </c>
      <c r="Z288" s="179">
        <f>+Y288+Z312-Z309</f>
        <v>2991646.4107999997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8">+I287-I288</f>
        <v>0</v>
      </c>
      <c r="J289" s="181">
        <f t="shared" si="68"/>
        <v>0</v>
      </c>
      <c r="K289" s="181"/>
      <c r="L289" s="181">
        <v>3507138</v>
      </c>
      <c r="M289" s="181">
        <f t="shared" si="68"/>
        <v>3416076.5216000001</v>
      </c>
      <c r="N289" s="181">
        <f t="shared" si="68"/>
        <v>3411002.2303999998</v>
      </c>
      <c r="O289" s="181">
        <f t="shared" si="68"/>
        <v>3405155.4616</v>
      </c>
      <c r="P289" s="181">
        <f t="shared" si="68"/>
        <v>3399232.8144</v>
      </c>
      <c r="Q289" s="181">
        <f t="shared" si="68"/>
        <v>3393229.7104000002</v>
      </c>
      <c r="R289" s="181">
        <f t="shared" si="68"/>
        <v>3387143.4164</v>
      </c>
      <c r="S289" s="181">
        <f t="shared" si="68"/>
        <v>3380973.9756</v>
      </c>
      <c r="T289" s="181">
        <f t="shared" si="68"/>
        <v>3374719.1732000001</v>
      </c>
      <c r="U289" s="181">
        <f t="shared" si="68"/>
        <v>3366585.8924000002</v>
      </c>
      <c r="V289" s="181">
        <f t="shared" si="68"/>
        <v>3358342.2764000003</v>
      </c>
      <c r="W289" s="181">
        <f t="shared" si="68"/>
        <v>3349988.0760000004</v>
      </c>
      <c r="X289" s="181">
        <f t="shared" si="68"/>
        <v>3341520.7840000005</v>
      </c>
      <c r="Y289" s="181">
        <f t="shared" si="68"/>
        <v>3332938.6180000002</v>
      </c>
      <c r="Z289" s="181">
        <f t="shared" si="68"/>
        <v>3324241.5892000003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9">+I453</f>
        <v>0</v>
      </c>
      <c r="J291" s="179">
        <f t="shared" si="69"/>
        <v>0</v>
      </c>
      <c r="K291" s="179">
        <f t="shared" si="69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9"/>
        <v>0</v>
      </c>
      <c r="J292" s="179">
        <f t="shared" si="69"/>
        <v>0</v>
      </c>
      <c r="K292" s="179">
        <f t="shared" si="69"/>
        <v>2952333</v>
      </c>
      <c r="L292" s="183">
        <f>+K292</f>
        <v>2952333</v>
      </c>
      <c r="M292" s="183">
        <f t="shared" ref="M292:N292" si="70">+L292</f>
        <v>2952333</v>
      </c>
      <c r="N292" s="183">
        <f t="shared" si="70"/>
        <v>2952333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1">SUM(I291:I292)</f>
        <v>0</v>
      </c>
      <c r="J293" s="181">
        <f t="shared" si="71"/>
        <v>0</v>
      </c>
      <c r="K293" s="181">
        <f t="shared" si="71"/>
        <v>2952333</v>
      </c>
      <c r="L293" s="181">
        <f t="shared" si="71"/>
        <v>2952333</v>
      </c>
      <c r="M293" s="187">
        <f>SUM(M291:M292)</f>
        <v>2952333</v>
      </c>
      <c r="N293" s="187">
        <f>SUM(N291:N292)</f>
        <v>2952333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1.72E-2</v>
      </c>
      <c r="L296" s="188">
        <v>1.72E-2</v>
      </c>
      <c r="M296" s="188">
        <v>1.72E-2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2">+M323</f>
        <v>0</v>
      </c>
      <c r="N300" s="166">
        <f t="shared" si="72"/>
        <v>86508.404479999997</v>
      </c>
      <c r="O300" s="166">
        <f t="shared" si="72"/>
        <v>87003.176640000005</v>
      </c>
      <c r="P300" s="166">
        <f t="shared" si="72"/>
        <v>88207.28035999999</v>
      </c>
      <c r="Q300" s="166">
        <f t="shared" si="72"/>
        <v>89423.164839999998</v>
      </c>
      <c r="R300" s="166">
        <f t="shared" si="72"/>
        <v>90654.798800000004</v>
      </c>
      <c r="S300" s="166">
        <f t="shared" si="72"/>
        <v>91904.229300000006</v>
      </c>
      <c r="T300" s="166">
        <f t="shared" si="72"/>
        <v>93169.768759999992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3">IF($C$10="IOU",1-$K301,1)</f>
        <v>1</v>
      </c>
      <c r="O301" s="190">
        <f t="shared" si="73"/>
        <v>1</v>
      </c>
      <c r="P301" s="190">
        <f t="shared" si="73"/>
        <v>1</v>
      </c>
      <c r="Q301" s="190">
        <f t="shared" si="73"/>
        <v>1</v>
      </c>
      <c r="R301" s="190">
        <f t="shared" si="73"/>
        <v>1</v>
      </c>
      <c r="S301" s="190">
        <f t="shared" si="73"/>
        <v>1</v>
      </c>
      <c r="T301" s="190">
        <f t="shared" si="73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4">+Q303</f>
        <v>1.5900000000000001E-2</v>
      </c>
      <c r="S303" s="188">
        <f t="shared" si="74"/>
        <v>1.5900000000000001E-2</v>
      </c>
      <c r="T303" s="188">
        <f t="shared" si="74"/>
        <v>1.5900000000000001E-2</v>
      </c>
      <c r="U303" s="188">
        <f t="shared" si="74"/>
        <v>1.5900000000000001E-2</v>
      </c>
      <c r="V303" s="188">
        <f t="shared" si="74"/>
        <v>1.5900000000000001E-2</v>
      </c>
      <c r="W303" s="188">
        <f t="shared" si="74"/>
        <v>1.5900000000000001E-2</v>
      </c>
      <c r="X303" s="188">
        <f t="shared" si="74"/>
        <v>1.5900000000000001E-2</v>
      </c>
      <c r="Y303" s="188">
        <f t="shared" si="74"/>
        <v>1.5900000000000001E-2</v>
      </c>
      <c r="Z303" s="188">
        <f t="shared" si="74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5">+M323</f>
        <v>0</v>
      </c>
      <c r="N304" s="166">
        <f>+ROUND(+N301*N300,0)</f>
        <v>86508</v>
      </c>
      <c r="O304" s="166">
        <f t="shared" ref="O304:T304" si="76">+ROUND(+O301*O300,0)</f>
        <v>87003</v>
      </c>
      <c r="P304" s="166">
        <f t="shared" si="76"/>
        <v>88207</v>
      </c>
      <c r="Q304" s="166">
        <f t="shared" si="76"/>
        <v>89423</v>
      </c>
      <c r="R304" s="166">
        <f t="shared" si="76"/>
        <v>90655</v>
      </c>
      <c r="S304" s="166">
        <f t="shared" si="76"/>
        <v>91904</v>
      </c>
      <c r="T304" s="166">
        <f t="shared" si="76"/>
        <v>93170</v>
      </c>
      <c r="U304" s="192">
        <f>ROUND(+U303*T287,0)</f>
        <v>92651</v>
      </c>
      <c r="V304" s="192">
        <f>ROUND(+V303*U287,0)</f>
        <v>93903</v>
      </c>
      <c r="W304" s="192">
        <f>ROUND(+W303*V287,0)</f>
        <v>95172</v>
      </c>
      <c r="X304" s="192">
        <f>ROUND(+X303*W287,0)</f>
        <v>96459</v>
      </c>
      <c r="Y304" s="192">
        <f>ROUND(+Y303*X287,0)</f>
        <v>97762</v>
      </c>
      <c r="Z304" s="192">
        <f>ROUND(+Z303*Y287,0)</f>
        <v>99084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1.72E-2</v>
      </c>
      <c r="M305" s="193">
        <f>+M296</f>
        <v>1.72E-2</v>
      </c>
      <c r="N305" s="193">
        <f>+M296</f>
        <v>1.72E-2</v>
      </c>
      <c r="O305" s="193">
        <f t="shared" ref="O305:Z305" si="77">+N305</f>
        <v>1.72E-2</v>
      </c>
      <c r="P305" s="193">
        <f t="shared" si="77"/>
        <v>1.72E-2</v>
      </c>
      <c r="Q305" s="193">
        <f t="shared" si="77"/>
        <v>1.72E-2</v>
      </c>
      <c r="R305" s="193">
        <f t="shared" si="77"/>
        <v>1.72E-2</v>
      </c>
      <c r="S305" s="193">
        <f t="shared" si="77"/>
        <v>1.72E-2</v>
      </c>
      <c r="T305" s="193">
        <f t="shared" si="77"/>
        <v>1.72E-2</v>
      </c>
      <c r="U305" s="193">
        <f t="shared" si="77"/>
        <v>1.72E-2</v>
      </c>
      <c r="V305" s="193">
        <f t="shared" si="77"/>
        <v>1.72E-2</v>
      </c>
      <c r="W305" s="193">
        <f t="shared" si="77"/>
        <v>1.72E-2</v>
      </c>
      <c r="X305" s="193">
        <f t="shared" si="77"/>
        <v>1.72E-2</v>
      </c>
      <c r="Y305" s="193">
        <f t="shared" si="77"/>
        <v>1.72E-2</v>
      </c>
      <c r="Z305" s="193">
        <f t="shared" si="77"/>
        <v>1.72E-2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8.6E-3</v>
      </c>
      <c r="M306" s="188">
        <f>+M305*0.5</f>
        <v>8.6E-3</v>
      </c>
      <c r="N306" s="188">
        <f>+N305*0.5</f>
        <v>8.6E-3</v>
      </c>
      <c r="O306" s="188">
        <f t="shared" ref="O306:Z306" si="78">+O305*0.5</f>
        <v>8.6E-3</v>
      </c>
      <c r="P306" s="188">
        <f t="shared" si="78"/>
        <v>8.6E-3</v>
      </c>
      <c r="Q306" s="188">
        <f t="shared" si="78"/>
        <v>8.6E-3</v>
      </c>
      <c r="R306" s="188">
        <f t="shared" si="78"/>
        <v>8.6E-3</v>
      </c>
      <c r="S306" s="188">
        <f t="shared" si="78"/>
        <v>8.6E-3</v>
      </c>
      <c r="T306" s="188">
        <f t="shared" si="78"/>
        <v>8.6E-3</v>
      </c>
      <c r="U306" s="188">
        <f t="shared" si="78"/>
        <v>8.6E-3</v>
      </c>
      <c r="V306" s="188">
        <f t="shared" si="78"/>
        <v>8.6E-3</v>
      </c>
      <c r="W306" s="188">
        <f t="shared" si="78"/>
        <v>8.6E-3</v>
      </c>
      <c r="X306" s="188">
        <f t="shared" si="78"/>
        <v>8.6E-3</v>
      </c>
      <c r="Y306" s="188">
        <f t="shared" si="78"/>
        <v>8.6E-3</v>
      </c>
      <c r="Z306" s="188">
        <f t="shared" si="78"/>
        <v>8.6E-3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744</v>
      </c>
      <c r="O307" s="192">
        <f t="shared" ref="O307:Z307" si="79">ROUND(+O306*O304,0)</f>
        <v>748</v>
      </c>
      <c r="P307" s="192">
        <f t="shared" si="79"/>
        <v>759</v>
      </c>
      <c r="Q307" s="192">
        <f t="shared" si="79"/>
        <v>769</v>
      </c>
      <c r="R307" s="192">
        <f t="shared" si="79"/>
        <v>780</v>
      </c>
      <c r="S307" s="192">
        <f t="shared" si="79"/>
        <v>790</v>
      </c>
      <c r="T307" s="192">
        <f t="shared" si="79"/>
        <v>801</v>
      </c>
      <c r="U307" s="192">
        <f t="shared" si="79"/>
        <v>797</v>
      </c>
      <c r="V307" s="192">
        <f t="shared" si="79"/>
        <v>808</v>
      </c>
      <c r="W307" s="192">
        <f t="shared" si="79"/>
        <v>818</v>
      </c>
      <c r="X307" s="192">
        <f t="shared" si="79"/>
        <v>830</v>
      </c>
      <c r="Y307" s="192">
        <f t="shared" si="79"/>
        <v>841</v>
      </c>
      <c r="Z307" s="192">
        <f t="shared" si="79"/>
        <v>852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80">+N308</f>
        <v>0.15</v>
      </c>
      <c r="P308" s="194">
        <f t="shared" si="80"/>
        <v>0.15</v>
      </c>
      <c r="Q308" s="194">
        <f t="shared" si="80"/>
        <v>0.15</v>
      </c>
      <c r="R308" s="194">
        <f t="shared" si="80"/>
        <v>0.15</v>
      </c>
      <c r="S308" s="194">
        <f t="shared" si="80"/>
        <v>0.15</v>
      </c>
      <c r="T308" s="194">
        <f t="shared" si="80"/>
        <v>0.15</v>
      </c>
      <c r="U308" s="194">
        <f t="shared" si="80"/>
        <v>0.15</v>
      </c>
      <c r="V308" s="194">
        <f t="shared" si="80"/>
        <v>0.15</v>
      </c>
      <c r="W308" s="194">
        <f t="shared" si="80"/>
        <v>0.15</v>
      </c>
      <c r="X308" s="194">
        <f t="shared" si="80"/>
        <v>0.15</v>
      </c>
      <c r="Y308" s="194">
        <f t="shared" si="80"/>
        <v>0.15</v>
      </c>
      <c r="Z308" s="194">
        <f t="shared" si="80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1">ROUND(+N308*N304,0)</f>
        <v>12976</v>
      </c>
      <c r="O309" s="192">
        <f t="shared" si="81"/>
        <v>13050</v>
      </c>
      <c r="P309" s="192">
        <f t="shared" si="81"/>
        <v>13231</v>
      </c>
      <c r="Q309" s="192">
        <f t="shared" si="81"/>
        <v>13413</v>
      </c>
      <c r="R309" s="192">
        <f t="shared" si="81"/>
        <v>13598</v>
      </c>
      <c r="S309" s="192">
        <f t="shared" si="81"/>
        <v>13786</v>
      </c>
      <c r="T309" s="192">
        <f t="shared" si="81"/>
        <v>13976</v>
      </c>
      <c r="U309" s="192">
        <f t="shared" si="81"/>
        <v>13898</v>
      </c>
      <c r="V309" s="192">
        <f t="shared" si="81"/>
        <v>14085</v>
      </c>
      <c r="W309" s="192">
        <f t="shared" si="81"/>
        <v>14276</v>
      </c>
      <c r="X309" s="192">
        <f t="shared" si="81"/>
        <v>14469</v>
      </c>
      <c r="Y309" s="192">
        <f t="shared" si="81"/>
        <v>14664</v>
      </c>
      <c r="Z309" s="192">
        <f t="shared" si="81"/>
        <v>14863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2">+M309*M305</f>
        <v>0</v>
      </c>
      <c r="N310" s="192">
        <f t="shared" si="82"/>
        <v>223.18719999999999</v>
      </c>
      <c r="O310" s="192">
        <f t="shared" si="82"/>
        <v>224.46</v>
      </c>
      <c r="P310" s="192">
        <f t="shared" si="82"/>
        <v>227.57320000000001</v>
      </c>
      <c r="Q310" s="192">
        <f t="shared" si="82"/>
        <v>230.70359999999999</v>
      </c>
      <c r="R310" s="192">
        <f t="shared" si="82"/>
        <v>233.88560000000001</v>
      </c>
      <c r="S310" s="192">
        <f t="shared" si="82"/>
        <v>237.11920000000001</v>
      </c>
      <c r="T310" s="192">
        <f t="shared" si="82"/>
        <v>240.38720000000001</v>
      </c>
      <c r="U310" s="192">
        <f t="shared" si="82"/>
        <v>239.04560000000001</v>
      </c>
      <c r="V310" s="192">
        <f t="shared" si="82"/>
        <v>242.262</v>
      </c>
      <c r="W310" s="192">
        <f t="shared" si="82"/>
        <v>245.5472</v>
      </c>
      <c r="X310" s="192">
        <f t="shared" si="82"/>
        <v>248.86680000000001</v>
      </c>
      <c r="Y310" s="192">
        <f t="shared" si="82"/>
        <v>252.2208</v>
      </c>
      <c r="Z310" s="192">
        <f t="shared" si="82"/>
        <v>255.64359999999999</v>
      </c>
      <c r="AA310" s="20"/>
    </row>
    <row r="311" spans="7:27" x14ac:dyDescent="0.2">
      <c r="H311" s="20"/>
      <c r="K311" s="7" t="s">
        <v>132</v>
      </c>
      <c r="L311" s="192">
        <f>+K314</f>
        <v>60448</v>
      </c>
      <c r="M311" s="192">
        <f>+M305*L287</f>
        <v>91061.478400000007</v>
      </c>
      <c r="N311" s="192">
        <f>+N305*M287</f>
        <v>91061.478400000007</v>
      </c>
      <c r="O311" s="192">
        <f>+O305*N287</f>
        <v>92326.228799999997</v>
      </c>
      <c r="P311" s="192">
        <f>+P305*O287</f>
        <v>93598.220400000006</v>
      </c>
      <c r="Q311" s="192">
        <f>+Q305*P287</f>
        <v>94887.8076</v>
      </c>
      <c r="R311" s="192">
        <f>+R305*Q287</f>
        <v>96195.179600000003</v>
      </c>
      <c r="S311" s="192">
        <f>+S305*R287</f>
        <v>97520.56</v>
      </c>
      <c r="T311" s="192">
        <f>+T305*S287</f>
        <v>98864.189599999998</v>
      </c>
      <c r="U311" s="192">
        <f>+U305*T287</f>
        <v>100226.32640000001</v>
      </c>
      <c r="V311" s="192">
        <f>+V305*U287</f>
        <v>101580.878</v>
      </c>
      <c r="W311" s="192">
        <f>+W305*V287</f>
        <v>102953.7476</v>
      </c>
      <c r="X311" s="192">
        <f>+X305*W287</f>
        <v>104345.1588</v>
      </c>
      <c r="Y311" s="192">
        <f>+Y305*X287</f>
        <v>105755.38679999999</v>
      </c>
      <c r="Z311" s="192">
        <f>+Z305*Y287</f>
        <v>107184.6724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60448</v>
      </c>
      <c r="M312" s="181">
        <f t="shared" ref="M312:Z312" si="83">+M311+M307-M310</f>
        <v>91061.478400000007</v>
      </c>
      <c r="N312" s="181">
        <f t="shared" si="83"/>
        <v>91582.291200000007</v>
      </c>
      <c r="O312" s="181">
        <f t="shared" si="83"/>
        <v>92849.768799999991</v>
      </c>
      <c r="P312" s="181">
        <f t="shared" si="83"/>
        <v>94129.647200000007</v>
      </c>
      <c r="Q312" s="181">
        <f t="shared" si="83"/>
        <v>95426.104000000007</v>
      </c>
      <c r="R312" s="181">
        <f t="shared" si="83"/>
        <v>96741.294000000009</v>
      </c>
      <c r="S312" s="181">
        <f t="shared" si="83"/>
        <v>98073.440799999997</v>
      </c>
      <c r="T312" s="181">
        <f t="shared" si="83"/>
        <v>99424.8024</v>
      </c>
      <c r="U312" s="181">
        <f t="shared" si="83"/>
        <v>100784.28080000001</v>
      </c>
      <c r="V312" s="181">
        <f t="shared" si="83"/>
        <v>102146.61599999999</v>
      </c>
      <c r="W312" s="181">
        <f t="shared" si="83"/>
        <v>103526.2004</v>
      </c>
      <c r="X312" s="181">
        <f t="shared" si="83"/>
        <v>104926.292</v>
      </c>
      <c r="Y312" s="181">
        <f t="shared" si="83"/>
        <v>106344.166</v>
      </c>
      <c r="Z312" s="181">
        <f t="shared" si="83"/>
        <v>107781.0288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60448</v>
      </c>
      <c r="L314" s="195">
        <f>+L312</f>
        <v>60448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86508.404479999997</v>
      </c>
      <c r="O323" s="192">
        <f>+N312*0.95</f>
        <v>87003.176640000005</v>
      </c>
      <c r="P323" s="192">
        <f>+O312*0.95</f>
        <v>88207.28035999999</v>
      </c>
      <c r="Q323" s="192">
        <f>+P312*0.95</f>
        <v>89423.164839999998</v>
      </c>
      <c r="R323" s="192">
        <f t="shared" ref="R323:T323" si="84">+Q312*0.95</f>
        <v>90654.798800000004</v>
      </c>
      <c r="S323" s="192">
        <f t="shared" si="84"/>
        <v>91904.229300000006</v>
      </c>
      <c r="T323" s="192">
        <f t="shared" si="84"/>
        <v>93169.768759999992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28500</v>
      </c>
      <c r="N330" s="198">
        <f t="shared" ref="N330:Q330" si="85">4750*N334</f>
        <v>28500</v>
      </c>
      <c r="O330" s="198">
        <f t="shared" si="85"/>
        <v>28500</v>
      </c>
      <c r="P330" s="198">
        <f t="shared" si="85"/>
        <v>28500</v>
      </c>
      <c r="Q330" s="198">
        <f t="shared" si="85"/>
        <v>28500</v>
      </c>
      <c r="R330" s="199">
        <f>4750*R334</f>
        <v>28500</v>
      </c>
      <c r="S330" s="199">
        <f t="shared" ref="S330:Z330" si="86">4750*S334</f>
        <v>28500</v>
      </c>
      <c r="T330" s="199">
        <f t="shared" si="86"/>
        <v>28500</v>
      </c>
      <c r="U330" s="199">
        <f t="shared" si="86"/>
        <v>28500</v>
      </c>
      <c r="V330" s="199">
        <f t="shared" si="86"/>
        <v>28500</v>
      </c>
      <c r="W330" s="199">
        <f t="shared" si="86"/>
        <v>28500</v>
      </c>
      <c r="X330" s="199">
        <f t="shared" si="86"/>
        <v>28500</v>
      </c>
      <c r="Y330" s="199">
        <f t="shared" si="86"/>
        <v>28500</v>
      </c>
      <c r="Z330" s="199">
        <f t="shared" si="86"/>
        <v>28500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713319</v>
      </c>
      <c r="L332" s="38">
        <f>+L21</f>
        <v>731151.97499999998</v>
      </c>
      <c r="M332" s="38">
        <f>+M21</f>
        <v>784650.9</v>
      </c>
      <c r="N332" s="38">
        <f>ROUND(+N335*N337,0)</f>
        <v>549700</v>
      </c>
      <c r="O332" s="38">
        <f>ROUND(+O335*O337,0)</f>
        <v>552460</v>
      </c>
      <c r="P332" s="38">
        <f>ROUND(+P335*P337,0)</f>
        <v>555220</v>
      </c>
      <c r="Q332" s="39">
        <f>ROUND(+Q335*Q337,0)</f>
        <v>557980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1186</v>
      </c>
      <c r="L333" s="1">
        <v>1186</v>
      </c>
      <c r="M333" s="1">
        <f t="shared" ref="M333:Z333" si="87">+L333+M334</f>
        <v>1192</v>
      </c>
      <c r="N333" s="1">
        <f t="shared" si="87"/>
        <v>1198</v>
      </c>
      <c r="O333" s="1">
        <f t="shared" si="87"/>
        <v>1204</v>
      </c>
      <c r="P333" s="1">
        <f t="shared" si="87"/>
        <v>1210</v>
      </c>
      <c r="Q333" s="1">
        <f t="shared" si="87"/>
        <v>1216</v>
      </c>
      <c r="R333" s="1">
        <f t="shared" si="87"/>
        <v>1222</v>
      </c>
      <c r="S333" s="1">
        <f t="shared" si="87"/>
        <v>1228</v>
      </c>
      <c r="T333" s="1">
        <f t="shared" si="87"/>
        <v>1234</v>
      </c>
      <c r="U333" s="1">
        <f t="shared" si="87"/>
        <v>1240</v>
      </c>
      <c r="V333" s="1">
        <f t="shared" si="87"/>
        <v>1246</v>
      </c>
      <c r="W333" s="1">
        <f t="shared" si="87"/>
        <v>1252</v>
      </c>
      <c r="X333" s="1">
        <f t="shared" si="87"/>
        <v>1258</v>
      </c>
      <c r="Y333" s="1">
        <f t="shared" si="87"/>
        <v>1264</v>
      </c>
      <c r="Z333" s="1">
        <f t="shared" si="87"/>
        <v>1270</v>
      </c>
      <c r="AA333" s="20"/>
    </row>
    <row r="334" spans="7:27" ht="13.5" thickBot="1" x14ac:dyDescent="0.25">
      <c r="L334" s="200">
        <v>0</v>
      </c>
      <c r="M334" s="201">
        <f>ROUND(0.005*L333,0)</f>
        <v>6</v>
      </c>
      <c r="N334" s="201">
        <f t="shared" ref="N334:Q334" si="88">ROUND(0.005*M333,0)</f>
        <v>6</v>
      </c>
      <c r="O334" s="201">
        <f t="shared" si="88"/>
        <v>6</v>
      </c>
      <c r="P334" s="201">
        <f t="shared" si="88"/>
        <v>6</v>
      </c>
      <c r="Q334" s="201">
        <f t="shared" si="88"/>
        <v>6</v>
      </c>
      <c r="R334" s="7">
        <f>ROUND(+Q333*(R344),0)</f>
        <v>6</v>
      </c>
      <c r="S334" s="7">
        <f t="shared" ref="S334:Z334" si="89">ROUND(+R333*(S344),0)</f>
        <v>6</v>
      </c>
      <c r="T334" s="7">
        <f t="shared" si="89"/>
        <v>6</v>
      </c>
      <c r="U334" s="7">
        <f t="shared" si="89"/>
        <v>6</v>
      </c>
      <c r="V334" s="7">
        <f t="shared" si="89"/>
        <v>6</v>
      </c>
      <c r="W334" s="7">
        <f t="shared" si="89"/>
        <v>6</v>
      </c>
      <c r="X334" s="7">
        <f t="shared" si="89"/>
        <v>6</v>
      </c>
      <c r="Y334" s="7">
        <f t="shared" si="89"/>
        <v>6</v>
      </c>
      <c r="Z334" s="7">
        <f t="shared" si="89"/>
        <v>6</v>
      </c>
      <c r="AA334" s="20"/>
    </row>
    <row r="335" spans="7:27" x14ac:dyDescent="0.2">
      <c r="I335" s="1">
        <f t="shared" ref="I335:Q335" si="90">AVERAGE(H333:I333)</f>
        <v>0</v>
      </c>
      <c r="J335" s="1">
        <f t="shared" si="90"/>
        <v>0</v>
      </c>
      <c r="K335" s="1">
        <f t="shared" si="90"/>
        <v>593</v>
      </c>
      <c r="L335" s="1">
        <f t="shared" si="90"/>
        <v>1186</v>
      </c>
      <c r="M335" s="1">
        <f t="shared" si="90"/>
        <v>1189</v>
      </c>
      <c r="N335" s="1">
        <f t="shared" si="90"/>
        <v>1195</v>
      </c>
      <c r="O335" s="1">
        <f t="shared" si="90"/>
        <v>1201</v>
      </c>
      <c r="P335" s="1">
        <f t="shared" si="90"/>
        <v>1207</v>
      </c>
      <c r="Q335" s="1">
        <f t="shared" si="90"/>
        <v>1213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601.44940978077568</v>
      </c>
      <c r="L336" s="1">
        <f>+L332/L333</f>
        <v>616.48564502529507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1">+I332/I335</f>
        <v>#DIV/0!</v>
      </c>
      <c r="J338" s="1" t="e">
        <f t="shared" si="91"/>
        <v>#DIV/0!</v>
      </c>
      <c r="K338" s="1">
        <f t="shared" si="91"/>
        <v>1202.8988195615514</v>
      </c>
      <c r="L338" s="1">
        <f t="shared" si="91"/>
        <v>616.48564502529507</v>
      </c>
      <c r="M338" s="1">
        <f t="shared" si="91"/>
        <v>659.92506307821702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1186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1186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2">+M334</f>
        <v>6</v>
      </c>
      <c r="N344" s="205">
        <f t="shared" si="92"/>
        <v>6</v>
      </c>
      <c r="O344" s="205">
        <f t="shared" si="92"/>
        <v>6</v>
      </c>
      <c r="P344" s="205">
        <f t="shared" si="92"/>
        <v>6</v>
      </c>
      <c r="Q344" s="205">
        <f t="shared" si="92"/>
        <v>6</v>
      </c>
      <c r="R344" s="188">
        <v>5.0000000000000001E-3</v>
      </c>
      <c r="S344" s="188">
        <f t="shared" ref="S344:Z344" si="93">+R344</f>
        <v>5.0000000000000001E-3</v>
      </c>
      <c r="T344" s="188">
        <f t="shared" si="93"/>
        <v>5.0000000000000001E-3</v>
      </c>
      <c r="U344" s="188">
        <f t="shared" si="93"/>
        <v>5.0000000000000001E-3</v>
      </c>
      <c r="V344" s="188">
        <f t="shared" si="93"/>
        <v>5.0000000000000001E-3</v>
      </c>
      <c r="W344" s="188">
        <f t="shared" si="93"/>
        <v>5.0000000000000001E-3</v>
      </c>
      <c r="X344" s="188">
        <f t="shared" si="93"/>
        <v>5.0000000000000001E-3</v>
      </c>
      <c r="Y344" s="188">
        <f t="shared" si="93"/>
        <v>5.0000000000000001E-3</v>
      </c>
      <c r="Z344" s="188">
        <f t="shared" si="93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197554.80607082631</v>
      </c>
      <c r="L345" s="208">
        <f>+L346*K350</f>
        <v>197554.80607082631</v>
      </c>
      <c r="M345" s="208">
        <f>+M346*L350</f>
        <v>198554.2401656197</v>
      </c>
      <c r="N345" s="208">
        <f t="shared" ref="N345:Z345" si="94">+N346*M350</f>
        <v>199553.6742604131</v>
      </c>
      <c r="O345" s="208">
        <f t="shared" si="94"/>
        <v>200553.10835520647</v>
      </c>
      <c r="P345" s="208">
        <f t="shared" si="94"/>
        <v>201552.54244999986</v>
      </c>
      <c r="Q345" s="208">
        <f t="shared" si="94"/>
        <v>202551.97654479326</v>
      </c>
      <c r="R345" s="208">
        <f t="shared" si="94"/>
        <v>203564.7364275172</v>
      </c>
      <c r="S345" s="208">
        <f t="shared" si="94"/>
        <v>204582.56010965476</v>
      </c>
      <c r="T345" s="208">
        <f t="shared" si="94"/>
        <v>205605.47291020304</v>
      </c>
      <c r="U345" s="208">
        <f t="shared" si="94"/>
        <v>206633.50027475404</v>
      </c>
      <c r="V345" s="208">
        <f t="shared" si="94"/>
        <v>207666.66777612778</v>
      </c>
      <c r="W345" s="208">
        <f t="shared" si="94"/>
        <v>208705.00111500837</v>
      </c>
      <c r="X345" s="208">
        <f t="shared" si="94"/>
        <v>209748.52612058341</v>
      </c>
      <c r="Y345" s="208">
        <f t="shared" si="94"/>
        <v>210797.26875118629</v>
      </c>
      <c r="Z345" s="208">
        <f t="shared" si="94"/>
        <v>211851.25509494223</v>
      </c>
      <c r="AA345" s="20"/>
    </row>
    <row r="346" spans="8:29" ht="13.5" thickBot="1" x14ac:dyDescent="0.25">
      <c r="H346" s="20"/>
      <c r="I346" s="14" t="s">
        <v>147</v>
      </c>
      <c r="J346" s="208">
        <v>1186</v>
      </c>
      <c r="K346" s="208">
        <v>1186</v>
      </c>
      <c r="L346" s="208">
        <v>1186</v>
      </c>
      <c r="M346" s="209">
        <f>+L346+($M342*M344)</f>
        <v>1192</v>
      </c>
      <c r="N346" s="209">
        <f t="shared" ref="N346:P346" si="95">+M346+($M342*N344)</f>
        <v>1198</v>
      </c>
      <c r="O346" s="209">
        <f t="shared" si="95"/>
        <v>1204</v>
      </c>
      <c r="P346" s="209">
        <f t="shared" si="95"/>
        <v>1210</v>
      </c>
      <c r="Q346" s="209">
        <f>+P346+($M342*Q344)</f>
        <v>1216</v>
      </c>
      <c r="R346" s="208">
        <f t="shared" ref="R346:Z346" si="96">+Q346*(1+R344)</f>
        <v>1222.08</v>
      </c>
      <c r="S346" s="208">
        <f t="shared" si="96"/>
        <v>1228.1903999999997</v>
      </c>
      <c r="T346" s="208">
        <f t="shared" si="96"/>
        <v>1234.3313519999997</v>
      </c>
      <c r="U346" s="208">
        <f t="shared" si="96"/>
        <v>1240.5030087599996</v>
      </c>
      <c r="V346" s="208">
        <f t="shared" si="96"/>
        <v>1246.7055238037995</v>
      </c>
      <c r="W346" s="208">
        <f t="shared" si="96"/>
        <v>1252.9390514228182</v>
      </c>
      <c r="X346" s="208">
        <f t="shared" si="96"/>
        <v>1259.2037466799322</v>
      </c>
      <c r="Y346" s="208">
        <f t="shared" si="96"/>
        <v>1265.4997654133317</v>
      </c>
      <c r="Z346" s="208">
        <f t="shared" si="96"/>
        <v>1271.8272642403983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736024</v>
      </c>
      <c r="L347" s="38">
        <f>+L24-0</f>
        <v>753856.97499999998</v>
      </c>
      <c r="M347" s="38">
        <f>+M24-0</f>
        <v>807355.9</v>
      </c>
      <c r="N347" s="38">
        <f>+N24-0</f>
        <v>832093</v>
      </c>
      <c r="O347" s="38">
        <f>+O24-0</f>
        <v>856882</v>
      </c>
      <c r="P347" s="38">
        <f>+P24-0</f>
        <v>861049</v>
      </c>
      <c r="Q347" s="38">
        <f>+Q24-0</f>
        <v>865217</v>
      </c>
      <c r="R347" s="38">
        <f>+R24-0</f>
        <v>869412</v>
      </c>
      <c r="S347" s="38">
        <f>+S24-0</f>
        <v>902577</v>
      </c>
      <c r="T347" s="38">
        <f>+T24-0</f>
        <v>906977</v>
      </c>
      <c r="U347" s="38">
        <f>+U24-0</f>
        <v>911398</v>
      </c>
      <c r="V347" s="38">
        <f>+V24-0</f>
        <v>944421</v>
      </c>
      <c r="W347" s="38">
        <f>+W24-0</f>
        <v>949030</v>
      </c>
      <c r="X347" s="38">
        <f>+X24-0</f>
        <v>953662</v>
      </c>
      <c r="Y347" s="38">
        <f>+Y24-0</f>
        <v>988257</v>
      </c>
      <c r="Z347" s="38">
        <f>+Z24-0</f>
        <v>993084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0.99988251211145074</v>
      </c>
      <c r="R348" s="20"/>
      <c r="S348" s="20"/>
      <c r="T348" s="210">
        <f>+T349/S349</f>
        <v>0.999875552575476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620.59359190556495</v>
      </c>
      <c r="L349" s="207">
        <f>+L347/L346</f>
        <v>635.62982715008434</v>
      </c>
      <c r="M349" s="207">
        <f>+M347/M346</f>
        <v>677.31199664429528</v>
      </c>
      <c r="N349" s="207">
        <f t="shared" ref="N349:Z349" si="97">+N347/N346</f>
        <v>694.56844741235398</v>
      </c>
      <c r="O349" s="207">
        <f t="shared" si="97"/>
        <v>711.6960132890365</v>
      </c>
      <c r="P349" s="207">
        <f t="shared" si="97"/>
        <v>711.61074380165292</v>
      </c>
      <c r="Q349" s="207">
        <f t="shared" si="97"/>
        <v>711.52713815789468</v>
      </c>
      <c r="R349" s="207">
        <f t="shared" si="97"/>
        <v>711.41987431264738</v>
      </c>
      <c r="S349" s="207">
        <f t="shared" si="97"/>
        <v>734.88361413670077</v>
      </c>
      <c r="T349" s="207">
        <f t="shared" si="97"/>
        <v>734.7921597635966</v>
      </c>
      <c r="U349" s="207">
        <f t="shared" si="97"/>
        <v>734.70035426276695</v>
      </c>
      <c r="V349" s="207">
        <f t="shared" si="97"/>
        <v>757.533340446343</v>
      </c>
      <c r="W349" s="207">
        <f t="shared" si="97"/>
        <v>757.44306869699381</v>
      </c>
      <c r="X349" s="207">
        <f t="shared" si="97"/>
        <v>757.35321032395586</v>
      </c>
      <c r="Y349" s="207">
        <f t="shared" si="97"/>
        <v>780.92230991225824</v>
      </c>
      <c r="Z349" s="207">
        <f t="shared" si="97"/>
        <v>780.83245101143643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166.5723491322313</v>
      </c>
      <c r="L350" s="206">
        <f>+L345/L346</f>
        <v>166.5723491322313</v>
      </c>
      <c r="M350" s="206">
        <f>+M345/M346</f>
        <v>166.5723491322313</v>
      </c>
      <c r="N350" s="206">
        <f t="shared" ref="N350:Z350" si="98">+N345/N346</f>
        <v>166.5723491322313</v>
      </c>
      <c r="O350" s="206">
        <f t="shared" si="98"/>
        <v>166.5723491322313</v>
      </c>
      <c r="P350" s="206">
        <f t="shared" si="98"/>
        <v>166.5723491322313</v>
      </c>
      <c r="Q350" s="206">
        <f t="shared" si="98"/>
        <v>166.5723491322313</v>
      </c>
      <c r="R350" s="206">
        <f t="shared" si="98"/>
        <v>166.5723491322313</v>
      </c>
      <c r="S350" s="206">
        <f t="shared" si="98"/>
        <v>166.5723491322313</v>
      </c>
      <c r="T350" s="206">
        <f t="shared" si="98"/>
        <v>166.5723491322313</v>
      </c>
      <c r="U350" s="206">
        <f t="shared" si="98"/>
        <v>166.5723491322313</v>
      </c>
      <c r="V350" s="206">
        <f t="shared" si="98"/>
        <v>166.5723491322313</v>
      </c>
      <c r="W350" s="206">
        <f t="shared" si="98"/>
        <v>166.5723491322313</v>
      </c>
      <c r="X350" s="206">
        <f t="shared" si="98"/>
        <v>166.5723491322313</v>
      </c>
      <c r="Y350" s="206">
        <f t="shared" si="98"/>
        <v>166.5723491322313</v>
      </c>
      <c r="Z350" s="206">
        <f t="shared" si="98"/>
        <v>166.5723491322313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9">+K347/K333</f>
        <v>620.59359190556495</v>
      </c>
      <c r="L352" s="207">
        <f t="shared" si="99"/>
        <v>635.62982715008434</v>
      </c>
      <c r="M352" s="207">
        <f t="shared" si="99"/>
        <v>677.31199664429528</v>
      </c>
      <c r="N352" s="207">
        <f t="shared" si="99"/>
        <v>694.56844741235398</v>
      </c>
      <c r="O352" s="207">
        <f t="shared" si="99"/>
        <v>711.6960132890365</v>
      </c>
      <c r="P352" s="207">
        <f t="shared" si="99"/>
        <v>711.61074380165292</v>
      </c>
      <c r="Q352" s="207">
        <f t="shared" si="99"/>
        <v>711.52713815789468</v>
      </c>
      <c r="R352" s="207">
        <f t="shared" si="99"/>
        <v>711.46644844517186</v>
      </c>
      <c r="S352" s="207">
        <f t="shared" si="99"/>
        <v>734.99755700325738</v>
      </c>
      <c r="T352" s="207">
        <f t="shared" si="99"/>
        <v>734.98946515397085</v>
      </c>
      <c r="U352" s="207">
        <f t="shared" si="99"/>
        <v>734.9983870967742</v>
      </c>
      <c r="V352" s="207">
        <f t="shared" si="99"/>
        <v>757.96227929373993</v>
      </c>
      <c r="W352" s="207">
        <f t="shared" si="99"/>
        <v>758.01118210862614</v>
      </c>
      <c r="X352" s="207">
        <f t="shared" si="99"/>
        <v>758.07790143084264</v>
      </c>
      <c r="Y352" s="207">
        <f t="shared" si="99"/>
        <v>781.84889240506334</v>
      </c>
      <c r="Z352" s="207">
        <f t="shared" si="99"/>
        <v>781.95590551181101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100">+K345/K333</f>
        <v>166.5723491322313</v>
      </c>
      <c r="L353" s="206">
        <f t="shared" si="100"/>
        <v>166.5723491322313</v>
      </c>
      <c r="M353" s="206">
        <f t="shared" si="100"/>
        <v>166.5723491322313</v>
      </c>
      <c r="N353" s="206">
        <f t="shared" si="100"/>
        <v>166.5723491322313</v>
      </c>
      <c r="O353" s="206">
        <f t="shared" si="100"/>
        <v>166.5723491322313</v>
      </c>
      <c r="P353" s="206">
        <f t="shared" si="100"/>
        <v>166.5723491322313</v>
      </c>
      <c r="Q353" s="206">
        <f t="shared" si="100"/>
        <v>166.5723491322313</v>
      </c>
      <c r="R353" s="206">
        <f t="shared" si="100"/>
        <v>166.58325403233815</v>
      </c>
      <c r="S353" s="206">
        <f t="shared" si="100"/>
        <v>166.59817598506089</v>
      </c>
      <c r="T353" s="206">
        <f t="shared" si="100"/>
        <v>166.61707691264428</v>
      </c>
      <c r="U353" s="206">
        <f t="shared" si="100"/>
        <v>166.63991957641454</v>
      </c>
      <c r="V353" s="206">
        <f t="shared" si="100"/>
        <v>166.66666755708491</v>
      </c>
      <c r="W353" s="206">
        <f t="shared" si="100"/>
        <v>166.69728523562969</v>
      </c>
      <c r="X353" s="206">
        <f t="shared" si="100"/>
        <v>166.73173777470859</v>
      </c>
      <c r="Y353" s="206">
        <f t="shared" si="100"/>
        <v>166.76999110062206</v>
      </c>
      <c r="Z353" s="206">
        <f t="shared" si="100"/>
        <v>166.81201188578129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757670.75396290049</v>
      </c>
      <c r="N355" s="192">
        <f>AVERAGE(M346:N346)*M349</f>
        <v>809387.83598993288</v>
      </c>
      <c r="O355" s="192">
        <f t="shared" ref="O355:Z355" si="101">AVERAGE(N346:O346)*N349</f>
        <v>834176.70534223714</v>
      </c>
      <c r="P355" s="192">
        <f t="shared" si="101"/>
        <v>859017.088039867</v>
      </c>
      <c r="Q355" s="192">
        <f t="shared" si="101"/>
        <v>863183.83223140496</v>
      </c>
      <c r="R355" s="192">
        <f t="shared" si="101"/>
        <v>867380.04249999986</v>
      </c>
      <c r="S355" s="192">
        <f t="shared" si="101"/>
        <v>871585.52999999991</v>
      </c>
      <c r="T355" s="192">
        <f t="shared" si="101"/>
        <v>904833.4425</v>
      </c>
      <c r="U355" s="192">
        <f t="shared" si="101"/>
        <v>909244.44249999989</v>
      </c>
      <c r="V355" s="192">
        <f t="shared" si="101"/>
        <v>913676.495</v>
      </c>
      <c r="W355" s="192">
        <f t="shared" si="101"/>
        <v>946782.05249999987</v>
      </c>
      <c r="X355" s="192">
        <f t="shared" si="101"/>
        <v>951402.57499999995</v>
      </c>
      <c r="Y355" s="192">
        <f t="shared" si="101"/>
        <v>956046.15500000003</v>
      </c>
      <c r="Z355" s="192">
        <f t="shared" si="101"/>
        <v>990727.64249999996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/>
      <c r="Q359" s="97"/>
      <c r="R359" s="97"/>
      <c r="S359" s="97">
        <v>3.4000000000000002E-2</v>
      </c>
      <c r="T359" s="97"/>
      <c r="U359" s="97"/>
      <c r="V359" s="97">
        <v>3.2000000000000001E-2</v>
      </c>
      <c r="W359" s="97"/>
      <c r="X359" s="97"/>
      <c r="Y359" s="97">
        <v>3.2000000000000001E-2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635.62982715008434</v>
      </c>
      <c r="M360" s="215">
        <f>+M349</f>
        <v>677.31199664429528</v>
      </c>
      <c r="N360" s="215">
        <f>+N349</f>
        <v>694.56844741235398</v>
      </c>
      <c r="O360" s="216">
        <f>N360*(1+O359)</f>
        <v>694.56844741235398</v>
      </c>
      <c r="P360" s="217">
        <f t="shared" ref="P360:Z360" si="102">O360*(1+P359)</f>
        <v>694.56844741235398</v>
      </c>
      <c r="Q360" s="217">
        <f t="shared" si="102"/>
        <v>694.56844741235398</v>
      </c>
      <c r="R360" s="217">
        <f t="shared" si="102"/>
        <v>694.56844741235398</v>
      </c>
      <c r="S360" s="217">
        <f t="shared" si="102"/>
        <v>718.183774624374</v>
      </c>
      <c r="T360" s="217">
        <f t="shared" si="102"/>
        <v>718.183774624374</v>
      </c>
      <c r="U360" s="217">
        <f t="shared" si="102"/>
        <v>718.183774624374</v>
      </c>
      <c r="V360" s="217">
        <f t="shared" si="102"/>
        <v>741.165655412354</v>
      </c>
      <c r="W360" s="217">
        <f t="shared" si="102"/>
        <v>741.165655412354</v>
      </c>
      <c r="X360" s="218">
        <f t="shared" si="102"/>
        <v>741.165655412354</v>
      </c>
      <c r="Y360" s="219">
        <f t="shared" si="102"/>
        <v>764.88295638554939</v>
      </c>
      <c r="Z360" s="219">
        <f t="shared" si="102"/>
        <v>764.88295638554939</v>
      </c>
      <c r="AA360" s="220">
        <f>1.04^10</f>
        <v>1.4802442849183446</v>
      </c>
      <c r="AB360" s="215">
        <f>+AA360*M360</f>
        <v>1002.5872121393511</v>
      </c>
      <c r="AC360" s="221">
        <f>+AB360-X360</f>
        <v>261.4215567269971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0</v>
      </c>
      <c r="Q361" s="222">
        <f>+Q360-P360</f>
        <v>0</v>
      </c>
      <c r="R361" s="222">
        <f t="shared" ref="R361:Z361" si="103">+R360-Q360</f>
        <v>0</v>
      </c>
      <c r="S361" s="222">
        <f t="shared" si="103"/>
        <v>23.61532721202002</v>
      </c>
      <c r="T361" s="222">
        <f t="shared" si="103"/>
        <v>0</v>
      </c>
      <c r="U361" s="222">
        <f t="shared" si="103"/>
        <v>0</v>
      </c>
      <c r="V361" s="222">
        <f t="shared" si="103"/>
        <v>22.981880787980003</v>
      </c>
      <c r="W361" s="222">
        <f t="shared" si="103"/>
        <v>0</v>
      </c>
      <c r="X361" s="222">
        <f t="shared" si="103"/>
        <v>0</v>
      </c>
      <c r="Y361" s="222">
        <f t="shared" si="103"/>
        <v>23.717300973195393</v>
      </c>
      <c r="Z361" s="222">
        <f t="shared" si="103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1906.889481450253</v>
      </c>
      <c r="N363" s="225">
        <f>(((+N346-M346)/2)*M349)</f>
        <v>2031.9359899328858</v>
      </c>
      <c r="O363" s="225">
        <f>(((+O346-N346)/2)*N349)</f>
        <v>2083.7053422370618</v>
      </c>
      <c r="P363" s="225">
        <f>(((+P346-O346)/2)*P360)+(O346*P360)</f>
        <v>838344.11602671118</v>
      </c>
      <c r="Q363" s="225">
        <f>(((+Q346-P346)/2)*P349)</f>
        <v>2134.8322314049587</v>
      </c>
      <c r="R363" s="225">
        <f>(((+R346-Q346)/2)*Q349)</f>
        <v>2163.0424999999741</v>
      </c>
      <c r="S363" s="225">
        <f>(((+S346-R346)/2)*R349)</f>
        <v>2173.5299999999288</v>
      </c>
      <c r="T363" s="225">
        <f>(((+T346-S346)/2)*S349)</f>
        <v>2256.4424999999896</v>
      </c>
      <c r="U363" s="225">
        <f>(((+U346-T346)/2)*T349)</f>
        <v>2267.4424999999655</v>
      </c>
      <c r="V363" s="225">
        <f>(((+V346-U346)/2)*U349)</f>
        <v>2278.4949999999453</v>
      </c>
      <c r="W363" s="225">
        <f>(((+W346-V346)/2)*V349)</f>
        <v>2361.0524999999202</v>
      </c>
      <c r="X363" s="225">
        <f>(((+X346-W346)/2)*W349)</f>
        <v>2372.5749999999653</v>
      </c>
      <c r="Y363" s="225">
        <f>(((+Y346-X346)/2)*X349)</f>
        <v>2384.1549999999306</v>
      </c>
      <c r="Z363" s="225">
        <f>(((+Z346-Y346)/2)*Y349)</f>
        <v>2470.6424999999849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755764</v>
      </c>
      <c r="N365" s="225">
        <f>+ROUND((M360*(M346+((N346-M346)/2))),0)</f>
        <v>809388</v>
      </c>
      <c r="O365" s="225">
        <f>+ROUND((N360*(N346+((O346-N346)/2))),0)</f>
        <v>834177</v>
      </c>
      <c r="P365" s="225">
        <f>+ROUND((O360*(O346+((P346-O346)/2))),0)</f>
        <v>838344</v>
      </c>
      <c r="Q365" s="225">
        <f>+ROUND((P360*(P346+((Q346-P346)/2))),0)</f>
        <v>842512</v>
      </c>
      <c r="R365" s="225">
        <f>+ROUND((Q360*(Q346+((R346-Q346)/2))),0)</f>
        <v>846707</v>
      </c>
      <c r="S365" s="225">
        <f>+ROUND((R360*(R346+((S346-R346)/2))),0)</f>
        <v>850940</v>
      </c>
      <c r="T365" s="225">
        <f>+ROUND((S360*(S346+((T346-S346)/2))),0)</f>
        <v>884272</v>
      </c>
      <c r="U365" s="225">
        <f>+ROUND((T360*(T346+((U346-T346)/2))),0)</f>
        <v>888693</v>
      </c>
      <c r="V365" s="225">
        <f>+ROUND((U360*(U346+((V346-U346)/2))),0)</f>
        <v>893136</v>
      </c>
      <c r="W365" s="225">
        <f>+ROUND((V360*(V346+((W346-V346)/2))),0)</f>
        <v>926325</v>
      </c>
      <c r="X365" s="225">
        <f>+ROUND((W360*(W346+((X346-W346)/2))),0)</f>
        <v>930957</v>
      </c>
      <c r="Y365" s="225">
        <f>+ROUND((X360*(X346+((Y346-X346)/2))),0)</f>
        <v>935612</v>
      </c>
      <c r="Z365" s="225">
        <f>+ROUND((Y360*(Y346+((Z346-Y346)/2))),0)</f>
        <v>970379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0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28932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28580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29940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5022</v>
      </c>
      <c r="N371" s="238">
        <f>ROUND(+$J371*M289,0)</f>
        <v>4892</v>
      </c>
      <c r="O371" s="238">
        <f>ROUND(+$J371*N289,0)</f>
        <v>4885</v>
      </c>
      <c r="P371" s="238">
        <f>ROUND(+$J371*O289,0)</f>
        <v>4876</v>
      </c>
      <c r="Q371" s="238">
        <f>ROUND(+$J371*P289,0)</f>
        <v>4868</v>
      </c>
      <c r="R371" s="238">
        <f>ROUND(+$J371*Q289,0)</f>
        <v>4859</v>
      </c>
      <c r="S371" s="238">
        <f>ROUND(+$J371*R289,0)</f>
        <v>4850</v>
      </c>
      <c r="T371" s="238">
        <f>ROUND(+$J371*S289,0)</f>
        <v>4842</v>
      </c>
      <c r="U371" s="238">
        <f>ROUND(+$J371*T289,0)</f>
        <v>4833</v>
      </c>
      <c r="V371" s="238">
        <f>ROUND(+$J371*U289,0)</f>
        <v>4821</v>
      </c>
      <c r="W371" s="238">
        <f>ROUND(+$J371*V289,0)</f>
        <v>4809</v>
      </c>
      <c r="X371" s="238">
        <f>ROUND(+$J371*W289,0)</f>
        <v>4797</v>
      </c>
      <c r="Y371" s="238">
        <f>ROUND(+$J371*X289,0)</f>
        <v>4785</v>
      </c>
      <c r="Z371" s="239">
        <f>ROUND(+$J371*Y289,0)</f>
        <v>4773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4289</v>
      </c>
      <c r="N372" s="238">
        <f>ROUND(+$J372*M24,0)</f>
        <v>4594</v>
      </c>
      <c r="O372" s="238">
        <f>ROUND(+$J372*N24,0)</f>
        <v>4735</v>
      </c>
      <c r="P372" s="238">
        <f>ROUND(+$J372*O24,0)</f>
        <v>4876</v>
      </c>
      <c r="Q372" s="238">
        <f>ROUND(+$J372*P24,0)</f>
        <v>4899</v>
      </c>
      <c r="R372" s="238">
        <f>ROUND(+$J372*Q24,0)</f>
        <v>4923</v>
      </c>
      <c r="S372" s="238">
        <f>ROUND(+$J372*R24,0)</f>
        <v>4947</v>
      </c>
      <c r="T372" s="238">
        <f>ROUND(+$J372*S24,0)</f>
        <v>5136</v>
      </c>
      <c r="U372" s="238">
        <f>ROUND(+$J372*T24,0)</f>
        <v>5161</v>
      </c>
      <c r="V372" s="238">
        <f>ROUND(+$J372*U24,0)</f>
        <v>5186</v>
      </c>
      <c r="W372" s="238">
        <f>ROUND(+$J372*V24,0)</f>
        <v>5374</v>
      </c>
      <c r="X372" s="238">
        <f>ROUND(+$J372*W24,0)</f>
        <v>5400</v>
      </c>
      <c r="Y372" s="238">
        <f>ROUND(+$J372*X24,0)</f>
        <v>5426</v>
      </c>
      <c r="Z372" s="239">
        <f>ROUND(+$J372*Y24,0)</f>
        <v>5623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9311</v>
      </c>
      <c r="N373" s="241">
        <f t="shared" ref="N373:Z373" si="104">SUM(N371:N372)</f>
        <v>9486</v>
      </c>
      <c r="O373" s="241">
        <f t="shared" si="104"/>
        <v>9620</v>
      </c>
      <c r="P373" s="241">
        <f t="shared" si="104"/>
        <v>9752</v>
      </c>
      <c r="Q373" s="241">
        <f t="shared" si="104"/>
        <v>9767</v>
      </c>
      <c r="R373" s="241">
        <f t="shared" si="104"/>
        <v>9782</v>
      </c>
      <c r="S373" s="241">
        <f t="shared" si="104"/>
        <v>9797</v>
      </c>
      <c r="T373" s="241">
        <f t="shared" si="104"/>
        <v>9978</v>
      </c>
      <c r="U373" s="241">
        <f t="shared" si="104"/>
        <v>9994</v>
      </c>
      <c r="V373" s="241">
        <f t="shared" si="104"/>
        <v>10007</v>
      </c>
      <c r="W373" s="241">
        <f t="shared" si="104"/>
        <v>10183</v>
      </c>
      <c r="X373" s="241">
        <f t="shared" si="104"/>
        <v>10197</v>
      </c>
      <c r="Y373" s="241">
        <f t="shared" si="104"/>
        <v>10211</v>
      </c>
      <c r="Z373" s="242">
        <f t="shared" si="104"/>
        <v>10396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2952333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5294272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3507138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753856.97499999998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151916.21499999997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91468.214999999967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1186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v>4218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5294272</v>
      </c>
      <c r="M397" s="186">
        <f>+M287</f>
        <v>5294272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3507138</v>
      </c>
      <c r="M398" s="186">
        <f>+M289</f>
        <v>3416076.5216000001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1186</v>
      </c>
      <c r="K400" s="186">
        <f>+K346</f>
        <v>1186</v>
      </c>
      <c r="L400" s="186">
        <f>+L346</f>
        <v>1186</v>
      </c>
      <c r="M400" s="186">
        <f>+M346</f>
        <v>1192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f>+K415</f>
        <v>72772</v>
      </c>
      <c r="L406" s="249">
        <f>+K406*(1+$AC$28)</f>
        <v>74227.44</v>
      </c>
      <c r="M406" s="249">
        <f t="shared" ref="M406:M408" si="105">+L406*(1+$AC$28)</f>
        <v>75711.988800000006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f>+K424</f>
        <v>83870</v>
      </c>
      <c r="L407" s="249">
        <f t="shared" ref="L407:L408" si="106">+K407*(1+$AC$28)</f>
        <v>85547.400000000009</v>
      </c>
      <c r="M407" s="249">
        <f t="shared" si="105"/>
        <v>87258.348000000013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f>+K419</f>
        <v>13844</v>
      </c>
      <c r="L408" s="249">
        <f t="shared" si="106"/>
        <v>14120.880000000001</v>
      </c>
      <c r="M408" s="249">
        <f t="shared" si="105"/>
        <v>14403.297600000002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72772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4364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9480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v>13844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69837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7002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7031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v>83870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70364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2866444</v>
      </c>
      <c r="L449" s="275">
        <f>+O449</f>
        <v>5294272</v>
      </c>
      <c r="M449" s="260"/>
      <c r="N449" s="260"/>
      <c r="O449" s="276">
        <v>5294272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1326291</v>
      </c>
      <c r="L450" s="275">
        <f>+O450</f>
        <v>1787134</v>
      </c>
      <c r="M450" s="260"/>
      <c r="N450" s="260"/>
      <c r="O450" s="276">
        <v>1787134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1540153</v>
      </c>
      <c r="L451" s="181">
        <f>+L449-L450</f>
        <v>3507138</v>
      </c>
      <c r="M451" s="260"/>
      <c r="N451" s="260"/>
      <c r="O451" s="277">
        <f>+O449-O450</f>
        <v>3507138</v>
      </c>
      <c r="P451" s="181">
        <f>+P449-P450</f>
        <v>0</v>
      </c>
      <c r="Q451" s="278">
        <f>+O451-P451</f>
        <v>3507138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90876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2952333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2952333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2.1088149637669532E-2</v>
      </c>
      <c r="L457" s="281">
        <f>+O453/O449</f>
        <v>1.7164966212540649E-2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60448</v>
      </c>
      <c r="L459" s="282">
        <f>+O453</f>
        <v>90876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2018-06-20T20:48:37Z</dcterms:created>
  <dcterms:modified xsi:type="dcterms:W3CDTF">2018-06-20T20:48:53Z</dcterms:modified>
</cp:coreProperties>
</file>