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9" i="1" l="1"/>
  <c r="L457" i="1"/>
  <c r="K457" i="1"/>
  <c r="L455" i="1"/>
  <c r="K455" i="1"/>
  <c r="L453" i="1"/>
  <c r="P451" i="1"/>
  <c r="O451" i="1"/>
  <c r="Q451" i="1" s="1"/>
  <c r="K451" i="1"/>
  <c r="L450" i="1"/>
  <c r="L449" i="1"/>
  <c r="L451" i="1" s="1"/>
  <c r="K408" i="1"/>
  <c r="L408" i="1" s="1"/>
  <c r="M408" i="1" s="1"/>
  <c r="L407" i="1"/>
  <c r="M407" i="1" s="1"/>
  <c r="K407" i="1"/>
  <c r="K406" i="1"/>
  <c r="L406" i="1" s="1"/>
  <c r="M406" i="1" s="1"/>
  <c r="H403" i="1"/>
  <c r="L400" i="1"/>
  <c r="K400" i="1"/>
  <c r="J400" i="1"/>
  <c r="L398" i="1"/>
  <c r="K398" i="1"/>
  <c r="L397" i="1"/>
  <c r="K397" i="1"/>
  <c r="L390" i="1"/>
  <c r="L386" i="1"/>
  <c r="L385" i="1"/>
  <c r="M371" i="1"/>
  <c r="AA360" i="1"/>
  <c r="J353" i="1"/>
  <c r="J350" i="1"/>
  <c r="K345" i="1"/>
  <c r="Y344" i="1"/>
  <c r="Z344" i="1" s="1"/>
  <c r="T344" i="1"/>
  <c r="U344" i="1" s="1"/>
  <c r="V344" i="1" s="1"/>
  <c r="W344" i="1" s="1"/>
  <c r="X344" i="1" s="1"/>
  <c r="S344" i="1"/>
  <c r="K343" i="1"/>
  <c r="M342" i="1"/>
  <c r="J335" i="1"/>
  <c r="I335" i="1"/>
  <c r="M334" i="1"/>
  <c r="M344" i="1" s="1"/>
  <c r="L333" i="1"/>
  <c r="K333" i="1"/>
  <c r="K332" i="1"/>
  <c r="J332" i="1"/>
  <c r="I332" i="1"/>
  <c r="I336" i="1" s="1"/>
  <c r="H332" i="1"/>
  <c r="H336" i="1" s="1"/>
  <c r="M323" i="1"/>
  <c r="K314" i="1"/>
  <c r="L311" i="1" s="1"/>
  <c r="L309" i="1"/>
  <c r="L310" i="1" s="1"/>
  <c r="O308" i="1"/>
  <c r="N308" i="1"/>
  <c r="L307" i="1"/>
  <c r="N305" i="1"/>
  <c r="M305" i="1"/>
  <c r="M311" i="1" s="1"/>
  <c r="M304" i="1"/>
  <c r="M309" i="1" s="1"/>
  <c r="M310" i="1" s="1"/>
  <c r="L304" i="1"/>
  <c r="T303" i="1"/>
  <c r="U303" i="1" s="1"/>
  <c r="S303" i="1"/>
  <c r="R303" i="1"/>
  <c r="T301" i="1"/>
  <c r="S301" i="1"/>
  <c r="R301" i="1"/>
  <c r="Q301" i="1"/>
  <c r="P301" i="1"/>
  <c r="O301" i="1"/>
  <c r="N301" i="1"/>
  <c r="M300" i="1"/>
  <c r="L300" i="1"/>
  <c r="K296" i="1"/>
  <c r="L305" i="1" s="1"/>
  <c r="L306" i="1" s="1"/>
  <c r="I293" i="1"/>
  <c r="L292" i="1"/>
  <c r="M292" i="1" s="1"/>
  <c r="N292" i="1" s="1"/>
  <c r="K292" i="1"/>
  <c r="J292" i="1"/>
  <c r="I292" i="1"/>
  <c r="H292" i="1"/>
  <c r="H293" i="1" s="1"/>
  <c r="K291" i="1"/>
  <c r="J291" i="1"/>
  <c r="J293" i="1" s="1"/>
  <c r="I291" i="1"/>
  <c r="H291" i="1"/>
  <c r="J289" i="1"/>
  <c r="J398" i="1" s="1"/>
  <c r="J288" i="1"/>
  <c r="I288" i="1"/>
  <c r="H288" i="1"/>
  <c r="J287" i="1"/>
  <c r="J397" i="1" s="1"/>
  <c r="I287" i="1"/>
  <c r="I289" i="1" s="1"/>
  <c r="H287" i="1"/>
  <c r="H285" i="1"/>
  <c r="G264" i="1"/>
  <c r="G263" i="1"/>
  <c r="D263" i="1"/>
  <c r="G262" i="1"/>
  <c r="D262" i="1"/>
  <c r="G261" i="1"/>
  <c r="D261" i="1"/>
  <c r="G260" i="1"/>
  <c r="G259" i="1"/>
  <c r="D259" i="1"/>
  <c r="G258" i="1"/>
  <c r="D258" i="1"/>
  <c r="G257" i="1"/>
  <c r="D257" i="1"/>
  <c r="G256" i="1"/>
  <c r="D256" i="1"/>
  <c r="T252" i="1"/>
  <c r="G252" i="1"/>
  <c r="T251" i="1"/>
  <c r="H251" i="1"/>
  <c r="G251" i="1"/>
  <c r="D251" i="1"/>
  <c r="H250" i="1"/>
  <c r="G250" i="1"/>
  <c r="D250" i="1"/>
  <c r="G249" i="1"/>
  <c r="G248" i="1"/>
  <c r="G247" i="1"/>
  <c r="G246" i="1"/>
  <c r="D233" i="1"/>
  <c r="D225" i="1"/>
  <c r="D224" i="1"/>
  <c r="D220" i="1"/>
  <c r="D216" i="1"/>
  <c r="D213" i="1"/>
  <c r="D209" i="1"/>
  <c r="D204" i="1"/>
  <c r="K168" i="1"/>
  <c r="AE165" i="1"/>
  <c r="T164" i="1" s="1"/>
  <c r="K153" i="1"/>
  <c r="T148" i="1"/>
  <c r="AE132" i="1"/>
  <c r="T131" i="1" s="1"/>
  <c r="Q120" i="1"/>
  <c r="K169" i="1" s="1"/>
  <c r="K120" i="1"/>
  <c r="Q119" i="1"/>
  <c r="K119" i="1"/>
  <c r="K152" i="1" s="1"/>
  <c r="AE116" i="1"/>
  <c r="AE99" i="1"/>
  <c r="T98" i="1" s="1"/>
  <c r="AE84" i="1"/>
  <c r="AE83" i="1"/>
  <c r="AE149" i="1" s="1"/>
  <c r="T82" i="1"/>
  <c r="D77" i="1"/>
  <c r="D76" i="1"/>
  <c r="F75" i="1"/>
  <c r="D75" i="1"/>
  <c r="D74" i="1"/>
  <c r="F73" i="1"/>
  <c r="D73" i="1"/>
  <c r="D72" i="1"/>
  <c r="F71" i="1"/>
  <c r="D71" i="1"/>
  <c r="AC70" i="1"/>
  <c r="AB145" i="1" s="1"/>
  <c r="D70" i="1"/>
  <c r="F69" i="1"/>
  <c r="D69" i="1"/>
  <c r="D68" i="1"/>
  <c r="F67" i="1"/>
  <c r="D67" i="1"/>
  <c r="D66" i="1"/>
  <c r="N65" i="1"/>
  <c r="N69" i="1" s="1"/>
  <c r="F65" i="1"/>
  <c r="D65" i="1"/>
  <c r="D64" i="1"/>
  <c r="F63" i="1"/>
  <c r="D63" i="1"/>
  <c r="D62" i="1"/>
  <c r="F61" i="1"/>
  <c r="D61" i="1"/>
  <c r="D60" i="1"/>
  <c r="F59" i="1"/>
  <c r="D59" i="1"/>
  <c r="AC58" i="1"/>
  <c r="N58" i="1"/>
  <c r="D58" i="1"/>
  <c r="F57" i="1"/>
  <c r="D57" i="1"/>
  <c r="D56" i="1"/>
  <c r="F55" i="1"/>
  <c r="D55" i="1"/>
  <c r="AC54" i="1"/>
  <c r="AB79" i="1" s="1"/>
  <c r="N54" i="1"/>
  <c r="D54" i="1"/>
  <c r="O53" i="1"/>
  <c r="N53" i="1"/>
  <c r="N57" i="1" s="1"/>
  <c r="N61" i="1" s="1"/>
  <c r="D53" i="1"/>
  <c r="F51" i="1"/>
  <c r="M49" i="1"/>
  <c r="L49" i="1"/>
  <c r="K49" i="1"/>
  <c r="J49" i="1"/>
  <c r="I49" i="1"/>
  <c r="H49" i="1"/>
  <c r="F46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F43" i="1"/>
  <c r="L40" i="1"/>
  <c r="H40" i="1"/>
  <c r="H50" i="1" s="1"/>
  <c r="B40" i="1"/>
  <c r="G40" i="1" s="1"/>
  <c r="F39" i="1"/>
  <c r="F37" i="1"/>
  <c r="K35" i="1"/>
  <c r="K48" i="1" s="1"/>
  <c r="J35" i="1"/>
  <c r="J48" i="1" s="1"/>
  <c r="J296" i="1" s="1"/>
  <c r="I35" i="1"/>
  <c r="I48" i="1" s="1"/>
  <c r="I296" i="1" s="1"/>
  <c r="H35" i="1"/>
  <c r="H48" i="1" s="1"/>
  <c r="H296" i="1" s="1"/>
  <c r="B35" i="1"/>
  <c r="G35" i="1" s="1"/>
  <c r="L34" i="1"/>
  <c r="K34" i="1"/>
  <c r="K36" i="1" s="1"/>
  <c r="J34" i="1"/>
  <c r="I34" i="1"/>
  <c r="H34" i="1"/>
  <c r="H36" i="1" s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D33" i="1"/>
  <c r="D32" i="1"/>
  <c r="AC31" i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D31" i="1"/>
  <c r="AC30" i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D30" i="1"/>
  <c r="D29" i="1"/>
  <c r="L28" i="1"/>
  <c r="M28" i="1" s="1"/>
  <c r="G27" i="1"/>
  <c r="F26" i="1"/>
  <c r="AA24" i="1"/>
  <c r="M24" i="1"/>
  <c r="M40" i="1" s="1"/>
  <c r="M50" i="1" s="1"/>
  <c r="L24" i="1"/>
  <c r="K24" i="1"/>
  <c r="K347" i="1" s="1"/>
  <c r="J24" i="1"/>
  <c r="J347" i="1" s="1"/>
  <c r="I24" i="1"/>
  <c r="H24" i="1"/>
  <c r="H38" i="1" s="1"/>
  <c r="D23" i="1"/>
  <c r="N22" i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M22" i="1"/>
  <c r="L22" i="1"/>
  <c r="M21" i="1"/>
  <c r="M332" i="1" s="1"/>
  <c r="L21" i="1"/>
  <c r="L332" i="1" s="1"/>
  <c r="G20" i="1"/>
  <c r="K19" i="1"/>
  <c r="L19" i="1" s="1"/>
  <c r="J19" i="1"/>
  <c r="I19" i="1"/>
  <c r="F19" i="1"/>
  <c r="O18" i="1"/>
  <c r="N18" i="1"/>
  <c r="M18" i="1"/>
  <c r="F18" i="1"/>
  <c r="C18" i="1"/>
  <c r="U14" i="1"/>
  <c r="M14" i="1"/>
  <c r="U13" i="1"/>
  <c r="D13" i="1"/>
  <c r="U12" i="1"/>
  <c r="M12" i="1"/>
  <c r="U11" i="1"/>
  <c r="U10" i="1"/>
  <c r="H9" i="1"/>
  <c r="AC74" i="1" s="1"/>
  <c r="L6" i="1"/>
  <c r="L5" i="1"/>
  <c r="L4" i="1"/>
  <c r="N28" i="1" l="1"/>
  <c r="M34" i="1"/>
  <c r="H41" i="1"/>
  <c r="H42" i="1"/>
  <c r="H44" i="1" s="1"/>
  <c r="H47" i="1" s="1"/>
  <c r="H52" i="1" s="1"/>
  <c r="L403" i="1"/>
  <c r="L285" i="1"/>
  <c r="L329" i="1" s="1"/>
  <c r="M19" i="1"/>
  <c r="C19" i="1"/>
  <c r="K78" i="1"/>
  <c r="AD79" i="1"/>
  <c r="Q78" i="1" s="1"/>
  <c r="AC62" i="1"/>
  <c r="L336" i="1"/>
  <c r="J352" i="1"/>
  <c r="J349" i="1"/>
  <c r="AC32" i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I36" i="1"/>
  <c r="I38" i="1" s="1"/>
  <c r="I40" i="1"/>
  <c r="I50" i="1" s="1"/>
  <c r="N83" i="1"/>
  <c r="AE133" i="1"/>
  <c r="T132" i="1" s="1"/>
  <c r="AE117" i="1"/>
  <c r="AE100" i="1"/>
  <c r="T99" i="1" s="1"/>
  <c r="AE166" i="1"/>
  <c r="T165" i="1" s="1"/>
  <c r="AE150" i="1"/>
  <c r="T149" i="1" s="1"/>
  <c r="T83" i="1"/>
  <c r="K403" i="1"/>
  <c r="K285" i="1"/>
  <c r="N372" i="1"/>
  <c r="M347" i="1"/>
  <c r="L387" i="1"/>
  <c r="L50" i="1"/>
  <c r="I403" i="1"/>
  <c r="I285" i="1"/>
  <c r="K352" i="1"/>
  <c r="K349" i="1"/>
  <c r="J36" i="1"/>
  <c r="J38" i="1" s="1"/>
  <c r="K38" i="1"/>
  <c r="J40" i="1"/>
  <c r="J50" i="1" s="1"/>
  <c r="O57" i="1"/>
  <c r="O54" i="1"/>
  <c r="P53" i="1"/>
  <c r="AB161" i="1"/>
  <c r="J403" i="1"/>
  <c r="J285" i="1"/>
  <c r="M372" i="1"/>
  <c r="L347" i="1"/>
  <c r="B41" i="1"/>
  <c r="G41" i="1" s="1"/>
  <c r="K40" i="1"/>
  <c r="K50" i="1" s="1"/>
  <c r="B42" i="1"/>
  <c r="G42" i="1" s="1"/>
  <c r="AC66" i="1"/>
  <c r="N73" i="1"/>
  <c r="N74" i="1" s="1"/>
  <c r="N70" i="1"/>
  <c r="N149" i="1"/>
  <c r="AD145" i="1"/>
  <c r="Q144" i="1" s="1"/>
  <c r="K144" i="1"/>
  <c r="P308" i="1"/>
  <c r="J338" i="1"/>
  <c r="J336" i="1"/>
  <c r="AB95" i="1"/>
  <c r="H289" i="1"/>
  <c r="V303" i="1"/>
  <c r="N306" i="1"/>
  <c r="O305" i="1"/>
  <c r="N311" i="1"/>
  <c r="K336" i="1"/>
  <c r="M287" i="1"/>
  <c r="K293" i="1"/>
  <c r="L291" i="1"/>
  <c r="L312" i="1"/>
  <c r="M330" i="1"/>
  <c r="L335" i="1"/>
  <c r="L338" i="1" s="1"/>
  <c r="K335" i="1"/>
  <c r="K338" i="1" s="1"/>
  <c r="M346" i="1"/>
  <c r="K353" i="1"/>
  <c r="K350" i="1"/>
  <c r="L345" i="1" s="1"/>
  <c r="M373" i="1"/>
  <c r="M306" i="1"/>
  <c r="M307" i="1" s="1"/>
  <c r="M312" i="1" s="1"/>
  <c r="M333" i="1"/>
  <c r="I338" i="1"/>
  <c r="N323" i="1" l="1"/>
  <c r="N300" i="1" s="1"/>
  <c r="N304" i="1" s="1"/>
  <c r="M288" i="1"/>
  <c r="M35" i="1"/>
  <c r="I41" i="1"/>
  <c r="I42" i="1"/>
  <c r="I44" i="1" s="1"/>
  <c r="I47" i="1" s="1"/>
  <c r="I52" i="1" s="1"/>
  <c r="J42" i="1"/>
  <c r="J44" i="1" s="1"/>
  <c r="J47" i="1" s="1"/>
  <c r="J52" i="1" s="1"/>
  <c r="J41" i="1"/>
  <c r="N334" i="1"/>
  <c r="M397" i="1"/>
  <c r="M289" i="1"/>
  <c r="M335" i="1"/>
  <c r="M338" i="1" s="1"/>
  <c r="N99" i="1"/>
  <c r="K94" i="1"/>
  <c r="AD95" i="1"/>
  <c r="Q94" i="1" s="1"/>
  <c r="L352" i="1"/>
  <c r="L349" i="1"/>
  <c r="L360" i="1" s="1"/>
  <c r="M365" i="1" s="1"/>
  <c r="L353" i="1"/>
  <c r="L350" i="1"/>
  <c r="M345" i="1" s="1"/>
  <c r="N66" i="1"/>
  <c r="AB128" i="1"/>
  <c r="K160" i="1"/>
  <c r="N165" i="1"/>
  <c r="AD161" i="1"/>
  <c r="Q160" i="1" s="1"/>
  <c r="O61" i="1"/>
  <c r="O65" i="1" s="1"/>
  <c r="O69" i="1" s="1"/>
  <c r="O58" i="1"/>
  <c r="O28" i="1"/>
  <c r="N34" i="1"/>
  <c r="M400" i="1"/>
  <c r="M366" i="1"/>
  <c r="M363" i="1"/>
  <c r="L314" i="1"/>
  <c r="L35" i="1"/>
  <c r="W303" i="1"/>
  <c r="B50" i="1"/>
  <c r="G50" i="1" s="1"/>
  <c r="B49" i="1"/>
  <c r="P54" i="1"/>
  <c r="Q53" i="1"/>
  <c r="P57" i="1"/>
  <c r="P18" i="1"/>
  <c r="K41" i="1"/>
  <c r="K42" i="1"/>
  <c r="K44" i="1" s="1"/>
  <c r="K47" i="1" s="1"/>
  <c r="K52" i="1" s="1"/>
  <c r="M352" i="1"/>
  <c r="M349" i="1"/>
  <c r="AB112" i="1"/>
  <c r="N62" i="1"/>
  <c r="O62" i="1"/>
  <c r="M403" i="1"/>
  <c r="M285" i="1"/>
  <c r="N19" i="1"/>
  <c r="C20" i="1"/>
  <c r="N307" i="1"/>
  <c r="Q308" i="1"/>
  <c r="M291" i="1"/>
  <c r="L293" i="1"/>
  <c r="L384" i="1" s="1"/>
  <c r="P305" i="1"/>
  <c r="O306" i="1"/>
  <c r="M353" i="1" l="1"/>
  <c r="M350" i="1"/>
  <c r="O73" i="1"/>
  <c r="O74" i="1" s="1"/>
  <c r="O70" i="1"/>
  <c r="O66" i="1"/>
  <c r="N330" i="1"/>
  <c r="N344" i="1"/>
  <c r="N346" i="1" s="1"/>
  <c r="L48" i="1"/>
  <c r="L36" i="1"/>
  <c r="L38" i="1" s="1"/>
  <c r="AD128" i="1"/>
  <c r="Q127" i="1" s="1"/>
  <c r="T116" i="1"/>
  <c r="Q111" i="1"/>
  <c r="M36" i="1"/>
  <c r="M38" i="1" s="1"/>
  <c r="M48" i="1"/>
  <c r="N291" i="1"/>
  <c r="N293" i="1" s="1"/>
  <c r="M293" i="1"/>
  <c r="C22" i="1"/>
  <c r="F22" i="1" s="1"/>
  <c r="C21" i="1"/>
  <c r="N355" i="1"/>
  <c r="M360" i="1"/>
  <c r="X303" i="1"/>
  <c r="O34" i="1"/>
  <c r="P28" i="1"/>
  <c r="M398" i="1"/>
  <c r="N371" i="1"/>
  <c r="N373" i="1" s="1"/>
  <c r="N333" i="1"/>
  <c r="N49" i="1"/>
  <c r="N309" i="1"/>
  <c r="N310" i="1" s="1"/>
  <c r="N312" i="1" s="1"/>
  <c r="Q305" i="1"/>
  <c r="P306" i="1"/>
  <c r="R308" i="1"/>
  <c r="M358" i="1"/>
  <c r="M329" i="1"/>
  <c r="N116" i="1"/>
  <c r="K111" i="1"/>
  <c r="AD112" i="1"/>
  <c r="R53" i="1"/>
  <c r="Q57" i="1"/>
  <c r="Q18" i="1"/>
  <c r="Q54" i="1"/>
  <c r="B54" i="1"/>
  <c r="N285" i="1"/>
  <c r="N358" i="1" s="1"/>
  <c r="O19" i="1"/>
  <c r="P61" i="1"/>
  <c r="P58" i="1"/>
  <c r="G49" i="1"/>
  <c r="B58" i="1"/>
  <c r="M355" i="1"/>
  <c r="N287" i="1"/>
  <c r="N35" i="1" l="1"/>
  <c r="O323" i="1"/>
  <c r="O300" i="1" s="1"/>
  <c r="O304" i="1" s="1"/>
  <c r="N288" i="1"/>
  <c r="AB360" i="1"/>
  <c r="N365" i="1"/>
  <c r="N21" i="1" s="1"/>
  <c r="Q306" i="1"/>
  <c r="R305" i="1"/>
  <c r="Y303" i="1"/>
  <c r="C23" i="1"/>
  <c r="B193" i="1"/>
  <c r="B74" i="1"/>
  <c r="G74" i="1" s="1"/>
  <c r="B100" i="1"/>
  <c r="K99" i="1" s="1"/>
  <c r="Q116" i="1" s="1"/>
  <c r="K165" i="1" s="1"/>
  <c r="B66" i="1"/>
  <c r="G66" i="1" s="1"/>
  <c r="G58" i="1"/>
  <c r="O285" i="1"/>
  <c r="O358" i="1" s="1"/>
  <c r="P19" i="1"/>
  <c r="O333" i="1"/>
  <c r="O334" i="1"/>
  <c r="N335" i="1"/>
  <c r="N332" i="1" s="1"/>
  <c r="B83" i="1"/>
  <c r="Q61" i="1"/>
  <c r="Q58" i="1"/>
  <c r="S308" i="1"/>
  <c r="F21" i="1"/>
  <c r="M41" i="1"/>
  <c r="M42" i="1"/>
  <c r="M44" i="1" s="1"/>
  <c r="M47" i="1" s="1"/>
  <c r="M52" i="1" s="1"/>
  <c r="L41" i="1"/>
  <c r="L388" i="1" s="1"/>
  <c r="L42" i="1"/>
  <c r="N289" i="1"/>
  <c r="O371" i="1" s="1"/>
  <c r="O311" i="1"/>
  <c r="B182" i="1"/>
  <c r="B191" i="1" s="1"/>
  <c r="P65" i="1"/>
  <c r="P62" i="1"/>
  <c r="B184" i="1"/>
  <c r="B84" i="1"/>
  <c r="K83" i="1" s="1"/>
  <c r="K116" i="1" s="1"/>
  <c r="K149" i="1" s="1"/>
  <c r="B117" i="1"/>
  <c r="B62" i="1"/>
  <c r="G62" i="1" s="1"/>
  <c r="G54" i="1"/>
  <c r="B70" i="1"/>
  <c r="G70" i="1" s="1"/>
  <c r="R57" i="1"/>
  <c r="R54" i="1"/>
  <c r="S53" i="1"/>
  <c r="R18" i="1"/>
  <c r="P34" i="1"/>
  <c r="Q28" i="1"/>
  <c r="N363" i="1"/>
  <c r="N345" i="1"/>
  <c r="N366" i="1"/>
  <c r="N23" i="1" s="1"/>
  <c r="N25" i="1" s="1"/>
  <c r="N353" i="1" l="1"/>
  <c r="N350" i="1"/>
  <c r="P285" i="1"/>
  <c r="P358" i="1" s="1"/>
  <c r="Q19" i="1"/>
  <c r="R306" i="1"/>
  <c r="S305" i="1"/>
  <c r="R28" i="1"/>
  <c r="Q34" i="1"/>
  <c r="S57" i="1"/>
  <c r="S54" i="1"/>
  <c r="T53" i="1"/>
  <c r="S18" i="1"/>
  <c r="L389" i="1"/>
  <c r="L44" i="1"/>
  <c r="L47" i="1" s="1"/>
  <c r="L52" i="1" s="1"/>
  <c r="B99" i="1"/>
  <c r="K82" i="1"/>
  <c r="K115" i="1" s="1"/>
  <c r="K148" i="1" s="1"/>
  <c r="B116" i="1"/>
  <c r="P334" i="1"/>
  <c r="P333" i="1"/>
  <c r="R61" i="1"/>
  <c r="R58" i="1"/>
  <c r="P69" i="1"/>
  <c r="P66" i="1"/>
  <c r="Q65" i="1"/>
  <c r="Q62" i="1"/>
  <c r="O335" i="1"/>
  <c r="O332" i="1" s="1"/>
  <c r="F23" i="1"/>
  <c r="C25" i="1"/>
  <c r="C24" i="1"/>
  <c r="N24" i="1"/>
  <c r="O49" i="1"/>
  <c r="O309" i="1"/>
  <c r="O307" i="1"/>
  <c r="T308" i="1"/>
  <c r="B86" i="1"/>
  <c r="B119" i="1" s="1"/>
  <c r="O330" i="1"/>
  <c r="O344" i="1"/>
  <c r="O346" i="1" s="1"/>
  <c r="Z303" i="1"/>
  <c r="N48" i="1"/>
  <c r="N36" i="1"/>
  <c r="F25" i="1" l="1"/>
  <c r="C26" i="1"/>
  <c r="Q334" i="1"/>
  <c r="Q285" i="1"/>
  <c r="Q358" i="1" s="1"/>
  <c r="R19" i="1"/>
  <c r="O372" i="1"/>
  <c r="O373" i="1" s="1"/>
  <c r="N347" i="1"/>
  <c r="N40" i="1"/>
  <c r="N50" i="1" s="1"/>
  <c r="N38" i="1"/>
  <c r="P70" i="1"/>
  <c r="P73" i="1"/>
  <c r="P74" i="1" s="1"/>
  <c r="P335" i="1"/>
  <c r="P332" i="1" s="1"/>
  <c r="K98" i="1"/>
  <c r="Q115" i="1" s="1"/>
  <c r="K164" i="1" s="1"/>
  <c r="B102" i="1"/>
  <c r="B105" i="1" s="1"/>
  <c r="T80" i="1" s="1"/>
  <c r="T96" i="1" s="1"/>
  <c r="T146" i="1" s="1"/>
  <c r="T162" i="1" s="1"/>
  <c r="T305" i="1"/>
  <c r="S306" i="1"/>
  <c r="O345" i="1"/>
  <c r="Q69" i="1"/>
  <c r="Q66" i="1"/>
  <c r="P330" i="1"/>
  <c r="P344" i="1"/>
  <c r="P346" i="1" s="1"/>
  <c r="T54" i="1"/>
  <c r="U53" i="1"/>
  <c r="T57" i="1"/>
  <c r="T18" i="1"/>
  <c r="R34" i="1"/>
  <c r="S28" i="1"/>
  <c r="S61" i="1"/>
  <c r="S58" i="1"/>
  <c r="U308" i="1"/>
  <c r="O310" i="1"/>
  <c r="O312" i="1" s="1"/>
  <c r="O287" i="1"/>
  <c r="F24" i="1"/>
  <c r="B247" i="1" s="1"/>
  <c r="H247" i="1" s="1"/>
  <c r="C27" i="1"/>
  <c r="F27" i="1" s="1"/>
  <c r="C28" i="1"/>
  <c r="F28" i="1" s="1"/>
  <c r="R65" i="1"/>
  <c r="R62" i="1"/>
  <c r="S65" i="1" l="1"/>
  <c r="S62" i="1"/>
  <c r="Q344" i="1"/>
  <c r="Q346" i="1" s="1"/>
  <c r="Q330" i="1"/>
  <c r="R69" i="1"/>
  <c r="R66" i="1"/>
  <c r="C29" i="1"/>
  <c r="P311" i="1"/>
  <c r="V308" i="1"/>
  <c r="T61" i="1"/>
  <c r="T58" i="1"/>
  <c r="N352" i="1"/>
  <c r="N349" i="1"/>
  <c r="Q333" i="1"/>
  <c r="Q73" i="1"/>
  <c r="Q74" i="1" s="1"/>
  <c r="Q70" i="1"/>
  <c r="O353" i="1"/>
  <c r="O350" i="1"/>
  <c r="P345" i="1" s="1"/>
  <c r="N42" i="1"/>
  <c r="N44" i="1" s="1"/>
  <c r="N47" i="1" s="1"/>
  <c r="N52" i="1" s="1"/>
  <c r="N41" i="1"/>
  <c r="R285" i="1"/>
  <c r="R358" i="1" s="1"/>
  <c r="S19" i="1"/>
  <c r="P323" i="1"/>
  <c r="P300" i="1" s="1"/>
  <c r="P304" i="1" s="1"/>
  <c r="O35" i="1"/>
  <c r="O288" i="1"/>
  <c r="O289" i="1" s="1"/>
  <c r="P371" i="1" s="1"/>
  <c r="S34" i="1"/>
  <c r="T28" i="1"/>
  <c r="V53" i="1"/>
  <c r="U57" i="1"/>
  <c r="U54" i="1"/>
  <c r="U18" i="1"/>
  <c r="U305" i="1"/>
  <c r="T306" i="1"/>
  <c r="R346" i="1" l="1"/>
  <c r="P350" i="1"/>
  <c r="Q345" i="1" s="1"/>
  <c r="P353" i="1"/>
  <c r="O48" i="1"/>
  <c r="O36" i="1"/>
  <c r="U28" i="1"/>
  <c r="T34" i="1"/>
  <c r="P49" i="1"/>
  <c r="P309" i="1"/>
  <c r="P310" i="1" s="1"/>
  <c r="P307" i="1"/>
  <c r="P312" i="1" s="1"/>
  <c r="S285" i="1"/>
  <c r="S358" i="1" s="1"/>
  <c r="T19" i="1"/>
  <c r="T65" i="1"/>
  <c r="T62" i="1"/>
  <c r="P287" i="1"/>
  <c r="N64" i="1"/>
  <c r="N68" i="1"/>
  <c r="N72" i="1"/>
  <c r="N56" i="1"/>
  <c r="N60" i="1"/>
  <c r="N76" i="1"/>
  <c r="N360" i="1"/>
  <c r="O355" i="1"/>
  <c r="O363" i="1"/>
  <c r="R73" i="1"/>
  <c r="R74" i="1" s="1"/>
  <c r="R70" i="1"/>
  <c r="S69" i="1"/>
  <c r="S66" i="1"/>
  <c r="F29" i="1"/>
  <c r="C30" i="1"/>
  <c r="V57" i="1"/>
  <c r="V54" i="1"/>
  <c r="V18" i="1"/>
  <c r="W53" i="1"/>
  <c r="U306" i="1"/>
  <c r="V305" i="1"/>
  <c r="U61" i="1"/>
  <c r="U58" i="1"/>
  <c r="R333" i="1"/>
  <c r="R334" i="1"/>
  <c r="R330" i="1" s="1"/>
  <c r="Q335" i="1"/>
  <c r="Q332" i="1" s="1"/>
  <c r="W308" i="1"/>
  <c r="Q323" i="1" l="1"/>
  <c r="Q300" i="1" s="1"/>
  <c r="Q304" i="1" s="1"/>
  <c r="P35" i="1"/>
  <c r="P288" i="1"/>
  <c r="P289" i="1" s="1"/>
  <c r="Q371" i="1" s="1"/>
  <c r="Q353" i="1"/>
  <c r="Q350" i="1"/>
  <c r="U65" i="1"/>
  <c r="U62" i="1"/>
  <c r="W57" i="1"/>
  <c r="W54" i="1"/>
  <c r="X53" i="1"/>
  <c r="W18" i="1"/>
  <c r="F30" i="1"/>
  <c r="C31" i="1"/>
  <c r="S73" i="1"/>
  <c r="S74" i="1" s="1"/>
  <c r="S70" i="1"/>
  <c r="Q311" i="1"/>
  <c r="R345" i="1"/>
  <c r="S346" i="1"/>
  <c r="V61" i="1"/>
  <c r="V58" i="1"/>
  <c r="T285" i="1"/>
  <c r="T358" i="1" s="1"/>
  <c r="U19" i="1"/>
  <c r="X308" i="1"/>
  <c r="S334" i="1"/>
  <c r="S330" i="1" s="1"/>
  <c r="V306" i="1"/>
  <c r="W305" i="1"/>
  <c r="O360" i="1"/>
  <c r="O365" i="1"/>
  <c r="O21" i="1" s="1"/>
  <c r="V28" i="1"/>
  <c r="U34" i="1"/>
  <c r="T69" i="1"/>
  <c r="T66" i="1"/>
  <c r="X54" i="1" l="1"/>
  <c r="Y53" i="1"/>
  <c r="X18" i="1"/>
  <c r="X57" i="1"/>
  <c r="W28" i="1"/>
  <c r="V34" i="1"/>
  <c r="S333" i="1"/>
  <c r="R353" i="1"/>
  <c r="R350" i="1"/>
  <c r="P48" i="1"/>
  <c r="P36" i="1"/>
  <c r="T70" i="1"/>
  <c r="T73" i="1"/>
  <c r="T74" i="1" s="1"/>
  <c r="V65" i="1"/>
  <c r="V62" i="1"/>
  <c r="P360" i="1"/>
  <c r="P365" i="1"/>
  <c r="P21" i="1" s="1"/>
  <c r="O361" i="1"/>
  <c r="O366" i="1" s="1"/>
  <c r="O23" i="1" s="1"/>
  <c r="O25" i="1" s="1"/>
  <c r="U285" i="1"/>
  <c r="U358" i="1" s="1"/>
  <c r="V19" i="1"/>
  <c r="T346" i="1"/>
  <c r="S345" i="1"/>
  <c r="U69" i="1"/>
  <c r="U66" i="1"/>
  <c r="X305" i="1"/>
  <c r="W306" i="1"/>
  <c r="Y308" i="1"/>
  <c r="F31" i="1"/>
  <c r="C32" i="1"/>
  <c r="W61" i="1"/>
  <c r="W58" i="1"/>
  <c r="Q49" i="1"/>
  <c r="Q309" i="1"/>
  <c r="Q307" i="1"/>
  <c r="U73" i="1" l="1"/>
  <c r="U74" i="1" s="1"/>
  <c r="U70" i="1"/>
  <c r="V285" i="1"/>
  <c r="V358" i="1" s="1"/>
  <c r="W19" i="1"/>
  <c r="Q365" i="1"/>
  <c r="Q21" i="1" s="1"/>
  <c r="P361" i="1"/>
  <c r="P366" i="1" s="1"/>
  <c r="P23" i="1" s="1"/>
  <c r="P25" i="1" s="1"/>
  <c r="Q360" i="1"/>
  <c r="P363" i="1"/>
  <c r="Z53" i="1"/>
  <c r="Y57" i="1"/>
  <c r="Y54" i="1"/>
  <c r="Y18" i="1"/>
  <c r="Y305" i="1"/>
  <c r="X306" i="1"/>
  <c r="S353" i="1"/>
  <c r="S350" i="1"/>
  <c r="W34" i="1"/>
  <c r="X28" i="1"/>
  <c r="W65" i="1"/>
  <c r="W62" i="1"/>
  <c r="Z308" i="1"/>
  <c r="U346" i="1"/>
  <c r="T345" i="1"/>
  <c r="X61" i="1"/>
  <c r="X58" i="1"/>
  <c r="O24" i="1"/>
  <c r="Q310" i="1"/>
  <c r="Q312" i="1" s="1"/>
  <c r="Q287" i="1"/>
  <c r="F32" i="1"/>
  <c r="C33" i="1"/>
  <c r="P24" i="1"/>
  <c r="V69" i="1"/>
  <c r="V66" i="1"/>
  <c r="T334" i="1"/>
  <c r="T330" i="1" s="1"/>
  <c r="T333" i="1"/>
  <c r="Q372" i="1" l="1"/>
  <c r="Q373" i="1" s="1"/>
  <c r="P38" i="1"/>
  <c r="P347" i="1"/>
  <c r="P40" i="1"/>
  <c r="P50" i="1" s="1"/>
  <c r="V346" i="1"/>
  <c r="W69" i="1"/>
  <c r="W66" i="1"/>
  <c r="W285" i="1"/>
  <c r="W358" i="1" s="1"/>
  <c r="X19" i="1"/>
  <c r="R311" i="1"/>
  <c r="X65" i="1"/>
  <c r="X62" i="1"/>
  <c r="Y28" i="1"/>
  <c r="X34" i="1"/>
  <c r="Q361" i="1"/>
  <c r="Q366" i="1" s="1"/>
  <c r="Q23" i="1" s="1"/>
  <c r="Q25" i="1" s="1"/>
  <c r="R360" i="1"/>
  <c r="R365" i="1"/>
  <c r="R21" i="1" s="1"/>
  <c r="U334" i="1"/>
  <c r="U330" i="1" s="1"/>
  <c r="U333" i="1"/>
  <c r="R323" i="1"/>
  <c r="R300" i="1" s="1"/>
  <c r="R304" i="1" s="1"/>
  <c r="Q35" i="1"/>
  <c r="Q288" i="1"/>
  <c r="Y61" i="1"/>
  <c r="Y58" i="1"/>
  <c r="V73" i="1"/>
  <c r="V74" i="1" s="1"/>
  <c r="V70" i="1"/>
  <c r="F33" i="1"/>
  <c r="C34" i="1"/>
  <c r="O347" i="1"/>
  <c r="P372" i="1"/>
  <c r="P373" i="1" s="1"/>
  <c r="O40" i="1"/>
  <c r="O50" i="1" s="1"/>
  <c r="O38" i="1"/>
  <c r="T350" i="1"/>
  <c r="U345" i="1" s="1"/>
  <c r="T353" i="1"/>
  <c r="Y306" i="1"/>
  <c r="Z305" i="1"/>
  <c r="A80" i="1"/>
  <c r="Z57" i="1"/>
  <c r="Z54" i="1"/>
  <c r="AB86" i="1" s="1"/>
  <c r="Z18" i="1"/>
  <c r="Q24" i="1"/>
  <c r="U353" i="1" l="1"/>
  <c r="U350" i="1"/>
  <c r="A89" i="1"/>
  <c r="K88" i="1" s="1"/>
  <c r="A86" i="1"/>
  <c r="A85" i="1"/>
  <c r="K84" i="1" s="1"/>
  <c r="V334" i="1"/>
  <c r="V330" i="1" s="1"/>
  <c r="Z306" i="1"/>
  <c r="O352" i="1"/>
  <c r="O349" i="1"/>
  <c r="P355" i="1" s="1"/>
  <c r="X69" i="1"/>
  <c r="X66" i="1"/>
  <c r="X285" i="1"/>
  <c r="X358" i="1" s="1"/>
  <c r="Y19" i="1"/>
  <c r="V345" i="1"/>
  <c r="W346" i="1"/>
  <c r="P352" i="1"/>
  <c r="P349" i="1"/>
  <c r="R372" i="1"/>
  <c r="Q347" i="1"/>
  <c r="Q40" i="1"/>
  <c r="Q50" i="1" s="1"/>
  <c r="W73" i="1"/>
  <c r="W74" i="1" s="1"/>
  <c r="W70" i="1"/>
  <c r="N85" i="1"/>
  <c r="U85" i="1"/>
  <c r="O41" i="1"/>
  <c r="O42" i="1"/>
  <c r="O44" i="1" s="1"/>
  <c r="O47" i="1" s="1"/>
  <c r="O52" i="1" s="1"/>
  <c r="F34" i="1"/>
  <c r="C35" i="1"/>
  <c r="Q48" i="1"/>
  <c r="Q36" i="1"/>
  <c r="Q38" i="1" s="1"/>
  <c r="P41" i="1"/>
  <c r="P42" i="1"/>
  <c r="P44" i="1" s="1"/>
  <c r="P47" i="1" s="1"/>
  <c r="P52" i="1" s="1"/>
  <c r="Z61" i="1"/>
  <c r="Z58" i="1"/>
  <c r="AB102" i="1" s="1"/>
  <c r="Y65" i="1"/>
  <c r="Y62" i="1"/>
  <c r="R49" i="1"/>
  <c r="R309" i="1"/>
  <c r="R307" i="1"/>
  <c r="S360" i="1"/>
  <c r="S365" i="1"/>
  <c r="S21" i="1" s="1"/>
  <c r="R361" i="1"/>
  <c r="R366" i="1" s="1"/>
  <c r="R23" i="1" s="1"/>
  <c r="R25" i="1" s="1"/>
  <c r="Z28" i="1"/>
  <c r="Z34" i="1" s="1"/>
  <c r="Y34" i="1"/>
  <c r="Q289" i="1"/>
  <c r="R371" i="1" s="1"/>
  <c r="R373" i="1" s="1"/>
  <c r="Q41" i="1" l="1"/>
  <c r="Q42" i="1"/>
  <c r="Q44" i="1" s="1"/>
  <c r="Q47" i="1" s="1"/>
  <c r="Q52" i="1" s="1"/>
  <c r="O68" i="1"/>
  <c r="O72" i="1"/>
  <c r="O56" i="1"/>
  <c r="O76" i="1"/>
  <c r="O60" i="1"/>
  <c r="O64" i="1"/>
  <c r="Y285" i="1"/>
  <c r="Y358" i="1" s="1"/>
  <c r="Z19" i="1"/>
  <c r="X346" i="1"/>
  <c r="K121" i="1"/>
  <c r="K154" i="1" s="1"/>
  <c r="Q88" i="1"/>
  <c r="K104" i="1"/>
  <c r="Q121" i="1" s="1"/>
  <c r="K170" i="1" s="1"/>
  <c r="T360" i="1"/>
  <c r="T365" i="1"/>
  <c r="T21" i="1" s="1"/>
  <c r="S361" i="1"/>
  <c r="S366" i="1" s="1"/>
  <c r="S23" i="1" s="1"/>
  <c r="S25" i="1" s="1"/>
  <c r="P72" i="1"/>
  <c r="P56" i="1"/>
  <c r="P76" i="1"/>
  <c r="P60" i="1"/>
  <c r="P64" i="1"/>
  <c r="P68" i="1"/>
  <c r="N118" i="1"/>
  <c r="Q352" i="1"/>
  <c r="Q349" i="1"/>
  <c r="R310" i="1"/>
  <c r="R312" i="1" s="1"/>
  <c r="R287" i="1"/>
  <c r="U101" i="1"/>
  <c r="N101" i="1"/>
  <c r="F35" i="1"/>
  <c r="C36" i="1"/>
  <c r="V350" i="1"/>
  <c r="W345" i="1" s="1"/>
  <c r="V333" i="1"/>
  <c r="V353" i="1" s="1"/>
  <c r="K85" i="1"/>
  <c r="A102" i="1"/>
  <c r="K101" i="1" s="1"/>
  <c r="Y69" i="1"/>
  <c r="Y66" i="1"/>
  <c r="Z65" i="1"/>
  <c r="Z62" i="1"/>
  <c r="AB119" i="1" s="1"/>
  <c r="AD119" i="1" s="1"/>
  <c r="R24" i="1"/>
  <c r="Q355" i="1"/>
  <c r="Q363" i="1"/>
  <c r="X70" i="1"/>
  <c r="X73" i="1"/>
  <c r="X74" i="1" s="1"/>
  <c r="K100" i="1"/>
  <c r="Q117" i="1" s="1"/>
  <c r="K166" i="1" s="1"/>
  <c r="K117" i="1"/>
  <c r="K150" i="1" s="1"/>
  <c r="S323" i="1" l="1"/>
  <c r="S300" i="1" s="1"/>
  <c r="S304" i="1" s="1"/>
  <c r="R35" i="1"/>
  <c r="R288" i="1"/>
  <c r="W350" i="1"/>
  <c r="S372" i="1"/>
  <c r="R347" i="1"/>
  <c r="R40" i="1"/>
  <c r="R50" i="1" s="1"/>
  <c r="Y73" i="1"/>
  <c r="Y74" i="1" s="1"/>
  <c r="Y70" i="1"/>
  <c r="T118" i="1"/>
  <c r="Q348" i="1"/>
  <c r="R355" i="1"/>
  <c r="R363" i="1"/>
  <c r="Z285" i="1"/>
  <c r="AA19" i="1"/>
  <c r="Q76" i="1"/>
  <c r="Q60" i="1"/>
  <c r="Q64" i="1"/>
  <c r="Q68" i="1"/>
  <c r="Q56" i="1"/>
  <c r="Q72" i="1"/>
  <c r="Q104" i="1"/>
  <c r="Q154" i="1"/>
  <c r="Q137" i="1"/>
  <c r="Q170" i="1"/>
  <c r="Z69" i="1"/>
  <c r="Z66" i="1"/>
  <c r="AB135" i="1" s="1"/>
  <c r="AD135" i="1" s="1"/>
  <c r="Q118" i="1"/>
  <c r="Q101" i="1"/>
  <c r="U134" i="1"/>
  <c r="U365" i="1"/>
  <c r="U21" i="1" s="1"/>
  <c r="T361" i="1"/>
  <c r="T366" i="1" s="1"/>
  <c r="T23" i="1" s="1"/>
  <c r="T25" i="1" s="1"/>
  <c r="U360" i="1"/>
  <c r="W333" i="1"/>
  <c r="W334" i="1"/>
  <c r="W330" i="1" s="1"/>
  <c r="S24" i="1"/>
  <c r="K118" i="1"/>
  <c r="K151" i="1" s="1"/>
  <c r="Q151" i="1" s="1"/>
  <c r="Q85" i="1"/>
  <c r="C37" i="1"/>
  <c r="C38" i="1" s="1"/>
  <c r="F36" i="1"/>
  <c r="R289" i="1"/>
  <c r="S371" i="1" s="1"/>
  <c r="S373" i="1" s="1"/>
  <c r="S311" i="1"/>
  <c r="X345" i="1"/>
  <c r="Y346" i="1"/>
  <c r="X334" i="1" l="1"/>
  <c r="X330" i="1" s="1"/>
  <c r="Q134" i="1"/>
  <c r="K167" i="1"/>
  <c r="Q167" i="1" s="1"/>
  <c r="W353" i="1"/>
  <c r="Z346" i="1"/>
  <c r="Z358" i="1"/>
  <c r="AA285" i="1"/>
  <c r="R352" i="1"/>
  <c r="R349" i="1"/>
  <c r="U24" i="1"/>
  <c r="X350" i="1"/>
  <c r="Y345" i="1" s="1"/>
  <c r="S347" i="1"/>
  <c r="T372" i="1"/>
  <c r="S40" i="1"/>
  <c r="S50" i="1" s="1"/>
  <c r="U361" i="1"/>
  <c r="U366" i="1" s="1"/>
  <c r="U23" i="1" s="1"/>
  <c r="U25" i="1" s="1"/>
  <c r="V360" i="1"/>
  <c r="V365" i="1"/>
  <c r="V21" i="1" s="1"/>
  <c r="Z73" i="1"/>
  <c r="Z74" i="1" s="1"/>
  <c r="Z70" i="1"/>
  <c r="T24" i="1"/>
  <c r="R48" i="1"/>
  <c r="R36" i="1"/>
  <c r="R38" i="1" s="1"/>
  <c r="C39" i="1"/>
  <c r="C40" i="1" s="1"/>
  <c r="F38" i="1"/>
  <c r="B248" i="1" s="1"/>
  <c r="S49" i="1"/>
  <c r="S309" i="1"/>
  <c r="S307" i="1"/>
  <c r="Y350" i="1" l="1"/>
  <c r="F40" i="1"/>
  <c r="C41" i="1"/>
  <c r="U372" i="1"/>
  <c r="T347" i="1"/>
  <c r="T40" i="1"/>
  <c r="T50" i="1" s="1"/>
  <c r="AB168" i="1"/>
  <c r="AD168" i="1" s="1"/>
  <c r="U167" i="1" s="1"/>
  <c r="AB152" i="1"/>
  <c r="S352" i="1"/>
  <c r="S349" i="1"/>
  <c r="W360" i="1"/>
  <c r="W365" i="1"/>
  <c r="W21" i="1" s="1"/>
  <c r="V361" i="1"/>
  <c r="V366" i="1" s="1"/>
  <c r="V23" i="1" s="1"/>
  <c r="V25" i="1" s="1"/>
  <c r="V372" i="1"/>
  <c r="U347" i="1"/>
  <c r="U40" i="1"/>
  <c r="U50" i="1" s="1"/>
  <c r="Z345" i="1"/>
  <c r="S310" i="1"/>
  <c r="S312" i="1" s="1"/>
  <c r="S287" i="1"/>
  <c r="R42" i="1"/>
  <c r="R44" i="1" s="1"/>
  <c r="R47" i="1" s="1"/>
  <c r="R52" i="1" s="1"/>
  <c r="R41" i="1"/>
  <c r="S355" i="1"/>
  <c r="S363" i="1"/>
  <c r="X333" i="1"/>
  <c r="B249" i="1"/>
  <c r="H249" i="1" s="1"/>
  <c r="H248" i="1"/>
  <c r="V24" i="1"/>
  <c r="T323" i="1" l="1"/>
  <c r="T300" i="1" s="1"/>
  <c r="T304" i="1" s="1"/>
  <c r="S35" i="1"/>
  <c r="S288" i="1"/>
  <c r="W24" i="1"/>
  <c r="AD152" i="1"/>
  <c r="U151" i="1" s="1"/>
  <c r="N151" i="1"/>
  <c r="T352" i="1"/>
  <c r="T349" i="1"/>
  <c r="Z350" i="1"/>
  <c r="U349" i="1"/>
  <c r="U352" i="1"/>
  <c r="X360" i="1"/>
  <c r="X365" i="1"/>
  <c r="X21" i="1" s="1"/>
  <c r="W361" i="1"/>
  <c r="W366" i="1" s="1"/>
  <c r="W23" i="1" s="1"/>
  <c r="W25" i="1" s="1"/>
  <c r="W372" i="1"/>
  <c r="V347" i="1"/>
  <c r="V40" i="1"/>
  <c r="V50" i="1" s="1"/>
  <c r="S289" i="1"/>
  <c r="T371" i="1" s="1"/>
  <c r="T373" i="1" s="1"/>
  <c r="T311" i="1"/>
  <c r="Y333" i="1"/>
  <c r="Y334" i="1"/>
  <c r="Y330" i="1" s="1"/>
  <c r="X353" i="1"/>
  <c r="R64" i="1"/>
  <c r="R68" i="1"/>
  <c r="R72" i="1"/>
  <c r="R56" i="1"/>
  <c r="R76" i="1"/>
  <c r="R60" i="1"/>
  <c r="T355" i="1"/>
  <c r="T363" i="1"/>
  <c r="F41" i="1"/>
  <c r="C42" i="1"/>
  <c r="V355" i="1" l="1"/>
  <c r="V363" i="1"/>
  <c r="U355" i="1"/>
  <c r="T348" i="1"/>
  <c r="U363" i="1"/>
  <c r="V352" i="1"/>
  <c r="V349" i="1"/>
  <c r="N167" i="1"/>
  <c r="S48" i="1"/>
  <c r="S36" i="1"/>
  <c r="S38" i="1" s="1"/>
  <c r="C43" i="1"/>
  <c r="C44" i="1" s="1"/>
  <c r="F42" i="1"/>
  <c r="Z334" i="1"/>
  <c r="Z330" i="1" s="1"/>
  <c r="Y353" i="1"/>
  <c r="W347" i="1"/>
  <c r="X372" i="1"/>
  <c r="W40" i="1"/>
  <c r="W50" i="1" s="1"/>
  <c r="Y365" i="1"/>
  <c r="Y21" i="1" s="1"/>
  <c r="X361" i="1"/>
  <c r="X366" i="1" s="1"/>
  <c r="X23" i="1" s="1"/>
  <c r="X25" i="1" s="1"/>
  <c r="Y360" i="1"/>
  <c r="AC360" i="1"/>
  <c r="T49" i="1"/>
  <c r="T309" i="1"/>
  <c r="T307" i="1"/>
  <c r="T310" i="1" l="1"/>
  <c r="T312" i="1" s="1"/>
  <c r="T287" i="1"/>
  <c r="S41" i="1"/>
  <c r="S42" i="1"/>
  <c r="S44" i="1" s="1"/>
  <c r="S47" i="1" s="1"/>
  <c r="S52" i="1" s="1"/>
  <c r="X24" i="1"/>
  <c r="F44" i="1"/>
  <c r="C45" i="1"/>
  <c r="Z333" i="1"/>
  <c r="Z353" i="1" s="1"/>
  <c r="W355" i="1"/>
  <c r="W363" i="1"/>
  <c r="Y361" i="1"/>
  <c r="Y366" i="1" s="1"/>
  <c r="Y23" i="1" s="1"/>
  <c r="Y25" i="1" s="1"/>
  <c r="Z360" i="1"/>
  <c r="Z361" i="1" s="1"/>
  <c r="Z366" i="1" s="1"/>
  <c r="Z23" i="1" s="1"/>
  <c r="Z25" i="1" s="1"/>
  <c r="Z365" i="1"/>
  <c r="Z21" i="1" s="1"/>
  <c r="Z24" i="1" s="1"/>
  <c r="W352" i="1"/>
  <c r="W349" i="1"/>
  <c r="T35" i="1" l="1"/>
  <c r="T288" i="1"/>
  <c r="C46" i="1"/>
  <c r="C47" i="1" s="1"/>
  <c r="F45" i="1"/>
  <c r="Z347" i="1"/>
  <c r="Z40" i="1"/>
  <c r="Z50" i="1" s="1"/>
  <c r="T289" i="1"/>
  <c r="U371" i="1" s="1"/>
  <c r="U373" i="1" s="1"/>
  <c r="U304" i="1"/>
  <c r="U311" i="1"/>
  <c r="X355" i="1"/>
  <c r="X363" i="1"/>
  <c r="Y372" i="1"/>
  <c r="X347" i="1"/>
  <c r="X40" i="1"/>
  <c r="X50" i="1" s="1"/>
  <c r="Y24" i="1"/>
  <c r="S68" i="1"/>
  <c r="S72" i="1"/>
  <c r="S56" i="1"/>
  <c r="S76" i="1"/>
  <c r="S60" i="1"/>
  <c r="S64" i="1"/>
  <c r="X352" i="1" l="1"/>
  <c r="X349" i="1"/>
  <c r="U312" i="1"/>
  <c r="U35" i="1" s="1"/>
  <c r="Z372" i="1"/>
  <c r="Y347" i="1"/>
  <c r="Y40" i="1"/>
  <c r="Y50" i="1" s="1"/>
  <c r="U49" i="1"/>
  <c r="U309" i="1"/>
  <c r="U310" i="1" s="1"/>
  <c r="U307" i="1"/>
  <c r="U288" i="1"/>
  <c r="F47" i="1"/>
  <c r="C48" i="1"/>
  <c r="U287" i="1"/>
  <c r="Z352" i="1"/>
  <c r="Z349" i="1"/>
  <c r="T48" i="1"/>
  <c r="T36" i="1"/>
  <c r="T38" i="1" s="1"/>
  <c r="U48" i="1" l="1"/>
  <c r="U36" i="1"/>
  <c r="U38" i="1" s="1"/>
  <c r="T41" i="1"/>
  <c r="T42" i="1"/>
  <c r="T44" i="1" s="1"/>
  <c r="T47" i="1" s="1"/>
  <c r="T52" i="1" s="1"/>
  <c r="U289" i="1"/>
  <c r="V371" i="1" s="1"/>
  <c r="V373" i="1" s="1"/>
  <c r="V304" i="1"/>
  <c r="V311" i="1"/>
  <c r="Y355" i="1"/>
  <c r="Y363" i="1"/>
  <c r="F48" i="1"/>
  <c r="C49" i="1"/>
  <c r="Y352" i="1"/>
  <c r="Y349" i="1"/>
  <c r="V49" i="1" l="1"/>
  <c r="V309" i="1"/>
  <c r="V310" i="1" s="1"/>
  <c r="V312" i="1" s="1"/>
  <c r="V307" i="1"/>
  <c r="Z355" i="1"/>
  <c r="Z363" i="1"/>
  <c r="V287" i="1"/>
  <c r="U41" i="1"/>
  <c r="U42" i="1"/>
  <c r="U44" i="1" s="1"/>
  <c r="U47" i="1" s="1"/>
  <c r="U52" i="1" s="1"/>
  <c r="F49" i="1"/>
  <c r="C50" i="1"/>
  <c r="T72" i="1"/>
  <c r="T56" i="1"/>
  <c r="T76" i="1"/>
  <c r="T60" i="1"/>
  <c r="T64" i="1"/>
  <c r="T68" i="1"/>
  <c r="V35" i="1" l="1"/>
  <c r="V288" i="1"/>
  <c r="C51" i="1"/>
  <c r="C52" i="1" s="1"/>
  <c r="F50" i="1"/>
  <c r="U76" i="1"/>
  <c r="U60" i="1"/>
  <c r="U64" i="1"/>
  <c r="U68" i="1"/>
  <c r="U56" i="1"/>
  <c r="U72" i="1"/>
  <c r="V289" i="1"/>
  <c r="W371" i="1" s="1"/>
  <c r="W373" i="1" s="1"/>
  <c r="W304" i="1"/>
  <c r="W311" i="1"/>
  <c r="C182" i="1" l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F52" i="1"/>
  <c r="B260" i="1" s="1"/>
  <c r="H260" i="1" s="1"/>
  <c r="C53" i="1"/>
  <c r="W49" i="1"/>
  <c r="W309" i="1"/>
  <c r="W307" i="1"/>
  <c r="V48" i="1"/>
  <c r="V36" i="1"/>
  <c r="V38" i="1" s="1"/>
  <c r="W310" i="1" l="1"/>
  <c r="W312" i="1" s="1"/>
  <c r="W287" i="1"/>
  <c r="F53" i="1"/>
  <c r="C54" i="1"/>
  <c r="V42" i="1"/>
  <c r="V44" i="1" s="1"/>
  <c r="V47" i="1" s="1"/>
  <c r="V52" i="1" s="1"/>
  <c r="V41" i="1"/>
  <c r="W35" i="1" l="1"/>
  <c r="W288" i="1"/>
  <c r="W289" i="1"/>
  <c r="X371" i="1" s="1"/>
  <c r="X373" i="1" s="1"/>
  <c r="X304" i="1"/>
  <c r="X311" i="1"/>
  <c r="V64" i="1"/>
  <c r="V68" i="1"/>
  <c r="V72" i="1"/>
  <c r="V56" i="1"/>
  <c r="V76" i="1"/>
  <c r="V60" i="1"/>
  <c r="C55" i="1"/>
  <c r="C56" i="1" s="1"/>
  <c r="F54" i="1"/>
  <c r="F56" i="1" l="1"/>
  <c r="C57" i="1"/>
  <c r="C58" i="1" s="1"/>
  <c r="X49" i="1"/>
  <c r="X309" i="1"/>
  <c r="X307" i="1"/>
  <c r="W48" i="1"/>
  <c r="W36" i="1"/>
  <c r="W38" i="1" s="1"/>
  <c r="X310" i="1" l="1"/>
  <c r="X312" i="1" s="1"/>
  <c r="X287" i="1"/>
  <c r="C59" i="1"/>
  <c r="C60" i="1" s="1"/>
  <c r="F58" i="1"/>
  <c r="W42" i="1"/>
  <c r="W44" i="1" s="1"/>
  <c r="W47" i="1" s="1"/>
  <c r="W52" i="1" s="1"/>
  <c r="W41" i="1"/>
  <c r="X35" i="1" l="1"/>
  <c r="X288" i="1"/>
  <c r="X289" i="1" s="1"/>
  <c r="Y371" i="1" s="1"/>
  <c r="Y373" i="1" s="1"/>
  <c r="Y304" i="1"/>
  <c r="Y311" i="1"/>
  <c r="W68" i="1"/>
  <c r="W72" i="1"/>
  <c r="W56" i="1"/>
  <c r="W76" i="1"/>
  <c r="W60" i="1"/>
  <c r="W64" i="1"/>
  <c r="F60" i="1"/>
  <c r="C61" i="1"/>
  <c r="C62" i="1" s="1"/>
  <c r="C63" i="1" l="1"/>
  <c r="C64" i="1" s="1"/>
  <c r="F62" i="1"/>
  <c r="Y49" i="1"/>
  <c r="Y309" i="1"/>
  <c r="Y307" i="1"/>
  <c r="X48" i="1"/>
  <c r="X36" i="1"/>
  <c r="X38" i="1" s="1"/>
  <c r="F64" i="1" l="1"/>
  <c r="C65" i="1"/>
  <c r="C66" i="1" s="1"/>
  <c r="Y310" i="1"/>
  <c r="Y312" i="1" s="1"/>
  <c r="Y287" i="1"/>
  <c r="X41" i="1"/>
  <c r="X42" i="1"/>
  <c r="X44" i="1" s="1"/>
  <c r="X47" i="1" s="1"/>
  <c r="X52" i="1" s="1"/>
  <c r="Y35" i="1" l="1"/>
  <c r="Y288" i="1"/>
  <c r="X72" i="1"/>
  <c r="X56" i="1"/>
  <c r="X76" i="1"/>
  <c r="X60" i="1"/>
  <c r="X64" i="1"/>
  <c r="X68" i="1"/>
  <c r="C67" i="1"/>
  <c r="C68" i="1" s="1"/>
  <c r="F66" i="1"/>
  <c r="Y289" i="1"/>
  <c r="Z371" i="1" s="1"/>
  <c r="Z373" i="1" s="1"/>
  <c r="Z304" i="1"/>
  <c r="Z311" i="1"/>
  <c r="Z49" i="1" l="1"/>
  <c r="Z309" i="1"/>
  <c r="Z310" i="1" s="1"/>
  <c r="Z307" i="1"/>
  <c r="Z312" i="1" s="1"/>
  <c r="F68" i="1"/>
  <c r="C69" i="1"/>
  <c r="C70" i="1" s="1"/>
  <c r="Y48" i="1"/>
  <c r="Y36" i="1"/>
  <c r="Y38" i="1" s="1"/>
  <c r="Z35" i="1" l="1"/>
  <c r="Z288" i="1"/>
  <c r="C71" i="1"/>
  <c r="C72" i="1" s="1"/>
  <c r="F70" i="1"/>
  <c r="Y41" i="1"/>
  <c r="Y42" i="1"/>
  <c r="Y44" i="1" s="1"/>
  <c r="Y47" i="1" s="1"/>
  <c r="Y52" i="1" s="1"/>
  <c r="Z287" i="1"/>
  <c r="Z289" i="1" s="1"/>
  <c r="F72" i="1" l="1"/>
  <c r="C73" i="1"/>
  <c r="C74" i="1" s="1"/>
  <c r="B261" i="1"/>
  <c r="H261" i="1" s="1"/>
  <c r="B262" i="1"/>
  <c r="H262" i="1" s="1"/>
  <c r="Y76" i="1"/>
  <c r="Y60" i="1"/>
  <c r="Y64" i="1"/>
  <c r="Y68" i="1"/>
  <c r="Y56" i="1"/>
  <c r="Y72" i="1"/>
  <c r="Z48" i="1"/>
  <c r="Z36" i="1"/>
  <c r="Z38" i="1" s="1"/>
  <c r="C75" i="1" l="1"/>
  <c r="C76" i="1" s="1"/>
  <c r="F76" i="1" s="1"/>
  <c r="F74" i="1"/>
  <c r="Z42" i="1"/>
  <c r="Z41" i="1"/>
  <c r="AD150" i="1" l="1"/>
  <c r="AD84" i="1"/>
  <c r="AD117" i="1"/>
  <c r="AD133" i="1" s="1"/>
  <c r="S132" i="1" s="1"/>
  <c r="U132" i="1" s="1"/>
  <c r="AD116" i="1"/>
  <c r="AD132" i="1" s="1"/>
  <c r="S131" i="1" s="1"/>
  <c r="U131" i="1" s="1"/>
  <c r="U133" i="1" s="1"/>
  <c r="U135" i="1" s="1"/>
  <c r="Z44" i="1"/>
  <c r="Z47" i="1" s="1"/>
  <c r="Z52" i="1" s="1"/>
  <c r="AD83" i="1"/>
  <c r="AD149" i="1"/>
  <c r="AD99" i="1" l="1"/>
  <c r="S98" i="1" s="1"/>
  <c r="U98" i="1" s="1"/>
  <c r="U100" i="1" s="1"/>
  <c r="U102" i="1" s="1"/>
  <c r="S82" i="1"/>
  <c r="U82" i="1" s="1"/>
  <c r="S83" i="1"/>
  <c r="U83" i="1" s="1"/>
  <c r="AD100" i="1"/>
  <c r="S99" i="1" s="1"/>
  <c r="U99" i="1" s="1"/>
  <c r="AD165" i="1"/>
  <c r="S164" i="1" s="1"/>
  <c r="U164" i="1" s="1"/>
  <c r="S148" i="1"/>
  <c r="U148" i="1" s="1"/>
  <c r="Z64" i="1"/>
  <c r="AB64" i="1" s="1"/>
  <c r="AB52" i="1"/>
  <c r="Z68" i="1"/>
  <c r="AB68" i="1" s="1"/>
  <c r="Z72" i="1"/>
  <c r="AB72" i="1" s="1"/>
  <c r="Z56" i="1"/>
  <c r="AB56" i="1" s="1"/>
  <c r="Z60" i="1"/>
  <c r="AB60" i="1" s="1"/>
  <c r="Z76" i="1"/>
  <c r="AB76" i="1" s="1"/>
  <c r="AD166" i="1"/>
  <c r="S165" i="1" s="1"/>
  <c r="U165" i="1" s="1"/>
  <c r="S149" i="1"/>
  <c r="U149" i="1" s="1"/>
  <c r="AB138" i="1" l="1"/>
  <c r="AB105" i="1"/>
  <c r="AB99" i="1"/>
  <c r="N98" i="1" s="1"/>
  <c r="N100" i="1" s="1"/>
  <c r="N102" i="1" s="1"/>
  <c r="AB149" i="1"/>
  <c r="N148" i="1" s="1"/>
  <c r="N150" i="1" s="1"/>
  <c r="N152" i="1" s="1"/>
  <c r="AB165" i="1"/>
  <c r="N164" i="1" s="1"/>
  <c r="N166" i="1" s="1"/>
  <c r="N168" i="1" s="1"/>
  <c r="AB83" i="1"/>
  <c r="N82" i="1" s="1"/>
  <c r="N84" i="1" s="1"/>
  <c r="N86" i="1" s="1"/>
  <c r="AB132" i="1"/>
  <c r="T115" i="1" s="1"/>
  <c r="T117" i="1" s="1"/>
  <c r="T119" i="1" s="1"/>
  <c r="AB116" i="1"/>
  <c r="N115" i="1" s="1"/>
  <c r="N117" i="1" s="1"/>
  <c r="N119" i="1" s="1"/>
  <c r="AB122" i="1"/>
  <c r="AB89" i="1"/>
  <c r="AB155" i="1"/>
  <c r="AB171" i="1"/>
  <c r="U150" i="1"/>
  <c r="U152" i="1" s="1"/>
  <c r="U166" i="1"/>
  <c r="U168" i="1" s="1"/>
  <c r="U84" i="1"/>
  <c r="U86" i="1" s="1"/>
  <c r="AD155" i="1" l="1"/>
  <c r="U154" i="1" s="1"/>
  <c r="N154" i="1"/>
  <c r="N156" i="1" s="1"/>
  <c r="AD171" i="1"/>
  <c r="U170" i="1" s="1"/>
  <c r="U172" i="1" s="1"/>
  <c r="N170" i="1"/>
  <c r="N172" i="1" s="1"/>
  <c r="U88" i="1"/>
  <c r="U90" i="1" s="1"/>
  <c r="N88" i="1"/>
  <c r="N90" i="1"/>
  <c r="U104" i="1"/>
  <c r="U106" i="1" s="1"/>
  <c r="N104" i="1"/>
  <c r="N106" i="1" s="1"/>
  <c r="U156" i="1"/>
  <c r="AD122" i="1"/>
  <c r="N121" i="1"/>
  <c r="N123" i="1" s="1"/>
  <c r="AD138" i="1"/>
  <c r="U137" i="1"/>
  <c r="U139" i="1" s="1"/>
  <c r="T121" i="1"/>
  <c r="T123" i="1" s="1"/>
</calcChain>
</file>

<file path=xl/sharedStrings.xml><?xml version="1.0" encoding="utf-8"?>
<sst xmlns="http://schemas.openxmlformats.org/spreadsheetml/2006/main" count="332" uniqueCount="182">
  <si>
    <t>A-Rated Rev Bonds</t>
  </si>
  <si>
    <t>Corporate Discount - Low</t>
  </si>
  <si>
    <t>Corporate Discount - High</t>
  </si>
  <si>
    <t>EBIT</t>
  </si>
  <si>
    <t>Double check dat entered</t>
  </si>
  <si>
    <t>EBITDA</t>
  </si>
  <si>
    <t>Risk Adjustment</t>
  </si>
  <si>
    <t>Risk Adj EBIT</t>
  </si>
  <si>
    <t>Risk Adj EBITDA</t>
  </si>
  <si>
    <t>Who is investor?</t>
  </si>
  <si>
    <t>GROWTH</t>
  </si>
  <si>
    <t>MUNI</t>
  </si>
  <si>
    <t>flag</t>
  </si>
  <si>
    <t>Income Approach</t>
  </si>
  <si>
    <t>Township of Mahoning Sewer System Assets</t>
  </si>
  <si>
    <t>DCF With Capitalization of Terminal Value Model and</t>
  </si>
  <si>
    <t>HIDE</t>
  </si>
  <si>
    <t>footnote</t>
  </si>
  <si>
    <t xml:space="preserve"> Estimated</t>
  </si>
  <si>
    <t>Actual</t>
  </si>
  <si>
    <t>not used</t>
  </si>
  <si>
    <t>OPERATING REVENUES</t>
  </si>
  <si>
    <t>Charges for services</t>
  </si>
  <si>
    <t>Other operating income</t>
  </si>
  <si>
    <t>Other (Rate Increase)</t>
  </si>
  <si>
    <t>Total Operating Revenues</t>
  </si>
  <si>
    <t>Rate Increase</t>
  </si>
  <si>
    <t>OPERATING EXPENSES</t>
  </si>
  <si>
    <t>Increase in Expense</t>
  </si>
  <si>
    <t>Operating &amp; Maintenance Expenses</t>
  </si>
  <si>
    <t>Remove Economies of Scale</t>
  </si>
  <si>
    <t>LESS: EOS - Wages &amp; Benefits</t>
  </si>
  <si>
    <t>Wages &amp; Benefits</t>
  </si>
  <si>
    <t>15% savings</t>
  </si>
  <si>
    <t>LESS: EOS - Professional Services</t>
  </si>
  <si>
    <t>Net Professional Services</t>
  </si>
  <si>
    <t>50% savings</t>
  </si>
  <si>
    <t>LESS: EOS - Utilities</t>
  </si>
  <si>
    <t>Utilities</t>
  </si>
  <si>
    <t>10% savings</t>
  </si>
  <si>
    <t>ADD: PURTA &amp; Reg Assessment</t>
  </si>
  <si>
    <t>Operating Expenses Before Depreciation</t>
  </si>
  <si>
    <t>Depreciation</t>
  </si>
  <si>
    <t>Total Operating Expenses</t>
  </si>
  <si>
    <t>Operating Income</t>
  </si>
  <si>
    <t>Revenues</t>
  </si>
  <si>
    <t>(-)  Income Taxes</t>
  </si>
  <si>
    <t>Debt Free Net Income</t>
  </si>
  <si>
    <t>(+) Depreciation &amp; Amortization</t>
  </si>
  <si>
    <t>(-)  Capital Expenditures</t>
  </si>
  <si>
    <t>(-)  Changes in Working Capital</t>
  </si>
  <si>
    <t>Debt Free Net Cash Flow</t>
  </si>
  <si>
    <t>PV Time Period (mid-year)</t>
  </si>
  <si>
    <t>(8)</t>
  </si>
  <si>
    <t>Present Value Debt Free Net Cash Flow</t>
  </si>
  <si>
    <t>(9)</t>
  </si>
  <si>
    <t>See last page of this EXHIBIT for notes and assumptions.</t>
  </si>
  <si>
    <t>BASE IOU</t>
  </si>
  <si>
    <t>Terminal</t>
  </si>
  <si>
    <t>Value</t>
  </si>
  <si>
    <t>Projected EBIT</t>
  </si>
  <si>
    <t>Projected Debt Free Net Cash Flow</t>
  </si>
  <si>
    <t>Projected EBITDA</t>
  </si>
  <si>
    <t>Divided by Capitalization Factor</t>
  </si>
  <si>
    <t>Weighted (1/3 EBIT 2/3 EBITDA) Terminal Value</t>
  </si>
  <si>
    <t>Present Value of Terminal Value</t>
  </si>
  <si>
    <t>Present Value Debt Free Net</t>
  </si>
  <si>
    <t>Indicated Value</t>
  </si>
  <si>
    <t>BASE IOU W/ GROWTH</t>
  </si>
  <si>
    <t>12th Year Present Value Factor</t>
  </si>
  <si>
    <t>Multiples(13)</t>
  </si>
  <si>
    <t>See EXHIBIT 4 for notes and assumptions.</t>
  </si>
  <si>
    <t>BASE MUNI</t>
  </si>
  <si>
    <t>x</t>
  </si>
  <si>
    <t>BASE MUNI W/ GROWTH</t>
  </si>
  <si>
    <t>41.86 &amp; 13</t>
  </si>
  <si>
    <t>Capitalization Factor:</t>
  </si>
  <si>
    <t>note</t>
  </si>
  <si>
    <t>Notes:  (1)</t>
  </si>
  <si>
    <t>Assumptions:</t>
  </si>
  <si>
    <t>Charges for services - Pre-2019 are actual or budget. Post-2018 based on customer growth (EDU) and average revenue per customer.</t>
  </si>
  <si>
    <t>OUT</t>
  </si>
  <si>
    <t>Tap Fees - Pre-2017 are actuals. Post-2016 based on Engineers Assessment, 2017 - 2021.</t>
  </si>
  <si>
    <t>Charges for services - Pre-2019 are actual 2016 adjusted for June 2017 rate increase. Post-2018 based on customer growth (EDU) and average revenue per customer.  Rate increases (Other rate increase line item) are added year after they occur.</t>
  </si>
  <si>
    <t xml:space="preserve">Tap Fees - Pre-2017 are actuals. Post-2016 based on Engineers Assessment, 2017 - 2021.  No tap fees post-2017 with assumed purchase by IOU in 2017. </t>
  </si>
  <si>
    <t>Other (Rate Increase) - Assumed purchase by IOU at end of 2018.  2021 assumed 26.25% rate increase so EBIT is 10.2% of investor's capital (similar to IOU water industry). Begining in 2024 assumes 3.1% rate increase every 3 years to account for expense increases (2%) less growth in customers.  Rate increases are added into charges for services year after they occur.</t>
  </si>
  <si>
    <t>Tap Fees - Pre-2018 are actuals. Post-2017 based on Engineers Assessment, 2018 - 2022, and new EDUs @ current EDU rate.</t>
  </si>
  <si>
    <t>Other (Rate Increase) - Assumed purchase by MUNI at end of 2018.  2021 assumed 10.5% rate increase so operating income is 5.2% of Net Property, Plant &amp; Equipment (Similar to large MUNIs). 2024 assumes 3.75% rate increase every 3 years to account for increase to account for expense increases (2%) less growth in customers (EDU).  Rate increases are added into charges for services year after they occur.</t>
  </si>
  <si>
    <t>OPERATING EXPENSES - increase at 2% annually after 2016 unless noted elsewhere. Assumed economies of scale are shown on lines below.</t>
  </si>
  <si>
    <t>Wages &amp; Benefits - Post-2018 assumed 15% savings due to economies of scale. Increase at 2% afterwards.</t>
  </si>
  <si>
    <t>Net Professional Services - Post-2018 assumed 50% savings due to economies of scale. Increase at 2% afterwards.</t>
  </si>
  <si>
    <t>Utilities - Post-2018 assumed 10% savings due to economies of scale. Increase at 2% afterwards.</t>
  </si>
  <si>
    <t>PURTA &amp; Reg Assessment - 2019 assumed due to IOU purchase at the end of 2018.</t>
  </si>
  <si>
    <t>Wastewater treatment services - Subsequent to 2014 an annual 2% rate increase assumed along with a 1% annual growth in flows.</t>
  </si>
  <si>
    <t>Depreciation - 2017 based on 2016 depreciation rate plus same rate on half of CAPX. Post-2017 based on OCNLD depreciation rate plus same rate on half of CAPX.</t>
  </si>
  <si>
    <t>keep</t>
  </si>
  <si>
    <t>Changes in Working Capital - based on water industry -1.19% of revenues.</t>
  </si>
  <si>
    <t>Capitalization rate, "K", at 4/30/2018 adjusted for stated growth, "g", where capitalization rate  = K - g.</t>
  </si>
  <si>
    <r>
      <t>Line 29 ÷</t>
    </r>
    <r>
      <rPr>
        <sz val="6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 Line 30.</t>
    </r>
  </si>
  <si>
    <t>Discount rate is the current lower end of the IOU discount rate.  Capitalization rate, "K", at 4/30/2018 adjusted for stated growth, "g", where capitalization rate  = K - g.</t>
  </si>
  <si>
    <t>Discount rate is the current upper end of the IOU discount rate.  Capitalization rate, "K", at 4/30/2018 adjusted for stated growth, "g", where capitalization rate  = K - g.</t>
  </si>
  <si>
    <t>Discount rate is the current MUNI discount rate.  Capitalization rate, "K", at 4/30/2018 equal to discount rate, where capitalization rate  = K - g.</t>
  </si>
  <si>
    <t>Discount rate is the current MUNI discount rate.  Capitalization rate, "K", at 4/30/2018 adjusted for stated growth, "g", where capitalization rate  = K - g.</t>
  </si>
  <si>
    <t>Developed on Market Multiples EXHIBIT 14.</t>
  </si>
  <si>
    <t>Debt Free Net Cash Flow adjusted for normalized tap fee where normalized tap fee is average 2013 -2017 tap fee.</t>
  </si>
  <si>
    <t>Terms:</t>
  </si>
  <si>
    <t>CAPX - Capital Expenditures</t>
  </si>
  <si>
    <t>CIP - Capital improvement plan</t>
  </si>
  <si>
    <t>Dep - Depreciation expense</t>
  </si>
  <si>
    <t>GROSS PPE - GROSS Property, plant and equipment</t>
  </si>
  <si>
    <t>IOU - Investor owned utility</t>
  </si>
  <si>
    <t>MUNI - Large regional municipally owned utility</t>
  </si>
  <si>
    <t>NET PPE - NET Property, plant and equipment</t>
  </si>
  <si>
    <t>TWP - Township</t>
  </si>
  <si>
    <t>WORKING NOTES</t>
  </si>
  <si>
    <t xml:space="preserve">GROSS Property, plant and equipment </t>
  </si>
  <si>
    <t>Accumulated Depreciation</t>
  </si>
  <si>
    <t>NET PPE</t>
  </si>
  <si>
    <t>Total Debt</t>
  </si>
  <si>
    <t>Net Equity</t>
  </si>
  <si>
    <t xml:space="preserve"> Investor Provided Capital</t>
  </si>
  <si>
    <t>Depreciation / GROSS PPE</t>
  </si>
  <si>
    <t>Muni CAPX</t>
  </si>
  <si>
    <t>IOU savings</t>
  </si>
  <si>
    <t>CAPX/Prior Yr. GROSS PPE</t>
  </si>
  <si>
    <t>CAPX</t>
  </si>
  <si>
    <t>Dep rate</t>
  </si>
  <si>
    <t>Half yr. Dep</t>
  </si>
  <si>
    <t>Dep on CAPX</t>
  </si>
  <si>
    <t>Rate of retirement</t>
  </si>
  <si>
    <t>Retired property</t>
  </si>
  <si>
    <t>Dep on Retired property</t>
  </si>
  <si>
    <t>Dep on Prior yr. GROSS</t>
  </si>
  <si>
    <t>Total Dep</t>
  </si>
  <si>
    <t>Depreciation Expense</t>
  </si>
  <si>
    <t>PURTA</t>
  </si>
  <si>
    <t>Rev</t>
  </si>
  <si>
    <t>Reg Assessment Fee</t>
  </si>
  <si>
    <t>CIP</t>
  </si>
  <si>
    <t>2016 Oc adds</t>
  </si>
  <si>
    <t>2017-2020 CIP</t>
  </si>
  <si>
    <t>Sewer Rental Charges</t>
  </si>
  <si>
    <t>EDUs</t>
  </si>
  <si>
    <t>C</t>
  </si>
  <si>
    <t>E</t>
  </si>
  <si>
    <t>Customer Growth</t>
  </si>
  <si>
    <t>Delivered to Customer</t>
  </si>
  <si>
    <t>Customers</t>
  </si>
  <si>
    <r>
      <rPr>
        <b/>
        <sz val="10"/>
        <color theme="1"/>
        <rFont val="Times New Roman"/>
        <family val="1"/>
      </rPr>
      <t xml:space="preserve">Total </t>
    </r>
    <r>
      <rPr>
        <sz val="10"/>
        <color theme="1"/>
        <rFont val="Times New Roman"/>
        <family val="1"/>
      </rPr>
      <t>Revenue (Less TAP)</t>
    </r>
  </si>
  <si>
    <t>avg CUST rev</t>
  </si>
  <si>
    <t>avg CUST flow</t>
  </si>
  <si>
    <t>avg EDU rev</t>
  </si>
  <si>
    <t>avg EDU flow</t>
  </si>
  <si>
    <t>Rev Calculated</t>
  </si>
  <si>
    <t>3rd</t>
  </si>
  <si>
    <t>Change</t>
  </si>
  <si>
    <t>Prior yr</t>
  </si>
  <si>
    <t>NET</t>
  </si>
  <si>
    <t>REV</t>
  </si>
  <si>
    <t>Reg Assessment</t>
  </si>
  <si>
    <t>Investor Provided Capital</t>
  </si>
  <si>
    <t>Gross PP&amp;E</t>
  </si>
  <si>
    <t>Net PP&amp;E</t>
  </si>
  <si>
    <t>Population</t>
  </si>
  <si>
    <t>G PPE</t>
  </si>
  <si>
    <t>NPPE</t>
  </si>
  <si>
    <t>Cust</t>
  </si>
  <si>
    <t>Mahoning</t>
  </si>
  <si>
    <t>Pay</t>
  </si>
  <si>
    <t>Payroll and Benefits</t>
  </si>
  <si>
    <t>utilities</t>
  </si>
  <si>
    <t>Telephone</t>
  </si>
  <si>
    <t>services</t>
  </si>
  <si>
    <t>Professional Fees</t>
  </si>
  <si>
    <t>Outside Services</t>
  </si>
  <si>
    <t>Engineering Fees</t>
  </si>
  <si>
    <t>Reported CAPX</t>
  </si>
  <si>
    <t>CAPX from 2017-2025 CIP</t>
  </si>
  <si>
    <t>OC Study</t>
  </si>
  <si>
    <t>Per Books</t>
  </si>
  <si>
    <t>Difference</t>
  </si>
  <si>
    <t>Depreciation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</si>
</sst>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"/>
    <numFmt numFmtId="166" formatCode="0."/>
    <numFmt numFmtId="167" formatCode="_(* #,##0_);_(* \(#,##0\);_(* &quot;-&quot;??_);_(@_)"/>
    <numFmt numFmtId="168" formatCode="&quot;$&quot;#,##0.000_);\(&quot;$&quot;#,##0.000\)"/>
    <numFmt numFmtId="169" formatCode="#,##0.0_);\(#,##0.0\)"/>
    <numFmt numFmtId="170" formatCode="#,##0.0000_);\(#,##0.0000\)"/>
    <numFmt numFmtId="171" formatCode="#,##0.000000_);\(#,##0.000000\)"/>
    <numFmt numFmtId="172" formatCode="\(0\)"/>
    <numFmt numFmtId="173" formatCode="0.0%"/>
    <numFmt numFmtId="174" formatCode="0.000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  <font>
      <u/>
      <sz val="10"/>
      <color theme="1"/>
      <name val="Times New Roman"/>
      <family val="1"/>
    </font>
    <font>
      <u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FF00"/>
      <name val="Calibri"/>
      <family val="2"/>
      <scheme val="minor"/>
    </font>
    <font>
      <sz val="11"/>
      <color theme="1"/>
      <name val="Times New Roman"/>
      <family val="1"/>
    </font>
    <font>
      <b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color theme="1"/>
      <name val="Times New Roman"/>
      <family val="1"/>
    </font>
    <font>
      <b/>
      <u/>
      <sz val="10"/>
      <name val="Times New Roman"/>
      <family val="1"/>
    </font>
    <font>
      <b/>
      <sz val="10"/>
      <color rgb="FFFFFF00"/>
      <name val="Times New Roman"/>
      <family val="1"/>
    </font>
    <font>
      <u/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6"/>
      <color theme="1"/>
      <name val="Times New Roman"/>
      <family val="1"/>
    </font>
    <font>
      <b/>
      <u/>
      <sz val="10"/>
      <color theme="1"/>
      <name val="Times New Roman"/>
      <family val="1"/>
    </font>
    <font>
      <i/>
      <sz val="10"/>
      <color theme="5" tint="-0.249977111117893"/>
      <name val="Times New Roman"/>
      <family val="1"/>
    </font>
    <font>
      <sz val="14"/>
      <color theme="1"/>
      <name val="Times New Roman"/>
      <family val="1"/>
    </font>
    <font>
      <i/>
      <sz val="8"/>
      <color rgb="FFFF0000"/>
      <name val="Times New Roman"/>
      <family val="1"/>
    </font>
    <font>
      <b/>
      <sz val="10"/>
      <color rgb="FF000000"/>
      <name val="Arial"/>
      <family val="2"/>
    </font>
    <font>
      <b/>
      <sz val="10"/>
      <color rgb="FFFF0000"/>
      <name val="Times New Roman"/>
      <family val="1"/>
    </font>
    <font>
      <u/>
      <sz val="8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Calibri"/>
      <family val="2"/>
    </font>
    <font>
      <strike/>
      <sz val="11"/>
      <color theme="1"/>
      <name val="Calibri"/>
      <family val="2"/>
      <scheme val="minor"/>
    </font>
    <font>
      <u/>
      <sz val="10"/>
      <color rgb="FF000000"/>
      <name val="Times New Roman"/>
      <family val="1"/>
    </font>
    <font>
      <b/>
      <i/>
      <u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3">
    <xf numFmtId="0" fontId="0" fillId="0" borderId="0" xfId="0"/>
    <xf numFmtId="0" fontId="3" fillId="0" borderId="0" xfId="0" applyFont="1" applyFill="1"/>
    <xf numFmtId="10" fontId="4" fillId="0" borderId="0" xfId="3" applyNumberFormat="1" applyFont="1" applyFill="1"/>
    <xf numFmtId="14" fontId="3" fillId="0" borderId="0" xfId="0" applyNumberFormat="1" applyFont="1" applyFill="1"/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 applyAlignment="1">
      <alignment horizontal="right"/>
    </xf>
    <xf numFmtId="164" fontId="3" fillId="0" borderId="0" xfId="3" applyNumberFormat="1" applyFont="1" applyFill="1"/>
    <xf numFmtId="0" fontId="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0" borderId="0" xfId="0" applyNumberFormat="1" applyFont="1" applyFill="1"/>
    <xf numFmtId="5" fontId="5" fillId="0" borderId="0" xfId="0" applyNumberFormat="1" applyFont="1" applyFill="1" applyBorder="1" applyAlignment="1" applyProtection="1">
      <alignment horizontal="left"/>
    </xf>
    <xf numFmtId="5" fontId="8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10" fillId="0" borderId="0" xfId="3" applyNumberFormat="1" applyFont="1" applyFill="1"/>
    <xf numFmtId="0" fontId="10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Continuous"/>
    </xf>
    <xf numFmtId="0" fontId="7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5" fontId="8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Alignment="1">
      <alignment horizontal="centerContinuous"/>
    </xf>
    <xf numFmtId="43" fontId="3" fillId="0" borderId="0" xfId="0" applyNumberFormat="1" applyFont="1" applyFill="1" applyAlignment="1">
      <alignment horizontal="centerContinuous"/>
    </xf>
    <xf numFmtId="0" fontId="11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"/>
    </xf>
    <xf numFmtId="0" fontId="12" fillId="0" borderId="0" xfId="0" applyFont="1" applyFill="1"/>
    <xf numFmtId="0" fontId="0" fillId="0" borderId="0" xfId="0" applyFont="1" applyFill="1"/>
    <xf numFmtId="166" fontId="0" fillId="0" borderId="0" xfId="0" applyNumberFormat="1" applyFont="1" applyFill="1"/>
    <xf numFmtId="0" fontId="3" fillId="0" borderId="2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"/>
    </xf>
    <xf numFmtId="0" fontId="13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left" vertical="top"/>
    </xf>
    <xf numFmtId="37" fontId="3" fillId="0" borderId="0" xfId="0" applyNumberFormat="1" applyFont="1" applyFill="1" applyAlignment="1">
      <alignment horizontal="right"/>
    </xf>
    <xf numFmtId="37" fontId="3" fillId="0" borderId="0" xfId="0" applyNumberFormat="1" applyFont="1" applyFill="1"/>
    <xf numFmtId="0" fontId="15" fillId="0" borderId="0" xfId="0" applyFont="1" applyFill="1" applyAlignment="1">
      <alignment horizontal="left" vertical="top"/>
    </xf>
    <xf numFmtId="37" fontId="3" fillId="0" borderId="6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right"/>
    </xf>
    <xf numFmtId="37" fontId="16" fillId="0" borderId="0" xfId="0" applyNumberFormat="1" applyFont="1" applyFill="1" applyAlignment="1">
      <alignment horizontal="right"/>
    </xf>
    <xf numFmtId="37" fontId="16" fillId="0" borderId="0" xfId="0" applyNumberFormat="1" applyFont="1" applyFill="1"/>
    <xf numFmtId="9" fontId="16" fillId="0" borderId="0" xfId="3" applyFont="1" applyFill="1" applyAlignment="1">
      <alignment horizontal="center"/>
    </xf>
    <xf numFmtId="9" fontId="3" fillId="0" borderId="0" xfId="0" applyNumberFormat="1" applyFont="1" applyFill="1"/>
    <xf numFmtId="0" fontId="12" fillId="0" borderId="0" xfId="0" applyFont="1" applyFill="1" applyAlignment="1">
      <alignment horizontal="left" indent="1"/>
    </xf>
    <xf numFmtId="0" fontId="10" fillId="0" borderId="0" xfId="0" applyFont="1" applyFill="1"/>
    <xf numFmtId="167" fontId="12" fillId="0" borderId="0" xfId="1" applyNumberFormat="1" applyFont="1" applyFill="1"/>
    <xf numFmtId="0" fontId="17" fillId="0" borderId="0" xfId="0" applyFont="1" applyFill="1" applyBorder="1" applyAlignment="1">
      <alignment horizontal="left" indent="2"/>
    </xf>
    <xf numFmtId="0" fontId="18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19" fillId="0" borderId="0" xfId="0" quotePrefix="1" applyFont="1" applyFill="1" applyBorder="1"/>
    <xf numFmtId="9" fontId="19" fillId="0" borderId="0" xfId="3" applyFont="1" applyFill="1" applyBorder="1"/>
    <xf numFmtId="0" fontId="17" fillId="0" borderId="0" xfId="0" applyFont="1" applyFill="1" applyBorder="1"/>
    <xf numFmtId="0" fontId="15" fillId="0" borderId="0" xfId="0" applyFont="1" applyFill="1" applyAlignment="1">
      <alignment horizontal="left" vertical="center"/>
    </xf>
    <xf numFmtId="37" fontId="3" fillId="0" borderId="7" xfId="0" applyNumberFormat="1" applyFont="1" applyFill="1" applyBorder="1" applyAlignment="1">
      <alignment horizontal="right"/>
    </xf>
    <xf numFmtId="9" fontId="3" fillId="0" borderId="0" xfId="3" applyFont="1" applyFill="1"/>
    <xf numFmtId="38" fontId="5" fillId="0" borderId="0" xfId="0" applyNumberFormat="1" applyFont="1" applyFill="1" applyAlignment="1">
      <alignment horizontal="left" indent="2"/>
    </xf>
    <xf numFmtId="38" fontId="5" fillId="0" borderId="0" xfId="0" applyNumberFormat="1" applyFont="1" applyFill="1"/>
    <xf numFmtId="38" fontId="5" fillId="0" borderId="8" xfId="0" applyNumberFormat="1" applyFont="1" applyFill="1" applyBorder="1"/>
    <xf numFmtId="43" fontId="3" fillId="0" borderId="0" xfId="1" applyFont="1" applyFill="1"/>
    <xf numFmtId="38" fontId="5" fillId="0" borderId="0" xfId="0" applyNumberFormat="1" applyFont="1" applyFill="1" applyBorder="1"/>
    <xf numFmtId="0" fontId="5" fillId="0" borderId="0" xfId="0" applyFont="1" applyFill="1" applyAlignment="1">
      <alignment horizontal="left" indent="2"/>
    </xf>
    <xf numFmtId="38" fontId="5" fillId="0" borderId="7" xfId="0" applyNumberFormat="1" applyFont="1" applyFill="1" applyBorder="1"/>
    <xf numFmtId="5" fontId="5" fillId="0" borderId="9" xfId="0" applyNumberFormat="1" applyFont="1" applyFill="1" applyBorder="1" applyProtection="1"/>
    <xf numFmtId="168" fontId="3" fillId="0" borderId="0" xfId="0" applyNumberFormat="1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37" fontId="20" fillId="0" borderId="0" xfId="0" applyNumberFormat="1" applyFont="1" applyFill="1" applyAlignment="1">
      <alignment horizontal="right"/>
    </xf>
    <xf numFmtId="169" fontId="21" fillId="0" borderId="0" xfId="0" applyNumberFormat="1" applyFont="1" applyFill="1" applyAlignment="1">
      <alignment horizontal="center"/>
    </xf>
    <xf numFmtId="169" fontId="20" fillId="0" borderId="0" xfId="0" applyNumberFormat="1" applyFont="1" applyFill="1" applyAlignment="1">
      <alignment horizontal="center"/>
    </xf>
    <xf numFmtId="170" fontId="5" fillId="0" borderId="0" xfId="0" applyNumberFormat="1" applyFont="1" applyFill="1" applyProtection="1"/>
    <xf numFmtId="10" fontId="5" fillId="0" borderId="0" xfId="0" applyNumberFormat="1" applyFont="1" applyFill="1" applyAlignment="1" applyProtection="1">
      <alignment horizontal="center"/>
    </xf>
    <xf numFmtId="0" fontId="5" fillId="0" borderId="0" xfId="0" quotePrefix="1" applyFont="1" applyFill="1" applyBorder="1"/>
    <xf numFmtId="10" fontId="5" fillId="0" borderId="0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Protection="1"/>
    <xf numFmtId="37" fontId="5" fillId="0" borderId="0" xfId="0" applyNumberFormat="1" applyFont="1" applyFill="1" applyBorder="1" applyProtection="1"/>
    <xf numFmtId="37" fontId="22" fillId="0" borderId="0" xfId="0" applyNumberFormat="1" applyFont="1" applyFill="1"/>
    <xf numFmtId="37" fontId="22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left" indent="12"/>
    </xf>
    <xf numFmtId="0" fontId="23" fillId="0" borderId="0" xfId="0" applyFont="1" applyFill="1"/>
    <xf numFmtId="0" fontId="23" fillId="0" borderId="0" xfId="0" applyFont="1" applyFill="1" applyAlignment="1"/>
    <xf numFmtId="0" fontId="24" fillId="0" borderId="0" xfId="0" applyFont="1" applyFill="1"/>
    <xf numFmtId="0" fontId="10" fillId="0" borderId="0" xfId="0" applyFont="1" applyFill="1" applyAlignment="1">
      <alignment horizontal="centerContinuous"/>
    </xf>
    <xf numFmtId="37" fontId="10" fillId="0" borderId="0" xfId="0" applyNumberFormat="1" applyFont="1" applyFill="1" applyAlignment="1">
      <alignment horizontal="centerContinuous"/>
    </xf>
    <xf numFmtId="37" fontId="3" fillId="0" borderId="2" xfId="0" applyNumberFormat="1" applyFont="1" applyFill="1" applyBorder="1" applyAlignment="1">
      <alignment horizontal="centerContinuous"/>
    </xf>
    <xf numFmtId="37" fontId="3" fillId="0" borderId="3" xfId="0" applyNumberFormat="1" applyFont="1" applyFill="1" applyBorder="1" applyAlignment="1">
      <alignment horizontal="centerContinuous"/>
    </xf>
    <xf numFmtId="37" fontId="3" fillId="0" borderId="4" xfId="0" applyNumberFormat="1" applyFont="1" applyFill="1" applyBorder="1" applyAlignment="1">
      <alignment horizontal="centerContinuous"/>
    </xf>
    <xf numFmtId="37" fontId="3" fillId="0" borderId="0" xfId="0" applyNumberFormat="1" applyFont="1" applyFill="1" applyAlignment="1">
      <alignment horizontal="right" indent="2"/>
    </xf>
    <xf numFmtId="5" fontId="5" fillId="0" borderId="10" xfId="0" applyNumberFormat="1" applyFont="1" applyFill="1" applyBorder="1" applyProtection="1"/>
    <xf numFmtId="5" fontId="5" fillId="0" borderId="11" xfId="0" applyNumberFormat="1" applyFont="1" applyFill="1" applyBorder="1" applyProtection="1"/>
    <xf numFmtId="38" fontId="5" fillId="0" borderId="11" xfId="0" applyNumberFormat="1" applyFont="1" applyFill="1" applyBorder="1"/>
    <xf numFmtId="5" fontId="5" fillId="0" borderId="11" xfId="0" applyNumberFormat="1" applyFont="1" applyFill="1" applyBorder="1" applyAlignment="1" applyProtection="1">
      <alignment horizontal="center"/>
    </xf>
    <xf numFmtId="0" fontId="3" fillId="0" borderId="12" xfId="0" applyFont="1" applyFill="1" applyBorder="1"/>
    <xf numFmtId="5" fontId="5" fillId="0" borderId="12" xfId="0" applyNumberFormat="1" applyFont="1" applyFill="1" applyBorder="1" applyAlignment="1" applyProtection="1">
      <alignment horizontal="center"/>
    </xf>
    <xf numFmtId="10" fontId="3" fillId="0" borderId="0" xfId="3" applyNumberFormat="1" applyFont="1" applyFill="1"/>
    <xf numFmtId="169" fontId="3" fillId="0" borderId="0" xfId="0" applyNumberFormat="1" applyFont="1" applyFill="1"/>
    <xf numFmtId="5" fontId="5" fillId="0" borderId="13" xfId="0" applyNumberFormat="1" applyFont="1" applyFill="1" applyBorder="1" applyProtection="1"/>
    <xf numFmtId="5" fontId="5" fillId="0" borderId="0" xfId="0" applyNumberFormat="1" applyFont="1" applyFill="1" applyBorder="1" applyProtection="1"/>
    <xf numFmtId="0" fontId="3" fillId="0" borderId="14" xfId="0" applyFont="1" applyFill="1" applyBorder="1"/>
    <xf numFmtId="5" fontId="8" fillId="0" borderId="14" xfId="0" applyNumberFormat="1" applyFont="1" applyFill="1" applyBorder="1" applyAlignment="1" applyProtection="1">
      <alignment horizontal="center"/>
    </xf>
    <xf numFmtId="5" fontId="5" fillId="0" borderId="14" xfId="0" applyNumberFormat="1" applyFont="1" applyFill="1" applyBorder="1" applyProtection="1"/>
    <xf numFmtId="0" fontId="5" fillId="0" borderId="13" xfId="0" applyFont="1" applyFill="1" applyBorder="1" applyAlignment="1">
      <alignment horizontal="left" indent="5"/>
    </xf>
    <xf numFmtId="0" fontId="5" fillId="0" borderId="13" xfId="0" applyFont="1" applyFill="1" applyBorder="1"/>
    <xf numFmtId="165" fontId="5" fillId="0" borderId="0" xfId="1" applyNumberFormat="1" applyFont="1" applyFill="1" applyBorder="1" applyAlignment="1" applyProtection="1">
      <alignment horizontal="center"/>
    </xf>
    <xf numFmtId="0" fontId="5" fillId="0" borderId="13" xfId="0" applyFont="1" applyFill="1" applyBorder="1" applyAlignment="1">
      <alignment horizontal="left"/>
    </xf>
    <xf numFmtId="10" fontId="5" fillId="0" borderId="8" xfId="3" applyNumberFormat="1" applyFont="1" applyFill="1" applyBorder="1" applyProtection="1"/>
    <xf numFmtId="37" fontId="5" fillId="0" borderId="15" xfId="0" applyNumberFormat="1" applyFont="1" applyFill="1" applyBorder="1" applyProtection="1"/>
    <xf numFmtId="10" fontId="3" fillId="0" borderId="0" xfId="0" applyNumberFormat="1" applyFont="1" applyFill="1"/>
    <xf numFmtId="5" fontId="5" fillId="0" borderId="13" xfId="0" quotePrefix="1" applyNumberFormat="1" applyFont="1" applyFill="1" applyBorder="1" applyAlignment="1" applyProtection="1">
      <alignment horizontal="left" indent="5"/>
    </xf>
    <xf numFmtId="5" fontId="5" fillId="0" borderId="13" xfId="0" quotePrefix="1" applyNumberFormat="1" applyFont="1" applyFill="1" applyBorder="1" applyProtection="1"/>
    <xf numFmtId="37" fontId="5" fillId="0" borderId="14" xfId="0" applyNumberFormat="1" applyFont="1" applyFill="1" applyBorder="1" applyProtection="1"/>
    <xf numFmtId="170" fontId="5" fillId="0" borderId="0" xfId="0" applyNumberFormat="1" applyFont="1" applyFill="1" applyBorder="1" applyProtection="1"/>
    <xf numFmtId="170" fontId="5" fillId="0" borderId="14" xfId="0" applyNumberFormat="1" applyFont="1" applyFill="1" applyBorder="1" applyProtection="1"/>
    <xf numFmtId="0" fontId="5" fillId="0" borderId="0" xfId="0" applyFont="1" applyFill="1" applyBorder="1"/>
    <xf numFmtId="37" fontId="5" fillId="0" borderId="7" xfId="0" applyNumberFormat="1" applyFont="1" applyFill="1" applyBorder="1" applyProtection="1"/>
    <xf numFmtId="37" fontId="5" fillId="0" borderId="16" xfId="0" applyNumberFormat="1" applyFont="1" applyFill="1" applyBorder="1" applyProtection="1"/>
    <xf numFmtId="170" fontId="3" fillId="0" borderId="0" xfId="0" applyNumberFormat="1" applyFont="1" applyFill="1"/>
    <xf numFmtId="171" fontId="3" fillId="0" borderId="0" xfId="0" applyNumberFormat="1" applyFont="1" applyFill="1"/>
    <xf numFmtId="37" fontId="5" fillId="0" borderId="8" xfId="0" applyNumberFormat="1" applyFont="1" applyFill="1" applyBorder="1" applyProtection="1"/>
    <xf numFmtId="5" fontId="5" fillId="0" borderId="17" xfId="0" applyNumberFormat="1" applyFont="1" applyFill="1" applyBorder="1" applyProtection="1"/>
    <xf numFmtId="5" fontId="5" fillId="0" borderId="18" xfId="0" applyNumberFormat="1" applyFont="1" applyFill="1" applyBorder="1" applyProtection="1"/>
    <xf numFmtId="5" fontId="5" fillId="0" borderId="19" xfId="0" applyNumberFormat="1" applyFont="1" applyFill="1" applyBorder="1" applyProtection="1"/>
    <xf numFmtId="38" fontId="5" fillId="0" borderId="19" xfId="0" applyNumberFormat="1" applyFont="1" applyFill="1" applyBorder="1"/>
    <xf numFmtId="5" fontId="5" fillId="0" borderId="20" xfId="0" applyNumberFormat="1" applyFont="1" applyFill="1" applyBorder="1" applyProtection="1"/>
    <xf numFmtId="0" fontId="25" fillId="0" borderId="0" xfId="0" applyFont="1" applyFill="1" applyAlignment="1">
      <alignment horizontal="center" vertical="center"/>
    </xf>
    <xf numFmtId="5" fontId="23" fillId="0" borderId="0" xfId="0" applyNumberFormat="1" applyFont="1" applyFill="1"/>
    <xf numFmtId="5" fontId="3" fillId="0" borderId="0" xfId="0" applyNumberFormat="1" applyFont="1" applyFill="1"/>
    <xf numFmtId="37" fontId="22" fillId="0" borderId="0" xfId="0" applyNumberFormat="1" applyFont="1" applyFill="1" applyBorder="1" applyAlignment="1">
      <alignment horizontal="right"/>
    </xf>
    <xf numFmtId="37" fontId="22" fillId="0" borderId="0" xfId="0" applyNumberFormat="1" applyFont="1" applyFill="1" applyBorder="1"/>
    <xf numFmtId="37" fontId="22" fillId="0" borderId="0" xfId="0" applyNumberFormat="1" applyFont="1" applyFill="1" applyBorder="1" applyAlignment="1">
      <alignment horizontal="centerContinuous"/>
    </xf>
    <xf numFmtId="5" fontId="22" fillId="0" borderId="0" xfId="0" applyNumberFormat="1" applyFont="1" applyFill="1" applyBorder="1" applyProtection="1"/>
    <xf numFmtId="38" fontId="22" fillId="0" borderId="0" xfId="0" applyNumberFormat="1" applyFont="1" applyFill="1" applyBorder="1"/>
    <xf numFmtId="5" fontId="22" fillId="0" borderId="0" xfId="0" applyNumberFormat="1" applyFont="1" applyFill="1" applyBorder="1" applyAlignment="1" applyProtection="1">
      <alignment horizontal="center"/>
    </xf>
    <xf numFmtId="5" fontId="26" fillId="0" borderId="0" xfId="0" applyNumberFormat="1" applyFont="1" applyFill="1" applyBorder="1" applyAlignment="1" applyProtection="1">
      <alignment horizontal="center"/>
    </xf>
    <xf numFmtId="0" fontId="22" fillId="0" borderId="0" xfId="0" applyFont="1" applyFill="1" applyBorder="1"/>
    <xf numFmtId="165" fontId="22" fillId="0" borderId="0" xfId="1" applyNumberFormat="1" applyFont="1" applyFill="1" applyBorder="1" applyAlignment="1" applyProtection="1">
      <alignment horizontal="center"/>
    </xf>
    <xf numFmtId="37" fontId="22" fillId="0" borderId="0" xfId="0" applyNumberFormat="1" applyFont="1" applyFill="1" applyBorder="1" applyProtection="1"/>
    <xf numFmtId="5" fontId="22" fillId="0" borderId="0" xfId="0" quotePrefix="1" applyNumberFormat="1" applyFont="1" applyFill="1" applyBorder="1" applyProtection="1"/>
    <xf numFmtId="170" fontId="22" fillId="0" borderId="0" xfId="0" applyNumberFormat="1" applyFont="1" applyFill="1" applyBorder="1" applyProtection="1"/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23" fillId="0" borderId="0" xfId="0" applyFont="1" applyFill="1" applyAlignment="1">
      <alignment horizontal="center"/>
    </xf>
    <xf numFmtId="3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 wrapText="1" indent="2"/>
    </xf>
    <xf numFmtId="0" fontId="3" fillId="0" borderId="0" xfId="0" applyFont="1" applyFill="1" applyAlignment="1">
      <alignment horizontal="left" vertical="top" wrapText="1" indent="2"/>
    </xf>
    <xf numFmtId="0" fontId="3" fillId="0" borderId="0" xfId="0" applyFont="1" applyFill="1" applyAlignment="1">
      <alignment horizontal="left" indent="2"/>
    </xf>
    <xf numFmtId="38" fontId="3" fillId="0" borderId="0" xfId="0" applyNumberFormat="1" applyFont="1" applyFill="1" applyBorder="1"/>
    <xf numFmtId="0" fontId="3" fillId="0" borderId="0" xfId="0" applyFont="1" applyFill="1" applyAlignment="1">
      <alignment horizontal="left" vertical="top" indent="2"/>
    </xf>
    <xf numFmtId="0" fontId="3" fillId="0" borderId="0" xfId="0" applyFont="1" applyFill="1" applyAlignment="1">
      <alignment horizontal="right" indent="1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horizontal="left" wrapText="1" indent="2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27" fillId="0" borderId="0" xfId="0" applyFont="1" applyFill="1"/>
    <xf numFmtId="0" fontId="3" fillId="0" borderId="0" xfId="0" quotePrefix="1" applyFont="1" applyFill="1" applyAlignment="1">
      <alignment horizontal="right" vertical="top" indent="1"/>
    </xf>
    <xf numFmtId="0" fontId="3" fillId="0" borderId="0" xfId="0" applyFont="1" applyFill="1" applyAlignment="1">
      <alignment wrapText="1"/>
    </xf>
    <xf numFmtId="166" fontId="3" fillId="0" borderId="0" xfId="0" applyNumberFormat="1" applyFont="1" applyFill="1" applyAlignment="1">
      <alignment horizontal="center"/>
    </xf>
    <xf numFmtId="0" fontId="3" fillId="0" borderId="0" xfId="0" quotePrefix="1" applyFont="1" applyFill="1" applyAlignment="1">
      <alignment horizontal="right" inden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37" fontId="10" fillId="0" borderId="0" xfId="0" applyNumberFormat="1" applyFont="1" applyFill="1"/>
    <xf numFmtId="38" fontId="5" fillId="0" borderId="0" xfId="0" applyNumberFormat="1" applyFont="1" applyFill="1" applyAlignment="1">
      <alignment horizontal="left" vertical="top" wrapText="1"/>
    </xf>
    <xf numFmtId="38" fontId="5" fillId="0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37" fontId="3" fillId="0" borderId="0" xfId="0" applyNumberFormat="1" applyFont="1" applyFill="1" applyAlignment="1">
      <alignment horizontal="left"/>
    </xf>
    <xf numFmtId="0" fontId="3" fillId="0" borderId="0" xfId="0" quotePrefix="1" applyFont="1" applyFill="1" applyAlignment="1">
      <alignment horizontal="right"/>
    </xf>
    <xf numFmtId="0" fontId="10" fillId="0" borderId="0" xfId="0" quotePrefix="1" applyFont="1" applyFill="1" applyAlignment="1">
      <alignment horizontal="right" indent="1"/>
    </xf>
    <xf numFmtId="172" fontId="3" fillId="0" borderId="0" xfId="0" applyNumberFormat="1" applyFont="1" applyFill="1"/>
    <xf numFmtId="0" fontId="10" fillId="0" borderId="2" xfId="0" quotePrefix="1" applyFont="1" applyFill="1" applyBorder="1" applyAlignment="1">
      <alignment horizontal="centerContinuous"/>
    </xf>
    <xf numFmtId="37" fontId="10" fillId="0" borderId="3" xfId="0" applyNumberFormat="1" applyFont="1" applyFill="1" applyBorder="1" applyAlignment="1">
      <alignment horizontal="centerContinuous"/>
    </xf>
    <xf numFmtId="37" fontId="10" fillId="0" borderId="4" xfId="0" applyNumberFormat="1" applyFont="1" applyFill="1" applyBorder="1" applyAlignment="1">
      <alignment horizontal="centerContinuous"/>
    </xf>
    <xf numFmtId="0" fontId="3" fillId="0" borderId="2" xfId="0" quotePrefix="1" applyFont="1" applyFill="1" applyBorder="1" applyAlignment="1">
      <alignment horizontal="centerContinuous"/>
    </xf>
    <xf numFmtId="0" fontId="29" fillId="0" borderId="0" xfId="0" applyFont="1" applyFill="1" applyAlignment="1">
      <alignment horizontal="center"/>
    </xf>
    <xf numFmtId="167" fontId="3" fillId="0" borderId="0" xfId="1" applyNumberFormat="1" applyFont="1" applyFill="1"/>
    <xf numFmtId="0" fontId="3" fillId="0" borderId="0" xfId="0" applyFont="1" applyFill="1" applyAlignment="1">
      <alignment horizontal="left" indent="1"/>
    </xf>
    <xf numFmtId="167" fontId="3" fillId="0" borderId="6" xfId="0" applyNumberFormat="1" applyFont="1" applyFill="1" applyBorder="1" applyAlignment="1">
      <alignment horizontal="center"/>
    </xf>
    <xf numFmtId="43" fontId="7" fillId="0" borderId="0" xfId="0" applyNumberFormat="1" applyFont="1" applyFill="1" applyAlignment="1">
      <alignment horizontal="center"/>
    </xf>
    <xf numFmtId="167" fontId="6" fillId="0" borderId="0" xfId="0" applyNumberFormat="1" applyFont="1" applyFill="1"/>
    <xf numFmtId="167" fontId="30" fillId="0" borderId="0" xfId="0" applyNumberFormat="1" applyFont="1" applyFill="1"/>
    <xf numFmtId="167" fontId="12" fillId="0" borderId="0" xfId="0" applyNumberFormat="1" applyFont="1" applyFill="1"/>
    <xf numFmtId="167" fontId="3" fillId="0" borderId="0" xfId="0" applyNumberFormat="1" applyFont="1" applyFill="1"/>
    <xf numFmtId="167" fontId="30" fillId="0" borderId="6" xfId="0" applyNumberFormat="1" applyFont="1" applyFill="1" applyBorder="1" applyAlignment="1">
      <alignment horizontal="center"/>
    </xf>
    <xf numFmtId="10" fontId="3" fillId="0" borderId="0" xfId="3" applyNumberFormat="1" applyFont="1" applyFill="1" applyAlignment="1">
      <alignment horizontal="center"/>
    </xf>
    <xf numFmtId="9" fontId="10" fillId="0" borderId="1" xfId="3" applyFont="1" applyFill="1" applyBorder="1" applyAlignment="1">
      <alignment horizontal="center"/>
    </xf>
    <xf numFmtId="9" fontId="3" fillId="0" borderId="0" xfId="3" applyFont="1" applyFill="1" applyAlignment="1">
      <alignment horizontal="center"/>
    </xf>
    <xf numFmtId="10" fontId="31" fillId="0" borderId="0" xfId="3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173" fontId="3" fillId="0" borderId="0" xfId="3" applyNumberFormat="1" applyFont="1" applyFill="1" applyAlignment="1">
      <alignment horizontal="center"/>
    </xf>
    <xf numFmtId="167" fontId="10" fillId="0" borderId="0" xfId="0" applyNumberFormat="1" applyFont="1" applyFill="1" applyAlignment="1">
      <alignment horizontal="center"/>
    </xf>
    <xf numFmtId="37" fontId="32" fillId="0" borderId="0" xfId="0" quotePrefix="1" applyNumberFormat="1" applyFont="1" applyFill="1" applyAlignment="1">
      <alignment horizontal="center"/>
    </xf>
    <xf numFmtId="37" fontId="32" fillId="0" borderId="0" xfId="0" applyNumberFormat="1" applyFont="1" applyFill="1" applyAlignment="1">
      <alignment horizontal="center"/>
    </xf>
    <xf numFmtId="43" fontId="3" fillId="0" borderId="2" xfId="1" applyFont="1" applyFill="1" applyBorder="1" applyAlignment="1">
      <alignment horizontal="center"/>
    </xf>
    <xf numFmtId="43" fontId="3" fillId="0" borderId="0" xfId="1" applyFont="1" applyFill="1" applyAlignment="1">
      <alignment horizontal="center"/>
    </xf>
    <xf numFmtId="0" fontId="3" fillId="0" borderId="2" xfId="0" applyFont="1" applyFill="1" applyBorder="1"/>
    <xf numFmtId="0" fontId="3" fillId="0" borderId="3" xfId="0" applyFont="1" applyFill="1" applyBorder="1"/>
    <xf numFmtId="44" fontId="3" fillId="0" borderId="0" xfId="2" applyFont="1" applyFill="1"/>
    <xf numFmtId="167" fontId="3" fillId="0" borderId="0" xfId="1" applyNumberFormat="1" applyFont="1" applyFill="1" applyAlignment="1">
      <alignment horizontal="center"/>
    </xf>
    <xf numFmtId="43" fontId="3" fillId="0" borderId="0" xfId="0" applyNumberFormat="1" applyFont="1" applyFill="1" applyAlignment="1">
      <alignment horizontal="center"/>
    </xf>
    <xf numFmtId="0" fontId="33" fillId="0" borderId="2" xfId="0" applyFont="1" applyFill="1" applyBorder="1" applyAlignment="1">
      <alignment horizontal="center" vertical="top"/>
    </xf>
    <xf numFmtId="167" fontId="3" fillId="0" borderId="0" xfId="0" applyNumberFormat="1" applyFont="1" applyFill="1" applyAlignment="1">
      <alignment horizontal="right"/>
    </xf>
    <xf numFmtId="43" fontId="3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>
      <alignment horizontal="right"/>
    </xf>
    <xf numFmtId="167" fontId="3" fillId="0" borderId="2" xfId="1" applyNumberFormat="1" applyFont="1" applyFill="1" applyBorder="1" applyAlignment="1">
      <alignment horizontal="right"/>
    </xf>
    <xf numFmtId="10" fontId="16" fillId="0" borderId="0" xfId="3" applyNumberFormat="1" applyFont="1" applyFill="1" applyAlignment="1">
      <alignment horizontal="center"/>
    </xf>
    <xf numFmtId="43" fontId="3" fillId="0" borderId="0" xfId="0" applyNumberFormat="1" applyFont="1" applyFill="1"/>
    <xf numFmtId="0" fontId="3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173" fontId="3" fillId="0" borderId="0" xfId="3" applyNumberFormat="1" applyFont="1" applyFill="1"/>
    <xf numFmtId="44" fontId="3" fillId="0" borderId="0" xfId="0" applyNumberFormat="1" applyFont="1" applyFill="1"/>
    <xf numFmtId="44" fontId="3" fillId="0" borderId="2" xfId="2" applyNumberFormat="1" applyFont="1" applyFill="1" applyBorder="1"/>
    <xf numFmtId="44" fontId="3" fillId="0" borderId="3" xfId="2" applyNumberFormat="1" applyFont="1" applyFill="1" applyBorder="1"/>
    <xf numFmtId="44" fontId="3" fillId="0" borderId="4" xfId="2" applyNumberFormat="1" applyFont="1" applyFill="1" applyBorder="1"/>
    <xf numFmtId="44" fontId="3" fillId="0" borderId="0" xfId="2" applyNumberFormat="1" applyFont="1" applyFill="1"/>
    <xf numFmtId="44" fontId="3" fillId="0" borderId="0" xfId="2" applyNumberFormat="1" applyFont="1" applyFill="1" applyBorder="1"/>
    <xf numFmtId="44" fontId="10" fillId="0" borderId="0" xfId="0" applyNumberFormat="1" applyFont="1" applyFill="1"/>
    <xf numFmtId="44" fontId="16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left" vertical="center" indent="1"/>
    </xf>
    <xf numFmtId="0" fontId="0" fillId="0" borderId="0" xfId="0" applyFill="1"/>
    <xf numFmtId="167" fontId="0" fillId="0" borderId="0" xfId="0" applyNumberFormat="1" applyFill="1"/>
    <xf numFmtId="0" fontId="3" fillId="0" borderId="10" xfId="0" applyFont="1" applyFill="1" applyBorder="1"/>
    <xf numFmtId="0" fontId="3" fillId="0" borderId="11" xfId="0" applyFont="1" applyFill="1" applyBorder="1"/>
    <xf numFmtId="0" fontId="0" fillId="0" borderId="11" xfId="0" applyFill="1" applyBorder="1"/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right" vertical="top"/>
    </xf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 vertical="top"/>
    </xf>
    <xf numFmtId="174" fontId="0" fillId="0" borderId="0" xfId="3" applyNumberFormat="1" applyFont="1" applyFill="1" applyBorder="1"/>
    <xf numFmtId="0" fontId="3" fillId="0" borderId="0" xfId="0" applyFont="1" applyFill="1" applyBorder="1" applyAlignment="1">
      <alignment horizontal="right"/>
    </xf>
    <xf numFmtId="167" fontId="0" fillId="0" borderId="0" xfId="0" applyNumberFormat="1" applyFill="1" applyBorder="1"/>
    <xf numFmtId="167" fontId="0" fillId="0" borderId="14" xfId="0" applyNumberFormat="1" applyFill="1" applyBorder="1"/>
    <xf numFmtId="0" fontId="7" fillId="0" borderId="13" xfId="0" applyFont="1" applyFill="1" applyBorder="1" applyAlignment="1">
      <alignment horizontal="center"/>
    </xf>
    <xf numFmtId="167" fontId="0" fillId="0" borderId="6" xfId="0" applyNumberFormat="1" applyFill="1" applyBorder="1"/>
    <xf numFmtId="167" fontId="0" fillId="0" borderId="21" xfId="0" applyNumberFormat="1" applyFill="1" applyBorder="1"/>
    <xf numFmtId="0" fontId="7" fillId="0" borderId="18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right"/>
    </xf>
    <xf numFmtId="0" fontId="7" fillId="0" borderId="2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38" fontId="3" fillId="0" borderId="0" xfId="0" applyNumberFormat="1" applyFont="1" applyFill="1"/>
    <xf numFmtId="9" fontId="17" fillId="0" borderId="0" xfId="3" applyFont="1" applyFill="1" applyBorder="1" applyAlignment="1">
      <alignment horizontal="center"/>
    </xf>
    <xf numFmtId="167" fontId="17" fillId="0" borderId="0" xfId="1" applyNumberFormat="1" applyFont="1" applyFill="1" applyBorder="1"/>
    <xf numFmtId="0" fontId="17" fillId="0" borderId="22" xfId="0" applyFont="1" applyFill="1" applyBorder="1"/>
    <xf numFmtId="0" fontId="17" fillId="0" borderId="7" xfId="0" applyFont="1" applyFill="1" applyBorder="1"/>
    <xf numFmtId="0" fontId="0" fillId="0" borderId="7" xfId="0" applyFill="1" applyBorder="1"/>
    <xf numFmtId="0" fontId="3" fillId="0" borderId="23" xfId="0" applyFont="1" applyFill="1" applyBorder="1"/>
    <xf numFmtId="0" fontId="17" fillId="0" borderId="24" xfId="0" applyFont="1" applyFill="1" applyBorder="1"/>
    <xf numFmtId="0" fontId="3" fillId="0" borderId="25" xfId="0" applyFont="1" applyFill="1" applyBorder="1"/>
    <xf numFmtId="0" fontId="3" fillId="0" borderId="24" xfId="0" applyFont="1" applyFill="1" applyBorder="1"/>
    <xf numFmtId="0" fontId="19" fillId="0" borderId="24" xfId="0" applyFont="1" applyFill="1" applyBorder="1" applyAlignment="1">
      <alignment horizontal="right" vertical="top" indent="1"/>
    </xf>
    <xf numFmtId="0" fontId="0" fillId="0" borderId="0" xfId="0" applyFill="1" applyBorder="1" applyAlignment="1">
      <alignment horizontal="left" vertical="top"/>
    </xf>
    <xf numFmtId="37" fontId="0" fillId="0" borderId="0" xfId="0" applyNumberFormat="1" applyFill="1" applyBorder="1" applyAlignment="1">
      <alignment horizontal="right" vertical="top"/>
    </xf>
    <xf numFmtId="37" fontId="0" fillId="0" borderId="6" xfId="0" applyNumberFormat="1" applyFill="1" applyBorder="1" applyAlignment="1">
      <alignment horizontal="right" vertical="top"/>
    </xf>
    <xf numFmtId="37" fontId="3" fillId="0" borderId="6" xfId="0" applyNumberFormat="1" applyFont="1" applyFill="1" applyBorder="1"/>
    <xf numFmtId="0" fontId="3" fillId="0" borderId="26" xfId="0" applyFont="1" applyFill="1" applyBorder="1"/>
    <xf numFmtId="0" fontId="3" fillId="0" borderId="8" xfId="0" applyFont="1" applyFill="1" applyBorder="1"/>
    <xf numFmtId="0" fontId="3" fillId="0" borderId="27" xfId="0" applyFont="1" applyFill="1" applyBorder="1"/>
    <xf numFmtId="43" fontId="37" fillId="0" borderId="0" xfId="1" applyFont="1" applyFill="1" applyBorder="1" applyAlignment="1"/>
    <xf numFmtId="0" fontId="38" fillId="0" borderId="0" xfId="0" applyFont="1" applyFill="1" applyBorder="1" applyAlignment="1">
      <alignment horizontal="left" vertical="top"/>
    </xf>
    <xf numFmtId="167" fontId="38" fillId="0" borderId="0" xfId="0" applyNumberFormat="1" applyFont="1" applyFill="1" applyBorder="1" applyAlignment="1">
      <alignment horizontal="left" vertical="top"/>
    </xf>
    <xf numFmtId="167" fontId="0" fillId="0" borderId="0" xfId="0" applyNumberFormat="1" applyFill="1" applyBorder="1" applyAlignment="1">
      <alignment horizontal="left" vertical="top"/>
    </xf>
    <xf numFmtId="0" fontId="39" fillId="0" borderId="0" xfId="0" applyFont="1" applyFill="1" applyBorder="1" applyAlignment="1">
      <alignment horizontal="center" vertical="top"/>
    </xf>
    <xf numFmtId="0" fontId="40" fillId="0" borderId="0" xfId="0" applyFont="1" applyFill="1" applyAlignment="1">
      <alignment horizontal="center"/>
    </xf>
    <xf numFmtId="0" fontId="0" fillId="0" borderId="28" xfId="0" applyFill="1" applyBorder="1" applyAlignment="1">
      <alignment horizontal="center" vertical="top"/>
    </xf>
    <xf numFmtId="0" fontId="0" fillId="0" borderId="29" xfId="0" applyFill="1" applyBorder="1" applyAlignment="1">
      <alignment horizontal="center" vertical="top"/>
    </xf>
    <xf numFmtId="167" fontId="0" fillId="0" borderId="0" xfId="1" applyNumberFormat="1" applyFont="1" applyFill="1" applyBorder="1" applyAlignment="1">
      <alignment horizontal="left" vertical="top"/>
    </xf>
    <xf numFmtId="167" fontId="10" fillId="0" borderId="29" xfId="1" applyNumberFormat="1" applyFont="1" applyFill="1" applyBorder="1" applyAlignment="1">
      <alignment horizontal="center"/>
    </xf>
    <xf numFmtId="167" fontId="10" fillId="0" borderId="30" xfId="0" applyNumberFormat="1" applyFont="1" applyFill="1" applyBorder="1" applyAlignment="1">
      <alignment horizontal="center"/>
    </xf>
    <xf numFmtId="167" fontId="41" fillId="0" borderId="0" xfId="0" applyNumberFormat="1" applyFont="1" applyFill="1" applyAlignment="1">
      <alignment horizontal="center"/>
    </xf>
    <xf numFmtId="0" fontId="29" fillId="0" borderId="29" xfId="0" applyFont="1" applyFill="1" applyBorder="1" applyAlignment="1">
      <alignment horizontal="center"/>
    </xf>
    <xf numFmtId="0" fontId="0" fillId="0" borderId="31" xfId="0" applyFill="1" applyBorder="1" applyAlignment="1">
      <alignment horizontal="center" vertical="top"/>
    </xf>
    <xf numFmtId="10" fontId="0" fillId="0" borderId="0" xfId="0" applyNumberFormat="1" applyFill="1" applyBorder="1" applyAlignment="1">
      <alignment horizontal="right" vertical="top"/>
    </xf>
    <xf numFmtId="43" fontId="0" fillId="0" borderId="0" xfId="0" applyNumberFormat="1" applyFill="1" applyBorder="1" applyAlignment="1">
      <alignment horizontal="left"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1"/>
  <sheetViews>
    <sheetView tabSelected="1" workbookViewId="0">
      <selection activeCell="B3" sqref="B3"/>
    </sheetView>
  </sheetViews>
  <sheetFormatPr defaultColWidth="8.85546875" defaultRowHeight="12.75" x14ac:dyDescent="0.2"/>
  <cols>
    <col min="1" max="1" width="21.42578125" style="1" customWidth="1"/>
    <col min="2" max="2" width="8.85546875" style="14"/>
    <col min="3" max="3" width="22.7109375" style="1" customWidth="1"/>
    <col min="4" max="5" width="8.85546875" style="1"/>
    <col min="6" max="6" width="4.140625" style="1" customWidth="1"/>
    <col min="7" max="7" width="34.28515625" style="1" customWidth="1"/>
    <col min="8" max="14" width="13.7109375" style="1" customWidth="1"/>
    <col min="15" max="15" width="13.140625" style="1" customWidth="1"/>
    <col min="16" max="16" width="12.7109375" style="1" customWidth="1"/>
    <col min="17" max="17" width="14.140625" style="1" customWidth="1"/>
    <col min="18" max="18" width="16.28515625" style="1" customWidth="1"/>
    <col min="19" max="26" width="12.7109375" style="1" customWidth="1"/>
    <col min="27" max="27" width="10.140625" style="1" customWidth="1"/>
    <col min="28" max="28" width="11.7109375" style="1" customWidth="1"/>
    <col min="29" max="29" width="10.7109375" style="1" customWidth="1"/>
    <col min="30" max="30" width="12.28515625" style="1" customWidth="1"/>
    <col min="31" max="31" width="9.140625" style="1" customWidth="1"/>
    <col min="32" max="32" width="8.85546875" style="1"/>
    <col min="33" max="33" width="10.7109375" style="1" customWidth="1"/>
    <col min="34" max="34" width="8.85546875" style="1"/>
    <col min="35" max="35" width="12.7109375" style="1" customWidth="1"/>
    <col min="36" max="36" width="10.140625" style="1" bestFit="1" customWidth="1"/>
    <col min="37" max="37" width="10.140625" style="1" customWidth="1"/>
    <col min="38" max="38" width="10.28515625" style="1" customWidth="1"/>
    <col min="39" max="40" width="12.7109375" style="1" customWidth="1"/>
    <col min="41" max="41" width="9" style="1" customWidth="1"/>
    <col min="42" max="16384" width="8.85546875" style="1"/>
  </cols>
  <sheetData>
    <row r="1" spans="2:26" ht="15.75" x14ac:dyDescent="0.25">
      <c r="B1" s="1"/>
      <c r="G1" s="1" t="s">
        <v>0</v>
      </c>
      <c r="H1" s="2">
        <v>3.8399999999999997E-2</v>
      </c>
      <c r="I1" s="3">
        <v>43220</v>
      </c>
    </row>
    <row r="2" spans="2:26" ht="15.75" x14ac:dyDescent="0.25">
      <c r="B2" s="1"/>
      <c r="G2" s="4" t="s">
        <v>1</v>
      </c>
      <c r="H2" s="2">
        <v>7.1199999999999999E-2</v>
      </c>
      <c r="I2" s="3">
        <v>43220</v>
      </c>
    </row>
    <row r="3" spans="2:26" ht="15.75" x14ac:dyDescent="0.25">
      <c r="B3" s="1"/>
      <c r="G3" s="4" t="s">
        <v>2</v>
      </c>
      <c r="H3" s="2">
        <v>8.48E-2</v>
      </c>
      <c r="I3" s="3">
        <v>43220</v>
      </c>
    </row>
    <row r="4" spans="2:26" ht="15.75" x14ac:dyDescent="0.25">
      <c r="B4" s="1"/>
      <c r="G4" s="5" t="s">
        <v>3</v>
      </c>
      <c r="H4" s="1">
        <v>20.78</v>
      </c>
      <c r="I4" s="6" t="s">
        <v>4</v>
      </c>
      <c r="L4" s="7" t="str">
        <f>+C5&amp;" GROWTH:"</f>
        <v xml:space="preserve"> GROWTH:</v>
      </c>
      <c r="M4" s="8">
        <v>5.0000000000000001E-3</v>
      </c>
      <c r="N4" s="9"/>
    </row>
    <row r="5" spans="2:26" ht="15.75" x14ac:dyDescent="0.25">
      <c r="B5" s="1"/>
      <c r="G5" s="5" t="s">
        <v>5</v>
      </c>
      <c r="H5" s="1">
        <v>14.48</v>
      </c>
      <c r="I5" s="6" t="s">
        <v>4</v>
      </c>
      <c r="L5" s="7" t="str">
        <f>+C6&amp;" GROWTH:"</f>
        <v xml:space="preserve"> GROWTH:</v>
      </c>
      <c r="M5" s="8">
        <v>1.7999999999999999E-2</v>
      </c>
      <c r="N5" s="10"/>
    </row>
    <row r="6" spans="2:26" x14ac:dyDescent="0.2">
      <c r="B6" s="1"/>
      <c r="G6" s="1" t="s">
        <v>6</v>
      </c>
      <c r="H6" s="1">
        <v>0.7</v>
      </c>
      <c r="I6" s="6" t="s">
        <v>4</v>
      </c>
      <c r="L6" s="7" t="str">
        <f>+C7&amp;" GROWTH:"</f>
        <v xml:space="preserve"> GROWTH:</v>
      </c>
      <c r="M6" s="8">
        <v>0</v>
      </c>
      <c r="N6" s="10"/>
    </row>
    <row r="7" spans="2:26" ht="15.75" x14ac:dyDescent="0.25">
      <c r="B7" s="1"/>
      <c r="G7" s="5" t="s">
        <v>7</v>
      </c>
      <c r="H7" s="11">
        <v>14.6</v>
      </c>
      <c r="N7" s="12"/>
    </row>
    <row r="8" spans="2:26" ht="15.75" x14ac:dyDescent="0.25">
      <c r="B8" s="1"/>
      <c r="G8" s="5" t="s">
        <v>8</v>
      </c>
      <c r="H8" s="11">
        <v>10.1</v>
      </c>
      <c r="N8" s="13"/>
    </row>
    <row r="9" spans="2:26" ht="13.5" x14ac:dyDescent="0.25">
      <c r="C9" s="15" t="s">
        <v>9</v>
      </c>
      <c r="G9" s="1" t="s">
        <v>10</v>
      </c>
      <c r="H9" s="16">
        <f>IF(C10="IOU",M4,IF(C10="MUNI",M5,M6))</f>
        <v>1.7999999999999999E-2</v>
      </c>
    </row>
    <row r="10" spans="2:26" x14ac:dyDescent="0.2">
      <c r="C10" s="17" t="s">
        <v>11</v>
      </c>
      <c r="D10" s="18" t="s">
        <v>12</v>
      </c>
      <c r="G10" s="19"/>
      <c r="H10" s="19"/>
      <c r="I10" s="19"/>
      <c r="J10" s="19"/>
      <c r="K10" s="19"/>
      <c r="L10" s="19"/>
      <c r="M10" s="20" t="s">
        <v>13</v>
      </c>
      <c r="N10" s="19"/>
      <c r="O10" s="19"/>
      <c r="P10" s="19"/>
      <c r="Q10" s="19"/>
      <c r="R10" s="19"/>
      <c r="U10" s="20" t="str">
        <f>+M10</f>
        <v>Income Approach</v>
      </c>
    </row>
    <row r="11" spans="2:26" ht="15" x14ac:dyDescent="0.25">
      <c r="D11" s="21">
        <v>1</v>
      </c>
      <c r="G11" s="19"/>
      <c r="H11" s="19"/>
      <c r="I11" s="19"/>
      <c r="J11" s="19"/>
      <c r="K11" s="19"/>
      <c r="L11" s="19"/>
      <c r="M11" s="14" t="s">
        <v>14</v>
      </c>
      <c r="N11" s="19"/>
      <c r="O11" s="19"/>
      <c r="P11" s="19"/>
      <c r="Q11" s="19"/>
      <c r="R11" s="19"/>
      <c r="U11" s="14" t="str">
        <f t="shared" ref="U11:U14" si="0">+M11</f>
        <v>Township of Mahoning Sewer System Assets</v>
      </c>
    </row>
    <row r="12" spans="2:26" ht="15" x14ac:dyDescent="0.25">
      <c r="D12" s="21">
        <v>1</v>
      </c>
      <c r="G12" s="19"/>
      <c r="H12" s="19"/>
      <c r="I12" s="19"/>
      <c r="J12" s="19"/>
      <c r="K12" s="19"/>
      <c r="L12" s="19"/>
      <c r="M12" s="14" t="str">
        <f>IF($C$10="SUBJECT","Pro Forma Operations",IF($C$10="MUNI","Pro Forma and Estimted Operations With MUNI Ownership","Pro Forma and Estimted Operations With IOU Ownership"))</f>
        <v>Pro Forma and Estimted Operations With MUNI Ownership</v>
      </c>
      <c r="N12" s="19"/>
      <c r="O12" s="19"/>
      <c r="P12" s="19"/>
      <c r="Q12" s="19"/>
      <c r="R12" s="19"/>
      <c r="U12" s="14" t="str">
        <f t="shared" si="0"/>
        <v>Pro Forma and Estimted Operations With MUNI Ownership</v>
      </c>
    </row>
    <row r="13" spans="2:26" ht="15" x14ac:dyDescent="0.25">
      <c r="D13" s="21">
        <f>IF($C$10="SUBJECT",0,1)</f>
        <v>1</v>
      </c>
      <c r="G13" s="19"/>
      <c r="H13" s="19"/>
      <c r="I13" s="19"/>
      <c r="J13" s="19"/>
      <c r="K13" s="19"/>
      <c r="L13" s="19"/>
      <c r="M13" s="14" t="s">
        <v>15</v>
      </c>
      <c r="N13" s="19"/>
      <c r="O13" s="19"/>
      <c r="P13" s="19"/>
      <c r="Q13" s="19"/>
      <c r="R13" s="19"/>
      <c r="U13" s="14" t="str">
        <f t="shared" si="0"/>
        <v>DCF With Capitalization of Terminal Value Model and</v>
      </c>
    </row>
    <row r="14" spans="2:26" ht="15" x14ac:dyDescent="0.25">
      <c r="D14" s="21">
        <v>1</v>
      </c>
      <c r="G14" s="19"/>
      <c r="H14" s="19"/>
      <c r="I14" s="19"/>
      <c r="J14" s="19"/>
      <c r="K14" s="19"/>
      <c r="L14" s="19"/>
      <c r="M14" s="22" t="str">
        <f>IF($C$10="SUBJECT","Earnings Capitalization Model","DCF With EBIT &amp; EBITDA Terminal Value Model")</f>
        <v>DCF With EBIT &amp; EBITDA Terminal Value Model</v>
      </c>
      <c r="N14" s="19"/>
      <c r="O14" s="19"/>
      <c r="P14" s="19"/>
      <c r="Q14" s="19"/>
      <c r="R14" s="19"/>
      <c r="U14" s="22" t="str">
        <f t="shared" si="0"/>
        <v>DCF With EBIT &amp; EBITDA Terminal Value Model</v>
      </c>
    </row>
    <row r="15" spans="2:26" ht="15" x14ac:dyDescent="0.25">
      <c r="D15" s="21">
        <v>1</v>
      </c>
      <c r="F15" s="23"/>
      <c r="G15" s="19"/>
      <c r="H15" s="19"/>
      <c r="I15" s="19"/>
      <c r="J15" s="19"/>
      <c r="K15" s="19"/>
      <c r="L15" s="19"/>
      <c r="M15" s="2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2:26" ht="15.75" thickBot="1" x14ac:dyDescent="0.3">
      <c r="D16" s="21">
        <v>1</v>
      </c>
      <c r="E16" s="25" t="s">
        <v>16</v>
      </c>
      <c r="N16" s="26"/>
      <c r="O16" s="27"/>
      <c r="P16" s="27"/>
      <c r="Q16" s="27"/>
      <c r="R16" s="27"/>
    </row>
    <row r="17" spans="1:35" ht="15.75" thickBot="1" x14ac:dyDescent="0.3">
      <c r="B17" s="18" t="s">
        <v>17</v>
      </c>
      <c r="D17" s="21">
        <v>1</v>
      </c>
      <c r="M17" s="28" t="s">
        <v>18</v>
      </c>
      <c r="N17" s="28" t="s">
        <v>18</v>
      </c>
      <c r="O17" s="28" t="s">
        <v>18</v>
      </c>
      <c r="P17" s="28" t="s">
        <v>18</v>
      </c>
      <c r="Q17" s="28" t="s">
        <v>18</v>
      </c>
      <c r="R17" s="28" t="s">
        <v>18</v>
      </c>
      <c r="S17" s="28" t="s">
        <v>18</v>
      </c>
      <c r="T17" s="28" t="s">
        <v>18</v>
      </c>
      <c r="U17" s="28" t="s">
        <v>18</v>
      </c>
      <c r="V17" s="28" t="s">
        <v>18</v>
      </c>
      <c r="W17" s="28" t="s">
        <v>18</v>
      </c>
      <c r="X17" s="28" t="s">
        <v>18</v>
      </c>
      <c r="Y17" s="28" t="s">
        <v>18</v>
      </c>
      <c r="Z17" s="28" t="s">
        <v>18</v>
      </c>
      <c r="AA17" s="29"/>
      <c r="AB17" s="29"/>
    </row>
    <row r="18" spans="1:35" ht="15.75" thickBot="1" x14ac:dyDescent="0.3">
      <c r="C18" s="30">
        <f>IF(D18=0,F17,IF(ISBLANK(G18),F17,1+F17))</f>
        <v>0</v>
      </c>
      <c r="D18" s="21">
        <v>1</v>
      </c>
      <c r="E18" s="30"/>
      <c r="F18" s="31" t="str">
        <f>IF(ISBLANK(G18),"",C18)</f>
        <v/>
      </c>
      <c r="H18" s="32"/>
      <c r="I18" s="32" t="s">
        <v>19</v>
      </c>
      <c r="J18" s="33"/>
      <c r="K18" s="32" t="s">
        <v>19</v>
      </c>
      <c r="L18" s="34"/>
      <c r="M18" s="35" t="str">
        <f t="shared" ref="M18:Z18" si="1">"Year "&amp;M53+0.5</f>
        <v>Year 0</v>
      </c>
      <c r="N18" s="35" t="str">
        <f t="shared" si="1"/>
        <v>Year 1</v>
      </c>
      <c r="O18" s="35" t="str">
        <f t="shared" si="1"/>
        <v>Year 2</v>
      </c>
      <c r="P18" s="35" t="str">
        <f t="shared" si="1"/>
        <v>Year 3</v>
      </c>
      <c r="Q18" s="35" t="str">
        <f t="shared" si="1"/>
        <v>Year 4</v>
      </c>
      <c r="R18" s="35" t="str">
        <f t="shared" si="1"/>
        <v>Year 5</v>
      </c>
      <c r="S18" s="35" t="str">
        <f t="shared" si="1"/>
        <v>Year 6</v>
      </c>
      <c r="T18" s="35" t="str">
        <f t="shared" si="1"/>
        <v>Year 7</v>
      </c>
      <c r="U18" s="35" t="str">
        <f t="shared" si="1"/>
        <v>Year 8</v>
      </c>
      <c r="V18" s="35" t="str">
        <f t="shared" si="1"/>
        <v>Year 9</v>
      </c>
      <c r="W18" s="35" t="str">
        <f t="shared" si="1"/>
        <v>Year 10</v>
      </c>
      <c r="X18" s="35" t="str">
        <f t="shared" si="1"/>
        <v>Year 11</v>
      </c>
      <c r="Y18" s="35" t="str">
        <f t="shared" si="1"/>
        <v>Year 12</v>
      </c>
      <c r="Z18" s="35" t="str">
        <f t="shared" si="1"/>
        <v>Year 13</v>
      </c>
      <c r="AA18" s="29" t="s">
        <v>20</v>
      </c>
      <c r="AB18" s="29"/>
    </row>
    <row r="19" spans="1:35" ht="15" x14ac:dyDescent="0.25">
      <c r="C19" s="30">
        <f>IF(D19=0,C18,IF(ISBLANK(G19),C18,1+MAX(C$5:C18)))</f>
        <v>0</v>
      </c>
      <c r="D19" s="21">
        <v>1</v>
      </c>
      <c r="E19" s="30"/>
      <c r="F19" s="31" t="str">
        <f t="shared" ref="F19:F76" si="2">IF(ISBLANK(G19),"",C19)</f>
        <v/>
      </c>
      <c r="H19" s="20">
        <v>2013</v>
      </c>
      <c r="I19" s="20">
        <f t="shared" ref="I19:AA19" si="3">+H19+1</f>
        <v>2014</v>
      </c>
      <c r="J19" s="20">
        <f t="shared" si="3"/>
        <v>2015</v>
      </c>
      <c r="K19" s="20">
        <f t="shared" si="3"/>
        <v>2016</v>
      </c>
      <c r="L19" s="20">
        <f t="shared" si="3"/>
        <v>2017</v>
      </c>
      <c r="M19" s="20">
        <f t="shared" si="3"/>
        <v>2018</v>
      </c>
      <c r="N19" s="20">
        <f t="shared" si="3"/>
        <v>2019</v>
      </c>
      <c r="O19" s="20">
        <f t="shared" si="3"/>
        <v>2020</v>
      </c>
      <c r="P19" s="20">
        <f t="shared" si="3"/>
        <v>2021</v>
      </c>
      <c r="Q19" s="20">
        <f t="shared" si="3"/>
        <v>2022</v>
      </c>
      <c r="R19" s="20">
        <f t="shared" si="3"/>
        <v>2023</v>
      </c>
      <c r="S19" s="20">
        <f t="shared" si="3"/>
        <v>2024</v>
      </c>
      <c r="T19" s="20">
        <f t="shared" si="3"/>
        <v>2025</v>
      </c>
      <c r="U19" s="20">
        <f t="shared" si="3"/>
        <v>2026</v>
      </c>
      <c r="V19" s="20">
        <f t="shared" si="3"/>
        <v>2027</v>
      </c>
      <c r="W19" s="20">
        <f t="shared" si="3"/>
        <v>2028</v>
      </c>
      <c r="X19" s="20">
        <f t="shared" si="3"/>
        <v>2029</v>
      </c>
      <c r="Y19" s="20">
        <f t="shared" si="3"/>
        <v>2030</v>
      </c>
      <c r="Z19" s="20">
        <f t="shared" si="3"/>
        <v>2031</v>
      </c>
      <c r="AA19" s="20">
        <f t="shared" si="3"/>
        <v>2032</v>
      </c>
      <c r="AB19" s="29"/>
    </row>
    <row r="20" spans="1:35" ht="15" x14ac:dyDescent="0.25">
      <c r="A20" s="36" t="s">
        <v>21</v>
      </c>
      <c r="B20" s="18">
        <v>1</v>
      </c>
      <c r="C20" s="30">
        <f>IF(D20=0,C19,IF(ISBLANK(G20),C19,1+MAX(C$18:C19)))</f>
        <v>1</v>
      </c>
      <c r="D20" s="21">
        <v>1</v>
      </c>
      <c r="E20" s="30"/>
      <c r="F20" s="31">
        <v>1</v>
      </c>
      <c r="G20" s="36" t="str">
        <f>+A20&amp;" ("&amp;B20&amp;")"</f>
        <v>OPERATING REVENUES (1)</v>
      </c>
      <c r="AB20" s="29"/>
    </row>
    <row r="21" spans="1:35" ht="15" x14ac:dyDescent="0.25">
      <c r="C21" s="30">
        <f>IF(D21=0,C20,IF(ISBLANK(G21),C20,1+MAX(C$18:C20)))</f>
        <v>2</v>
      </c>
      <c r="D21" s="21">
        <v>1</v>
      </c>
      <c r="F21" s="31">
        <f t="shared" si="2"/>
        <v>2</v>
      </c>
      <c r="G21" s="37" t="s">
        <v>22</v>
      </c>
      <c r="H21" s="38">
        <v>0</v>
      </c>
      <c r="I21" s="38">
        <v>0</v>
      </c>
      <c r="J21" s="38">
        <v>0</v>
      </c>
      <c r="K21" s="38">
        <v>1115704</v>
      </c>
      <c r="L21" s="38">
        <f>$K21*(1+(((0*0.1)+(1*0.15))*(3/12)))</f>
        <v>1157542.9000000001</v>
      </c>
      <c r="M21" s="39">
        <f>$K21*(1+(((0*0.1)+(1*0.15))*(12/12)))</f>
        <v>1283059.5999999999</v>
      </c>
      <c r="N21" s="39">
        <f t="shared" ref="N21:O21" si="4">+N365</f>
        <v>1321737</v>
      </c>
      <c r="O21" s="39">
        <f t="shared" si="4"/>
        <v>1360492</v>
      </c>
      <c r="P21" s="39">
        <f>+P365</f>
        <v>1366977</v>
      </c>
      <c r="Q21" s="39">
        <f t="shared" ref="Q21:Z21" si="5">+Q365</f>
        <v>1604203</v>
      </c>
      <c r="R21" s="39">
        <f t="shared" si="5"/>
        <v>1612011</v>
      </c>
      <c r="S21" s="39">
        <f t="shared" si="5"/>
        <v>1620071</v>
      </c>
      <c r="T21" s="39">
        <f t="shared" si="5"/>
        <v>1690042</v>
      </c>
      <c r="U21" s="39">
        <f t="shared" si="5"/>
        <v>1698492</v>
      </c>
      <c r="V21" s="39">
        <f t="shared" si="5"/>
        <v>1706984</v>
      </c>
      <c r="W21" s="39">
        <f t="shared" si="5"/>
        <v>1784140</v>
      </c>
      <c r="X21" s="39">
        <f t="shared" si="5"/>
        <v>1793061</v>
      </c>
      <c r="Y21" s="39">
        <f t="shared" si="5"/>
        <v>1802026</v>
      </c>
      <c r="Z21" s="39">
        <f t="shared" si="5"/>
        <v>1881667</v>
      </c>
      <c r="AA21" s="39">
        <v>0</v>
      </c>
      <c r="AB21" s="29"/>
    </row>
    <row r="22" spans="1:35" ht="15" x14ac:dyDescent="0.25">
      <c r="C22" s="30">
        <f>IF(D22=0,C21,IF(ISBLANK(G22),C21,1+MAX(C$18:C21)))</f>
        <v>3</v>
      </c>
      <c r="D22" s="21">
        <v>1</v>
      </c>
      <c r="F22" s="31">
        <f t="shared" si="2"/>
        <v>3</v>
      </c>
      <c r="G22" s="37" t="s">
        <v>23</v>
      </c>
      <c r="H22" s="38">
        <v>0</v>
      </c>
      <c r="I22" s="38">
        <v>0</v>
      </c>
      <c r="J22" s="38">
        <v>0</v>
      </c>
      <c r="K22" s="38">
        <v>35512</v>
      </c>
      <c r="L22" s="38">
        <f>+K22</f>
        <v>35512</v>
      </c>
      <c r="M22" s="38">
        <f>+L22</f>
        <v>35512</v>
      </c>
      <c r="N22" s="38">
        <f t="shared" ref="N22:Z22" si="6">+M22</f>
        <v>35512</v>
      </c>
      <c r="O22" s="38">
        <f t="shared" si="6"/>
        <v>35512</v>
      </c>
      <c r="P22" s="38">
        <f t="shared" si="6"/>
        <v>35512</v>
      </c>
      <c r="Q22" s="38">
        <f t="shared" si="6"/>
        <v>35512</v>
      </c>
      <c r="R22" s="38">
        <f t="shared" si="6"/>
        <v>35512</v>
      </c>
      <c r="S22" s="38">
        <f t="shared" si="6"/>
        <v>35512</v>
      </c>
      <c r="T22" s="38">
        <f t="shared" si="6"/>
        <v>35512</v>
      </c>
      <c r="U22" s="38">
        <f t="shared" si="6"/>
        <v>35512</v>
      </c>
      <c r="V22" s="38">
        <f t="shared" si="6"/>
        <v>35512</v>
      </c>
      <c r="W22" s="38">
        <f t="shared" si="6"/>
        <v>35512</v>
      </c>
      <c r="X22" s="38">
        <f t="shared" si="6"/>
        <v>35512</v>
      </c>
      <c r="Y22" s="38">
        <f t="shared" si="6"/>
        <v>35512</v>
      </c>
      <c r="Z22" s="38">
        <f t="shared" si="6"/>
        <v>35512</v>
      </c>
      <c r="AA22" s="39"/>
      <c r="AB22" s="29"/>
    </row>
    <row r="23" spans="1:35" ht="15" x14ac:dyDescent="0.25">
      <c r="C23" s="30">
        <f>IF(D23=0,C22,IF(ISBLANK(G23),C22,1+MAX(C$18:C22)))</f>
        <v>4</v>
      </c>
      <c r="D23" s="21">
        <f>IF($C$10="SUBJECT",0,1)</f>
        <v>1</v>
      </c>
      <c r="F23" s="31">
        <f t="shared" si="2"/>
        <v>4</v>
      </c>
      <c r="G23" s="37" t="s">
        <v>24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f t="shared" ref="N23:O23" si="7">+N366</f>
        <v>0</v>
      </c>
      <c r="O23" s="38">
        <f t="shared" si="7"/>
        <v>0</v>
      </c>
      <c r="P23" s="38">
        <f>+P366</f>
        <v>229652</v>
      </c>
      <c r="Q23" s="38">
        <f t="shared" ref="Q23:Z23" si="8">+Q366</f>
        <v>0</v>
      </c>
      <c r="R23" s="38">
        <f t="shared" si="8"/>
        <v>0</v>
      </c>
      <c r="S23" s="38">
        <f t="shared" si="8"/>
        <v>61563</v>
      </c>
      <c r="T23" s="38">
        <f t="shared" si="8"/>
        <v>0</v>
      </c>
      <c r="U23" s="38">
        <f t="shared" si="8"/>
        <v>0</v>
      </c>
      <c r="V23" s="38">
        <f t="shared" si="8"/>
        <v>68279</v>
      </c>
      <c r="W23" s="38">
        <f t="shared" si="8"/>
        <v>0</v>
      </c>
      <c r="X23" s="38">
        <f t="shared" si="8"/>
        <v>0</v>
      </c>
      <c r="Y23" s="38">
        <f t="shared" si="8"/>
        <v>70279</v>
      </c>
      <c r="Z23" s="38">
        <f t="shared" si="8"/>
        <v>0</v>
      </c>
      <c r="AA23" s="38">
        <v>0</v>
      </c>
      <c r="AB23" s="29"/>
    </row>
    <row r="24" spans="1:35" ht="15.75" thickBot="1" x14ac:dyDescent="0.3">
      <c r="C24" s="30">
        <f>IF(D24=0,C23,IF(ISBLANK(G24),C23,1+MAX(C$18:C23)))</f>
        <v>5</v>
      </c>
      <c r="D24" s="21">
        <v>1</v>
      </c>
      <c r="F24" s="31">
        <f t="shared" si="2"/>
        <v>5</v>
      </c>
      <c r="G24" s="40" t="s">
        <v>25</v>
      </c>
      <c r="H24" s="41">
        <f t="shared" ref="H24:Z24" si="9">SUM(H21:H23)</f>
        <v>0</v>
      </c>
      <c r="I24" s="41">
        <f t="shared" si="9"/>
        <v>0</v>
      </c>
      <c r="J24" s="41">
        <f t="shared" si="9"/>
        <v>0</v>
      </c>
      <c r="K24" s="41">
        <f t="shared" si="9"/>
        <v>1151216</v>
      </c>
      <c r="L24" s="41">
        <f t="shared" si="9"/>
        <v>1193054.9000000001</v>
      </c>
      <c r="M24" s="41">
        <f t="shared" si="9"/>
        <v>1318571.5999999999</v>
      </c>
      <c r="N24" s="41">
        <f t="shared" si="9"/>
        <v>1357249</v>
      </c>
      <c r="O24" s="41">
        <f t="shared" si="9"/>
        <v>1396004</v>
      </c>
      <c r="P24" s="41">
        <f t="shared" si="9"/>
        <v>1632141</v>
      </c>
      <c r="Q24" s="41">
        <f t="shared" si="9"/>
        <v>1639715</v>
      </c>
      <c r="R24" s="41">
        <f t="shared" si="9"/>
        <v>1647523</v>
      </c>
      <c r="S24" s="41">
        <f t="shared" si="9"/>
        <v>1717146</v>
      </c>
      <c r="T24" s="41">
        <f t="shared" si="9"/>
        <v>1725554</v>
      </c>
      <c r="U24" s="41">
        <f t="shared" si="9"/>
        <v>1734004</v>
      </c>
      <c r="V24" s="41">
        <f t="shared" si="9"/>
        <v>1810775</v>
      </c>
      <c r="W24" s="41">
        <f t="shared" si="9"/>
        <v>1819652</v>
      </c>
      <c r="X24" s="41">
        <f t="shared" si="9"/>
        <v>1828573</v>
      </c>
      <c r="Y24" s="41">
        <f t="shared" si="9"/>
        <v>1907817</v>
      </c>
      <c r="Z24" s="41">
        <f t="shared" si="9"/>
        <v>1917179</v>
      </c>
      <c r="AA24" s="41">
        <f t="shared" ref="AA24" si="10">SUM(AA21:AA23)</f>
        <v>0</v>
      </c>
      <c r="AB24" s="29"/>
    </row>
    <row r="25" spans="1:35" ht="15.75" thickTop="1" x14ac:dyDescent="0.25">
      <c r="C25" s="30">
        <f>IF(D25=0,C24,IF(ISBLANK(G25),C24,1+MAX(C$18:C24)))</f>
        <v>6</v>
      </c>
      <c r="D25" s="21">
        <v>1</v>
      </c>
      <c r="F25" s="31">
        <f t="shared" si="2"/>
        <v>6</v>
      </c>
      <c r="G25" s="42" t="s">
        <v>26</v>
      </c>
      <c r="H25" s="43"/>
      <c r="I25" s="43"/>
      <c r="J25" s="43"/>
      <c r="K25" s="43"/>
      <c r="L25" s="44"/>
      <c r="M25" s="44"/>
      <c r="N25" s="45" t="str">
        <f t="shared" ref="N25:Z25" si="11">IF(N23&gt;0,+N23/N21,"")</f>
        <v/>
      </c>
      <c r="O25" s="45" t="str">
        <f t="shared" si="11"/>
        <v/>
      </c>
      <c r="P25" s="45">
        <f t="shared" si="11"/>
        <v>0.16799990051039629</v>
      </c>
      <c r="Q25" s="45" t="str">
        <f t="shared" si="11"/>
        <v/>
      </c>
      <c r="R25" s="45" t="str">
        <f t="shared" si="11"/>
        <v/>
      </c>
      <c r="S25" s="45">
        <f t="shared" si="11"/>
        <v>3.8000186411583196E-2</v>
      </c>
      <c r="T25" s="45" t="str">
        <f t="shared" si="11"/>
        <v/>
      </c>
      <c r="U25" s="45" t="str">
        <f t="shared" si="11"/>
        <v/>
      </c>
      <c r="V25" s="45">
        <f t="shared" si="11"/>
        <v>3.9999789101713902E-2</v>
      </c>
      <c r="W25" s="45" t="str">
        <f t="shared" si="11"/>
        <v/>
      </c>
      <c r="X25" s="45" t="str">
        <f t="shared" si="11"/>
        <v/>
      </c>
      <c r="Y25" s="45">
        <f t="shared" si="11"/>
        <v>3.8999992230966701E-2</v>
      </c>
      <c r="Z25" s="45" t="str">
        <f t="shared" si="11"/>
        <v/>
      </c>
      <c r="AA25" s="45"/>
      <c r="AB25" s="29"/>
      <c r="AE25" s="46"/>
      <c r="AF25" s="46"/>
      <c r="AG25" s="46"/>
    </row>
    <row r="26" spans="1:35" ht="15" x14ac:dyDescent="0.25">
      <c r="C26" s="30">
        <f>IF(D26=0,C25,IF(ISBLANK(G26),C25,1+MAX(C$18:C25)))</f>
        <v>6</v>
      </c>
      <c r="D26" s="21">
        <v>1</v>
      </c>
      <c r="F26" s="31" t="str">
        <f t="shared" si="2"/>
        <v/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B26" s="29"/>
      <c r="AE26" s="46"/>
      <c r="AF26" s="46"/>
      <c r="AG26" s="46"/>
    </row>
    <row r="27" spans="1:35" ht="15" x14ac:dyDescent="0.25">
      <c r="A27" s="36" t="s">
        <v>27</v>
      </c>
      <c r="B27" s="14">
        <v>1</v>
      </c>
      <c r="C27" s="30">
        <f>IF(D27=0,C26,IF(ISBLANK(G27),C26,1+MAX(C$18:C26)))</f>
        <v>7</v>
      </c>
      <c r="D27" s="21">
        <v>1</v>
      </c>
      <c r="F27" s="31">
        <f t="shared" si="2"/>
        <v>7</v>
      </c>
      <c r="G27" s="36" t="str">
        <f>+A27&amp;" ("&amp;B27&amp;")"</f>
        <v>OPERATING EXPENSES (1)</v>
      </c>
      <c r="H27" s="38"/>
      <c r="I27" s="38"/>
      <c r="J27" s="38"/>
      <c r="K27" s="38"/>
      <c r="L27" s="39"/>
      <c r="M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29"/>
      <c r="AB27" s="29"/>
      <c r="AC27" s="1" t="s">
        <v>28</v>
      </c>
    </row>
    <row r="28" spans="1:35" ht="15" x14ac:dyDescent="0.25">
      <c r="C28" s="30">
        <f>IF(D28=0,C27,IF(ISBLANK(G28),C27,1+MAX(C$18:C27)))</f>
        <v>8</v>
      </c>
      <c r="D28" s="21">
        <v>1</v>
      </c>
      <c r="F28" s="31">
        <f t="shared" si="2"/>
        <v>8</v>
      </c>
      <c r="G28" s="47" t="s">
        <v>29</v>
      </c>
      <c r="H28" s="38">
        <v>0</v>
      </c>
      <c r="I28" s="38">
        <v>0</v>
      </c>
      <c r="J28" s="38">
        <v>0</v>
      </c>
      <c r="K28" s="39">
        <v>1339822</v>
      </c>
      <c r="L28" s="38">
        <f t="shared" ref="L28:Z28" si="12">+K28*(1+$AC28)</f>
        <v>1366618.44</v>
      </c>
      <c r="M28" s="38">
        <f t="shared" si="12"/>
        <v>1393950.8088</v>
      </c>
      <c r="N28" s="38">
        <f t="shared" si="12"/>
        <v>1421829.824976</v>
      </c>
      <c r="O28" s="38">
        <f t="shared" si="12"/>
        <v>1450266.4214755201</v>
      </c>
      <c r="P28" s="38">
        <f t="shared" si="12"/>
        <v>1479271.7499050305</v>
      </c>
      <c r="Q28" s="38">
        <f t="shared" si="12"/>
        <v>1508857.1849031311</v>
      </c>
      <c r="R28" s="38">
        <f t="shared" si="12"/>
        <v>1539034.3286011938</v>
      </c>
      <c r="S28" s="38">
        <f t="shared" si="12"/>
        <v>1569815.0151732177</v>
      </c>
      <c r="T28" s="38">
        <f t="shared" si="12"/>
        <v>1601211.315476682</v>
      </c>
      <c r="U28" s="38">
        <f t="shared" si="12"/>
        <v>1633235.5417862157</v>
      </c>
      <c r="V28" s="38">
        <f t="shared" si="12"/>
        <v>1665900.2526219401</v>
      </c>
      <c r="W28" s="38">
        <f t="shared" si="12"/>
        <v>1699218.257674379</v>
      </c>
      <c r="X28" s="38">
        <f t="shared" si="12"/>
        <v>1733202.6228278666</v>
      </c>
      <c r="Y28" s="38">
        <f t="shared" si="12"/>
        <v>1767866.6752844239</v>
      </c>
      <c r="Z28" s="38">
        <f t="shared" si="12"/>
        <v>1803224.0087901123</v>
      </c>
      <c r="AA28" s="29"/>
      <c r="AB28" s="29"/>
      <c r="AC28" s="48">
        <v>0.02</v>
      </c>
    </row>
    <row r="29" spans="1:35" ht="15" x14ac:dyDescent="0.25">
      <c r="C29" s="30">
        <f>IF(D29=0,C28,IF(ISBLANK(G29),C28,1+MAX(C$18:C28)))</f>
        <v>9</v>
      </c>
      <c r="D29" s="21">
        <f>IF($C$10="SUBJECT",0,1)</f>
        <v>1</v>
      </c>
      <c r="F29" s="31">
        <f t="shared" si="2"/>
        <v>9</v>
      </c>
      <c r="G29" s="47" t="s">
        <v>30</v>
      </c>
      <c r="H29" s="49"/>
      <c r="I29" s="49"/>
      <c r="J29" s="49"/>
      <c r="K29" s="49"/>
      <c r="L29" s="49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29"/>
      <c r="AB29" s="29"/>
    </row>
    <row r="30" spans="1:35" ht="15" x14ac:dyDescent="0.25">
      <c r="C30" s="30">
        <f>IF(D30=0,C29,IF(ISBLANK(G30),C29,1+MAX(C$18:C29)))</f>
        <v>10</v>
      </c>
      <c r="D30" s="21">
        <f>IF($C$10="SUBJECT",0,1)</f>
        <v>1</v>
      </c>
      <c r="F30" s="31">
        <f t="shared" si="2"/>
        <v>10</v>
      </c>
      <c r="G30" s="50" t="s">
        <v>31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38">
        <f>+M406*(1+$AC30)*AH30*-1</f>
        <v>-17375.901429599999</v>
      </c>
      <c r="O30" s="38">
        <f t="shared" ref="O30:Z32" si="13">+N30*(1+$AC30)</f>
        <v>-17723.419458191998</v>
      </c>
      <c r="P30" s="38">
        <f t="shared" si="13"/>
        <v>-18077.88784735584</v>
      </c>
      <c r="Q30" s="38">
        <f t="shared" si="13"/>
        <v>-18439.445604302957</v>
      </c>
      <c r="R30" s="38">
        <f t="shared" si="13"/>
        <v>-18808.234516389017</v>
      </c>
      <c r="S30" s="38">
        <f t="shared" si="13"/>
        <v>-19184.399206716796</v>
      </c>
      <c r="T30" s="38">
        <f t="shared" si="13"/>
        <v>-19568.087190851133</v>
      </c>
      <c r="U30" s="38">
        <f t="shared" si="13"/>
        <v>-19959.448934668155</v>
      </c>
      <c r="V30" s="38">
        <f t="shared" si="13"/>
        <v>-20358.637913361519</v>
      </c>
      <c r="W30" s="38">
        <f t="shared" si="13"/>
        <v>-20765.810671628751</v>
      </c>
      <c r="X30" s="38">
        <f t="shared" si="13"/>
        <v>-21181.126885061327</v>
      </c>
      <c r="Y30" s="38">
        <f t="shared" si="13"/>
        <v>-21604.749422762554</v>
      </c>
      <c r="Z30" s="38">
        <f t="shared" si="13"/>
        <v>-22036.844411217804</v>
      </c>
      <c r="AA30" s="29"/>
      <c r="AB30" s="29"/>
      <c r="AC30" s="1">
        <f>+AC28</f>
        <v>0.02</v>
      </c>
      <c r="AE30" s="51" t="s">
        <v>32</v>
      </c>
      <c r="AF30" s="52"/>
      <c r="AG30" s="53" t="s">
        <v>33</v>
      </c>
      <c r="AH30" s="54">
        <v>0.15</v>
      </c>
      <c r="AI30" s="55">
        <v>0.15</v>
      </c>
    </row>
    <row r="31" spans="1:35" ht="15" x14ac:dyDescent="0.25">
      <c r="C31" s="30">
        <f>IF(D31=0,C30,IF(ISBLANK(G31),C30,1+MAX(C$18:C30)))</f>
        <v>11</v>
      </c>
      <c r="D31" s="21">
        <f t="shared" ref="D31:D32" si="14">IF($C$10="SUBJECT",0,1)</f>
        <v>1</v>
      </c>
      <c r="F31" s="31">
        <f t="shared" si="2"/>
        <v>11</v>
      </c>
      <c r="G31" s="50" t="s">
        <v>34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38">
        <f>+M407*(1+$AC31)*AH31*-1</f>
        <v>-72607.851359999986</v>
      </c>
      <c r="O31" s="38">
        <f t="shared" si="13"/>
        <v>-74060.008387199981</v>
      </c>
      <c r="P31" s="38">
        <f t="shared" si="13"/>
        <v>-75541.20855494398</v>
      </c>
      <c r="Q31" s="38">
        <f t="shared" si="13"/>
        <v>-77052.03272604286</v>
      </c>
      <c r="R31" s="38">
        <f t="shared" si="13"/>
        <v>-78593.073380563714</v>
      </c>
      <c r="S31" s="38">
        <f t="shared" si="13"/>
        <v>-80164.934848174991</v>
      </c>
      <c r="T31" s="38">
        <f t="shared" si="13"/>
        <v>-81768.233545138486</v>
      </c>
      <c r="U31" s="38">
        <f t="shared" si="13"/>
        <v>-83403.598216041253</v>
      </c>
      <c r="V31" s="38">
        <f t="shared" si="13"/>
        <v>-85071.670180362082</v>
      </c>
      <c r="W31" s="38">
        <f t="shared" si="13"/>
        <v>-86773.103583969321</v>
      </c>
      <c r="X31" s="38">
        <f t="shared" si="13"/>
        <v>-88508.565655648708</v>
      </c>
      <c r="Y31" s="38">
        <f t="shared" si="13"/>
        <v>-90278.736968761688</v>
      </c>
      <c r="Z31" s="38">
        <f t="shared" si="13"/>
        <v>-92084.311708136927</v>
      </c>
      <c r="AA31" s="29"/>
      <c r="AB31" s="29"/>
      <c r="AC31" s="1">
        <f>+AC30</f>
        <v>0.02</v>
      </c>
      <c r="AE31" s="51" t="s">
        <v>35</v>
      </c>
      <c r="AF31" s="52"/>
      <c r="AG31" s="53" t="s">
        <v>36</v>
      </c>
      <c r="AH31" s="54">
        <v>0.5</v>
      </c>
      <c r="AI31" s="55">
        <v>0.5</v>
      </c>
    </row>
    <row r="32" spans="1:35" ht="15" x14ac:dyDescent="0.25">
      <c r="C32" s="30">
        <f>IF(D32=0,C31,IF(ISBLANK(G32),C31,1+MAX(C$18:C31)))</f>
        <v>12</v>
      </c>
      <c r="D32" s="21">
        <f t="shared" si="14"/>
        <v>1</v>
      </c>
      <c r="F32" s="31">
        <f t="shared" si="2"/>
        <v>12</v>
      </c>
      <c r="G32" s="50" t="s">
        <v>37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38">
        <f>+M408*(1+$AC32)*AH32*-1</f>
        <v>-2396.9505096000003</v>
      </c>
      <c r="O32" s="38">
        <f t="shared" si="13"/>
        <v>-2444.8895197920001</v>
      </c>
      <c r="P32" s="38">
        <f t="shared" si="13"/>
        <v>-2493.7873101878399</v>
      </c>
      <c r="Q32" s="38">
        <f t="shared" si="13"/>
        <v>-2543.6630563915969</v>
      </c>
      <c r="R32" s="38">
        <f t="shared" si="13"/>
        <v>-2594.5363175194288</v>
      </c>
      <c r="S32" s="38">
        <f t="shared" si="13"/>
        <v>-2646.4270438698177</v>
      </c>
      <c r="T32" s="38">
        <f t="shared" si="13"/>
        <v>-2699.3555847472139</v>
      </c>
      <c r="U32" s="38">
        <f t="shared" si="13"/>
        <v>-2753.3426964421583</v>
      </c>
      <c r="V32" s="38">
        <f t="shared" si="13"/>
        <v>-2808.4095503710014</v>
      </c>
      <c r="W32" s="38">
        <f t="shared" si="13"/>
        <v>-2864.5777413784213</v>
      </c>
      <c r="X32" s="38">
        <f t="shared" si="13"/>
        <v>-2921.8692962059899</v>
      </c>
      <c r="Y32" s="38">
        <f t="shared" si="13"/>
        <v>-2980.3066821301099</v>
      </c>
      <c r="Z32" s="38">
        <f t="shared" si="13"/>
        <v>-3039.9128157727123</v>
      </c>
      <c r="AA32" s="29"/>
      <c r="AB32" s="29"/>
      <c r="AC32" s="1">
        <f t="shared" ref="AC32" si="15">+AC31</f>
        <v>0.02</v>
      </c>
      <c r="AE32" s="51" t="s">
        <v>38</v>
      </c>
      <c r="AF32" s="52"/>
      <c r="AG32" s="53" t="s">
        <v>39</v>
      </c>
      <c r="AH32" s="54">
        <v>0.1</v>
      </c>
      <c r="AI32" s="55">
        <v>0.1</v>
      </c>
    </row>
    <row r="33" spans="1:28" ht="15" x14ac:dyDescent="0.25">
      <c r="C33" s="30">
        <f>IF(D33=0,C32,IF(ISBLANK(G33),C32,1+MAX(C$18:C32)))</f>
        <v>12</v>
      </c>
      <c r="D33" s="21">
        <f>IF($C$10="IOU",1,0)</f>
        <v>0</v>
      </c>
      <c r="F33" s="31">
        <f t="shared" si="2"/>
        <v>12</v>
      </c>
      <c r="G33" s="50" t="s">
        <v>40</v>
      </c>
      <c r="H33" s="38"/>
      <c r="I33" s="38"/>
      <c r="J33" s="38"/>
      <c r="K33" s="38"/>
      <c r="L33" s="38"/>
      <c r="M33" s="38"/>
      <c r="N33" s="38">
        <f>IF($C$10="IOU",+N373,0)</f>
        <v>0</v>
      </c>
      <c r="O33" s="38">
        <f>IF($C$10="IOU",+O373,0)</f>
        <v>0</v>
      </c>
      <c r="P33" s="38">
        <f>IF($C$10="IOU",+P373,0)</f>
        <v>0</v>
      </c>
      <c r="Q33" s="38">
        <f>IF($C$10="IOU",+Q373,0)</f>
        <v>0</v>
      </c>
      <c r="R33" s="38">
        <f>IF($C$10="IOU",+R373,0)</f>
        <v>0</v>
      </c>
      <c r="S33" s="38">
        <f>IF($C$10="IOU",+S373,0)</f>
        <v>0</v>
      </c>
      <c r="T33" s="38">
        <f>IF($C$10="IOU",+T373,0)</f>
        <v>0</v>
      </c>
      <c r="U33" s="38">
        <f>IF($C$10="IOU",+U373,0)</f>
        <v>0</v>
      </c>
      <c r="V33" s="38">
        <f>IF($C$10="IOU",+V373,0)</f>
        <v>0</v>
      </c>
      <c r="W33" s="38">
        <f>IF($C$10="IOU",+W373,0)</f>
        <v>0</v>
      </c>
      <c r="X33" s="38">
        <f>IF($C$10="IOU",+X373,0)</f>
        <v>0</v>
      </c>
      <c r="Y33" s="38">
        <f>IF($C$10="IOU",+Y373,0)</f>
        <v>0</v>
      </c>
      <c r="Z33" s="38">
        <f>IF($C$10="IOU",+Z373,0)</f>
        <v>0</v>
      </c>
      <c r="AA33" s="29"/>
      <c r="AB33" s="29"/>
    </row>
    <row r="34" spans="1:28" ht="15" x14ac:dyDescent="0.25">
      <c r="C34" s="30">
        <f>IF(D34=0,C33,IF(ISBLANK(G34),C33,1+MAX(C$18:C33)))</f>
        <v>13</v>
      </c>
      <c r="D34" s="21">
        <v>1</v>
      </c>
      <c r="F34" s="31">
        <f t="shared" si="2"/>
        <v>13</v>
      </c>
      <c r="G34" s="56" t="s">
        <v>41</v>
      </c>
      <c r="H34" s="57">
        <f t="shared" ref="H34:Z34" si="16">SUM(H28:H33)</f>
        <v>0</v>
      </c>
      <c r="I34" s="57">
        <f t="shared" si="16"/>
        <v>0</v>
      </c>
      <c r="J34" s="57">
        <f t="shared" si="16"/>
        <v>0</v>
      </c>
      <c r="K34" s="57">
        <f t="shared" si="16"/>
        <v>1339822</v>
      </c>
      <c r="L34" s="57">
        <f t="shared" si="16"/>
        <v>1366618.44</v>
      </c>
      <c r="M34" s="57">
        <f t="shared" si="16"/>
        <v>1393950.8088</v>
      </c>
      <c r="N34" s="57">
        <f t="shared" si="16"/>
        <v>1329449.1216767998</v>
      </c>
      <c r="O34" s="57">
        <f t="shared" si="16"/>
        <v>1356038.1041103359</v>
      </c>
      <c r="P34" s="57">
        <f t="shared" si="16"/>
        <v>1383158.8661925427</v>
      </c>
      <c r="Q34" s="57">
        <f t="shared" si="16"/>
        <v>1410822.0435163938</v>
      </c>
      <c r="R34" s="57">
        <f t="shared" si="16"/>
        <v>1439038.4843867219</v>
      </c>
      <c r="S34" s="57">
        <f t="shared" si="16"/>
        <v>1467819.2540744562</v>
      </c>
      <c r="T34" s="57">
        <f t="shared" si="16"/>
        <v>1497175.6391559453</v>
      </c>
      <c r="U34" s="57">
        <f t="shared" si="16"/>
        <v>1527119.151939064</v>
      </c>
      <c r="V34" s="57">
        <f t="shared" si="16"/>
        <v>1557661.5349778454</v>
      </c>
      <c r="W34" s="57">
        <f t="shared" si="16"/>
        <v>1588814.7656774025</v>
      </c>
      <c r="X34" s="57">
        <f t="shared" si="16"/>
        <v>1620591.0609909506</v>
      </c>
      <c r="Y34" s="57">
        <f t="shared" si="16"/>
        <v>1653002.8822107695</v>
      </c>
      <c r="Z34" s="57">
        <f t="shared" si="16"/>
        <v>1686062.9398549849</v>
      </c>
      <c r="AA34" s="29"/>
      <c r="AB34" s="29"/>
    </row>
    <row r="35" spans="1:28" ht="15" x14ac:dyDescent="0.25">
      <c r="A35" s="37" t="s">
        <v>42</v>
      </c>
      <c r="B35" s="14">
        <f>MAX(B$20:B34)+1</f>
        <v>2</v>
      </c>
      <c r="C35" s="30">
        <f>IF(D35=0,C34,IF(ISBLANK(G35),C34,1+MAX(C$18:C34)))</f>
        <v>14</v>
      </c>
      <c r="D35" s="21">
        <v>1</v>
      </c>
      <c r="F35" s="31">
        <f t="shared" si="2"/>
        <v>14</v>
      </c>
      <c r="G35" s="26" t="str">
        <f>+A35&amp;" ("&amp;B35&amp;")"</f>
        <v>Depreciation (2)</v>
      </c>
      <c r="H35" s="39">
        <f>+H314</f>
        <v>0</v>
      </c>
      <c r="I35" s="39">
        <f t="shared" ref="I35:J35" si="17">+I314</f>
        <v>0</v>
      </c>
      <c r="J35" s="39">
        <f t="shared" si="17"/>
        <v>0</v>
      </c>
      <c r="K35" s="39">
        <f>+K459</f>
        <v>70773</v>
      </c>
      <c r="L35" s="39">
        <f>+L312</f>
        <v>70773</v>
      </c>
      <c r="M35" s="39">
        <f>+M312</f>
        <v>81865.373399999997</v>
      </c>
      <c r="N35" s="39">
        <f>+N312</f>
        <v>82317.717799999999</v>
      </c>
      <c r="O35" s="39">
        <f t="shared" ref="O35:Z35" si="18">+O312</f>
        <v>83417.015000000014</v>
      </c>
      <c r="P35" s="39">
        <f t="shared" si="18"/>
        <v>84526.843999999997</v>
      </c>
      <c r="Q35" s="39">
        <f t="shared" si="18"/>
        <v>85650.380600000004</v>
      </c>
      <c r="R35" s="39">
        <f t="shared" si="18"/>
        <v>86789.7742</v>
      </c>
      <c r="S35" s="39">
        <f t="shared" si="18"/>
        <v>87944.174200000009</v>
      </c>
      <c r="T35" s="39">
        <f t="shared" si="18"/>
        <v>89113.813000000009</v>
      </c>
      <c r="U35" s="39">
        <f t="shared" si="18"/>
        <v>90307.503400000001</v>
      </c>
      <c r="V35" s="39">
        <f t="shared" si="18"/>
        <v>91528.373800000001</v>
      </c>
      <c r="W35" s="39">
        <f t="shared" si="18"/>
        <v>92764.595200000011</v>
      </c>
      <c r="X35" s="39">
        <f t="shared" si="18"/>
        <v>94018.4</v>
      </c>
      <c r="Y35" s="39">
        <f t="shared" si="18"/>
        <v>95289.020599999989</v>
      </c>
      <c r="Z35" s="39">
        <f t="shared" si="18"/>
        <v>96577.6728</v>
      </c>
      <c r="AA35" s="29"/>
      <c r="AB35" s="29"/>
    </row>
    <row r="36" spans="1:28" ht="15.75" thickBot="1" x14ac:dyDescent="0.3">
      <c r="C36" s="30">
        <f>IF(D36=0,C35,IF(ISBLANK(G36),C35,1+MAX(C$18:C35)))</f>
        <v>15</v>
      </c>
      <c r="D36" s="21">
        <v>1</v>
      </c>
      <c r="F36" s="31">
        <f t="shared" si="2"/>
        <v>15</v>
      </c>
      <c r="G36" s="56" t="s">
        <v>43</v>
      </c>
      <c r="H36" s="41">
        <f t="shared" ref="H36:Z36" si="19">+H35+H34</f>
        <v>0</v>
      </c>
      <c r="I36" s="41">
        <f t="shared" si="19"/>
        <v>0</v>
      </c>
      <c r="J36" s="41">
        <f t="shared" si="19"/>
        <v>0</v>
      </c>
      <c r="K36" s="41">
        <f t="shared" si="19"/>
        <v>1410595</v>
      </c>
      <c r="L36" s="41">
        <f t="shared" si="19"/>
        <v>1437391.44</v>
      </c>
      <c r="M36" s="41">
        <f t="shared" si="19"/>
        <v>1475816.1821999999</v>
      </c>
      <c r="N36" s="41">
        <f t="shared" si="19"/>
        <v>1411766.8394767998</v>
      </c>
      <c r="O36" s="41">
        <f t="shared" si="19"/>
        <v>1439455.1191103361</v>
      </c>
      <c r="P36" s="41">
        <f t="shared" si="19"/>
        <v>1467685.7101925428</v>
      </c>
      <c r="Q36" s="41">
        <f t="shared" si="19"/>
        <v>1496472.4241163938</v>
      </c>
      <c r="R36" s="41">
        <f t="shared" si="19"/>
        <v>1525828.258586722</v>
      </c>
      <c r="S36" s="41">
        <f t="shared" si="19"/>
        <v>1555763.4282744562</v>
      </c>
      <c r="T36" s="41">
        <f t="shared" si="19"/>
        <v>1586289.4521559454</v>
      </c>
      <c r="U36" s="41">
        <f t="shared" si="19"/>
        <v>1617426.6553390641</v>
      </c>
      <c r="V36" s="41">
        <f t="shared" si="19"/>
        <v>1649189.9087778453</v>
      </c>
      <c r="W36" s="41">
        <f t="shared" si="19"/>
        <v>1681579.3608774026</v>
      </c>
      <c r="X36" s="41">
        <f t="shared" si="19"/>
        <v>1714609.4609909505</v>
      </c>
      <c r="Y36" s="41">
        <f t="shared" si="19"/>
        <v>1748291.9028107694</v>
      </c>
      <c r="Z36" s="41">
        <f t="shared" si="19"/>
        <v>1782640.6126549849</v>
      </c>
      <c r="AA36" s="29"/>
      <c r="AB36" s="29"/>
    </row>
    <row r="37" spans="1:28" ht="15.75" thickTop="1" x14ac:dyDescent="0.25">
      <c r="C37" s="30">
        <f>IF(D37=0,C36,IF(ISBLANK(G37),C36,1+MAX(C$18:C36)))</f>
        <v>15</v>
      </c>
      <c r="D37" s="21">
        <v>1</v>
      </c>
      <c r="F37" s="31" t="str">
        <f t="shared" si="2"/>
        <v/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29"/>
      <c r="AB37" s="29"/>
    </row>
    <row r="38" spans="1:28" ht="15.75" thickBot="1" x14ac:dyDescent="0.3">
      <c r="C38" s="30">
        <f>IF(D38=0,C37,IF(ISBLANK(G38),C37,1+MAX(C$18:C37)))</f>
        <v>16</v>
      </c>
      <c r="D38" s="21">
        <v>1</v>
      </c>
      <c r="F38" s="31">
        <f t="shared" si="2"/>
        <v>16</v>
      </c>
      <c r="G38" s="40" t="s">
        <v>44</v>
      </c>
      <c r="H38" s="41">
        <f t="shared" ref="H38:Z38" si="20">+H24-H36</f>
        <v>0</v>
      </c>
      <c r="I38" s="41">
        <f t="shared" si="20"/>
        <v>0</v>
      </c>
      <c r="J38" s="41">
        <f t="shared" si="20"/>
        <v>0</v>
      </c>
      <c r="K38" s="41">
        <f t="shared" si="20"/>
        <v>-259379</v>
      </c>
      <c r="L38" s="41">
        <f t="shared" si="20"/>
        <v>-244336.5399999998</v>
      </c>
      <c r="M38" s="41">
        <f t="shared" si="20"/>
        <v>-157244.58220000006</v>
      </c>
      <c r="N38" s="41">
        <f t="shared" si="20"/>
        <v>-54517.839476799825</v>
      </c>
      <c r="O38" s="41">
        <f t="shared" si="20"/>
        <v>-43451.119110336062</v>
      </c>
      <c r="P38" s="41">
        <f t="shared" si="20"/>
        <v>164455.28980745724</v>
      </c>
      <c r="Q38" s="41">
        <f t="shared" si="20"/>
        <v>143242.57588360622</v>
      </c>
      <c r="R38" s="41">
        <f t="shared" si="20"/>
        <v>121694.74141327804</v>
      </c>
      <c r="S38" s="41">
        <f t="shared" si="20"/>
        <v>161382.57172554382</v>
      </c>
      <c r="T38" s="41">
        <f t="shared" si="20"/>
        <v>139264.54784405464</v>
      </c>
      <c r="U38" s="41">
        <f t="shared" si="20"/>
        <v>116577.34466093592</v>
      </c>
      <c r="V38" s="41">
        <f t="shared" si="20"/>
        <v>161585.09122215468</v>
      </c>
      <c r="W38" s="41">
        <f t="shared" si="20"/>
        <v>138072.63912259741</v>
      </c>
      <c r="X38" s="41">
        <f t="shared" si="20"/>
        <v>113963.53900904953</v>
      </c>
      <c r="Y38" s="41">
        <f t="shared" si="20"/>
        <v>159525.09718923061</v>
      </c>
      <c r="Z38" s="41">
        <f t="shared" si="20"/>
        <v>134538.38734501507</v>
      </c>
      <c r="AA38" s="29"/>
      <c r="AB38" s="29"/>
    </row>
    <row r="39" spans="1:28" ht="15.75" thickTop="1" x14ac:dyDescent="0.25">
      <c r="C39" s="30">
        <f>IF(D39=0,C38,IF(ISBLANK(G39),C38,1+MAX(C$18:C38)))</f>
        <v>16</v>
      </c>
      <c r="D39" s="21">
        <v>1</v>
      </c>
      <c r="F39" s="31" t="str">
        <f t="shared" si="2"/>
        <v/>
      </c>
      <c r="H39" s="38"/>
      <c r="I39" s="38"/>
      <c r="J39" s="38"/>
      <c r="K39" s="38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29"/>
    </row>
    <row r="40" spans="1:28" ht="15" x14ac:dyDescent="0.25">
      <c r="A40" s="26" t="s">
        <v>45</v>
      </c>
      <c r="B40" s="14">
        <f>MAX(B$20:B39)+1</f>
        <v>3</v>
      </c>
      <c r="C40" s="30">
        <f>IF(D40=0,C39,IF(ISBLANK(G40),C39,1+MAX(C$18:C39)))</f>
        <v>17</v>
      </c>
      <c r="D40" s="21">
        <v>1</v>
      </c>
      <c r="F40" s="31">
        <f t="shared" si="2"/>
        <v>17</v>
      </c>
      <c r="G40" s="26" t="str">
        <f t="shared" ref="G40:G42" si="21">+A40&amp;" ("&amp;B40&amp;")"</f>
        <v>Revenues (3)</v>
      </c>
      <c r="H40" s="38">
        <f t="shared" ref="H40:Z40" si="22">+H24</f>
        <v>0</v>
      </c>
      <c r="I40" s="38">
        <f t="shared" si="22"/>
        <v>0</v>
      </c>
      <c r="J40" s="38">
        <f t="shared" si="22"/>
        <v>0</v>
      </c>
      <c r="K40" s="38">
        <f t="shared" si="22"/>
        <v>1151216</v>
      </c>
      <c r="L40" s="38">
        <f t="shared" si="22"/>
        <v>1193054.9000000001</v>
      </c>
      <c r="M40" s="38">
        <f t="shared" si="22"/>
        <v>1318571.5999999999</v>
      </c>
      <c r="N40" s="38">
        <f t="shared" si="22"/>
        <v>1357249</v>
      </c>
      <c r="O40" s="38">
        <f t="shared" si="22"/>
        <v>1396004</v>
      </c>
      <c r="P40" s="38">
        <f t="shared" si="22"/>
        <v>1632141</v>
      </c>
      <c r="Q40" s="38">
        <f t="shared" si="22"/>
        <v>1639715</v>
      </c>
      <c r="R40" s="38">
        <f t="shared" si="22"/>
        <v>1647523</v>
      </c>
      <c r="S40" s="38">
        <f t="shared" si="22"/>
        <v>1717146</v>
      </c>
      <c r="T40" s="38">
        <f t="shared" si="22"/>
        <v>1725554</v>
      </c>
      <c r="U40" s="38">
        <f t="shared" si="22"/>
        <v>1734004</v>
      </c>
      <c r="V40" s="38">
        <f t="shared" si="22"/>
        <v>1810775</v>
      </c>
      <c r="W40" s="38">
        <f t="shared" si="22"/>
        <v>1819652</v>
      </c>
      <c r="X40" s="38">
        <f t="shared" si="22"/>
        <v>1828573</v>
      </c>
      <c r="Y40" s="38">
        <f t="shared" si="22"/>
        <v>1907817</v>
      </c>
      <c r="Z40" s="38">
        <f t="shared" si="22"/>
        <v>1917179</v>
      </c>
      <c r="AA40" s="29"/>
      <c r="AB40" s="29"/>
    </row>
    <row r="41" spans="1:28" ht="15" x14ac:dyDescent="0.25">
      <c r="A41" s="26" t="s">
        <v>5</v>
      </c>
      <c r="B41" s="14">
        <f>MAX(B$20:B40)+1</f>
        <v>4</v>
      </c>
      <c r="C41" s="30">
        <f>IF(D41=0,C40,IF(ISBLANK(G41),C40,1+MAX(C$18:C40)))</f>
        <v>18</v>
      </c>
      <c r="D41" s="21">
        <v>1</v>
      </c>
      <c r="F41" s="31">
        <f t="shared" si="2"/>
        <v>18</v>
      </c>
      <c r="G41" s="26" t="str">
        <f t="shared" si="21"/>
        <v>EBITDA (4)</v>
      </c>
      <c r="H41" s="38">
        <f t="shared" ref="H41:Z41" si="23">+H38+H35</f>
        <v>0</v>
      </c>
      <c r="I41" s="38">
        <f t="shared" si="23"/>
        <v>0</v>
      </c>
      <c r="J41" s="38">
        <f t="shared" si="23"/>
        <v>0</v>
      </c>
      <c r="K41" s="38">
        <f t="shared" si="23"/>
        <v>-188606</v>
      </c>
      <c r="L41" s="38">
        <f t="shared" si="23"/>
        <v>-173563.5399999998</v>
      </c>
      <c r="M41" s="38">
        <f t="shared" si="23"/>
        <v>-75379.208800000066</v>
      </c>
      <c r="N41" s="38">
        <f t="shared" si="23"/>
        <v>27799.878323200173</v>
      </c>
      <c r="O41" s="38">
        <f t="shared" si="23"/>
        <v>39965.895889663952</v>
      </c>
      <c r="P41" s="38">
        <f t="shared" si="23"/>
        <v>248982.13380745723</v>
      </c>
      <c r="Q41" s="38">
        <f t="shared" si="23"/>
        <v>228892.95648360622</v>
      </c>
      <c r="R41" s="38">
        <f t="shared" si="23"/>
        <v>208484.51561327802</v>
      </c>
      <c r="S41" s="38">
        <f t="shared" si="23"/>
        <v>249326.74592554383</v>
      </c>
      <c r="T41" s="38">
        <f t="shared" si="23"/>
        <v>228378.36084405467</v>
      </c>
      <c r="U41" s="38">
        <f t="shared" si="23"/>
        <v>206884.84806093591</v>
      </c>
      <c r="V41" s="38">
        <f t="shared" si="23"/>
        <v>253113.46502215468</v>
      </c>
      <c r="W41" s="38">
        <f t="shared" si="23"/>
        <v>230837.23432259742</v>
      </c>
      <c r="X41" s="38">
        <f t="shared" si="23"/>
        <v>207981.93900904953</v>
      </c>
      <c r="Y41" s="38">
        <f t="shared" si="23"/>
        <v>254814.1177892306</v>
      </c>
      <c r="Z41" s="38">
        <f t="shared" si="23"/>
        <v>231116.06014501507</v>
      </c>
      <c r="AA41" s="29"/>
      <c r="AB41" s="29"/>
    </row>
    <row r="42" spans="1:28" ht="15" x14ac:dyDescent="0.25">
      <c r="A42" s="26" t="s">
        <v>3</v>
      </c>
      <c r="B42" s="14">
        <f>MAX(B$20:B41)+1</f>
        <v>5</v>
      </c>
      <c r="C42" s="30">
        <f>IF(D42=0,C41,IF(ISBLANK(G42),C41,1+MAX(C$18:C41)))</f>
        <v>19</v>
      </c>
      <c r="D42" s="21">
        <v>1</v>
      </c>
      <c r="F42" s="31">
        <f t="shared" si="2"/>
        <v>19</v>
      </c>
      <c r="G42" s="26" t="str">
        <f t="shared" si="21"/>
        <v>EBIT (5)</v>
      </c>
      <c r="H42" s="38">
        <f t="shared" ref="H42:Z42" si="24">+H38</f>
        <v>0</v>
      </c>
      <c r="I42" s="38">
        <f t="shared" si="24"/>
        <v>0</v>
      </c>
      <c r="J42" s="38">
        <f t="shared" si="24"/>
        <v>0</v>
      </c>
      <c r="K42" s="38">
        <f t="shared" si="24"/>
        <v>-259379</v>
      </c>
      <c r="L42" s="38">
        <f t="shared" si="24"/>
        <v>-244336.5399999998</v>
      </c>
      <c r="M42" s="38">
        <f t="shared" si="24"/>
        <v>-157244.58220000006</v>
      </c>
      <c r="N42" s="38">
        <f t="shared" si="24"/>
        <v>-54517.839476799825</v>
      </c>
      <c r="O42" s="38">
        <f t="shared" si="24"/>
        <v>-43451.119110336062</v>
      </c>
      <c r="P42" s="38">
        <f t="shared" si="24"/>
        <v>164455.28980745724</v>
      </c>
      <c r="Q42" s="38">
        <f t="shared" si="24"/>
        <v>143242.57588360622</v>
      </c>
      <c r="R42" s="38">
        <f t="shared" si="24"/>
        <v>121694.74141327804</v>
      </c>
      <c r="S42" s="38">
        <f t="shared" si="24"/>
        <v>161382.57172554382</v>
      </c>
      <c r="T42" s="38">
        <f t="shared" si="24"/>
        <v>139264.54784405464</v>
      </c>
      <c r="U42" s="38">
        <f t="shared" si="24"/>
        <v>116577.34466093592</v>
      </c>
      <c r="V42" s="38">
        <f t="shared" si="24"/>
        <v>161585.09122215468</v>
      </c>
      <c r="W42" s="38">
        <f t="shared" si="24"/>
        <v>138072.63912259741</v>
      </c>
      <c r="X42" s="38">
        <f t="shared" si="24"/>
        <v>113963.53900904953</v>
      </c>
      <c r="Y42" s="38">
        <f t="shared" si="24"/>
        <v>159525.09718923061</v>
      </c>
      <c r="Z42" s="38">
        <f t="shared" si="24"/>
        <v>134538.38734501507</v>
      </c>
      <c r="AA42" s="29"/>
      <c r="AB42" s="29"/>
    </row>
    <row r="43" spans="1:28" ht="15" x14ac:dyDescent="0.25">
      <c r="C43" s="30">
        <f>IF(D43=0,C42,IF(ISBLANK(G43),C42,1+MAX(C$18:C42)))</f>
        <v>19</v>
      </c>
      <c r="D43" s="21">
        <v>1</v>
      </c>
      <c r="F43" s="31" t="str">
        <f t="shared" si="2"/>
        <v/>
      </c>
      <c r="G43" s="26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29"/>
    </row>
    <row r="44" spans="1:28" ht="15" x14ac:dyDescent="0.25">
      <c r="C44" s="30">
        <f>IF(D44=0,C43,IF(ISBLANK(G44),C43,1+MAX(C$18:C43)))</f>
        <v>20</v>
      </c>
      <c r="D44" s="21">
        <v>1</v>
      </c>
      <c r="F44" s="31">
        <f t="shared" si="2"/>
        <v>20</v>
      </c>
      <c r="G44" s="59" t="s">
        <v>3</v>
      </c>
      <c r="H44" s="60">
        <f t="shared" ref="H44:Z44" si="25">+H42</f>
        <v>0</v>
      </c>
      <c r="I44" s="60">
        <f t="shared" si="25"/>
        <v>0</v>
      </c>
      <c r="J44" s="60">
        <f t="shared" si="25"/>
        <v>0</v>
      </c>
      <c r="K44" s="60">
        <f t="shared" si="25"/>
        <v>-259379</v>
      </c>
      <c r="L44" s="60">
        <f t="shared" si="25"/>
        <v>-244336.5399999998</v>
      </c>
      <c r="M44" s="60">
        <f t="shared" si="25"/>
        <v>-157244.58220000006</v>
      </c>
      <c r="N44" s="60">
        <f t="shared" si="25"/>
        <v>-54517.839476799825</v>
      </c>
      <c r="O44" s="60">
        <f t="shared" si="25"/>
        <v>-43451.119110336062</v>
      </c>
      <c r="P44" s="60">
        <f t="shared" si="25"/>
        <v>164455.28980745724</v>
      </c>
      <c r="Q44" s="60">
        <f t="shared" si="25"/>
        <v>143242.57588360622</v>
      </c>
      <c r="R44" s="60">
        <f t="shared" si="25"/>
        <v>121694.74141327804</v>
      </c>
      <c r="S44" s="60">
        <f t="shared" si="25"/>
        <v>161382.57172554382</v>
      </c>
      <c r="T44" s="60">
        <f t="shared" si="25"/>
        <v>139264.54784405464</v>
      </c>
      <c r="U44" s="60">
        <f t="shared" si="25"/>
        <v>116577.34466093592</v>
      </c>
      <c r="V44" s="60">
        <f t="shared" si="25"/>
        <v>161585.09122215468</v>
      </c>
      <c r="W44" s="60">
        <f t="shared" si="25"/>
        <v>138072.63912259741</v>
      </c>
      <c r="X44" s="60">
        <f t="shared" si="25"/>
        <v>113963.53900904953</v>
      </c>
      <c r="Y44" s="60">
        <f t="shared" si="25"/>
        <v>159525.09718923061</v>
      </c>
      <c r="Z44" s="60">
        <f t="shared" si="25"/>
        <v>134538.38734501507</v>
      </c>
      <c r="AA44" s="29"/>
    </row>
    <row r="45" spans="1:28" ht="15" x14ac:dyDescent="0.25">
      <c r="C45" s="30">
        <f>IF(D45=0,C44,IF(ISBLANK(G45),C44,1+MAX(C$18:C44)))</f>
        <v>21</v>
      </c>
      <c r="D45" s="21">
        <v>1</v>
      </c>
      <c r="F45" s="31">
        <f t="shared" si="2"/>
        <v>21</v>
      </c>
      <c r="G45" s="60" t="s">
        <v>46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f t="shared" ref="N45:Z45" si="26">IF($C$10="IOU",ROUND(+N44*$AB45,0),0)</f>
        <v>0</v>
      </c>
      <c r="O45" s="61">
        <f t="shared" si="26"/>
        <v>0</v>
      </c>
      <c r="P45" s="61">
        <f t="shared" si="26"/>
        <v>0</v>
      </c>
      <c r="Q45" s="61">
        <f t="shared" si="26"/>
        <v>0</v>
      </c>
      <c r="R45" s="61">
        <f t="shared" si="26"/>
        <v>0</v>
      </c>
      <c r="S45" s="61">
        <f t="shared" si="26"/>
        <v>0</v>
      </c>
      <c r="T45" s="61">
        <f t="shared" si="26"/>
        <v>0</v>
      </c>
      <c r="U45" s="61">
        <f t="shared" si="26"/>
        <v>0</v>
      </c>
      <c r="V45" s="61">
        <f t="shared" si="26"/>
        <v>0</v>
      </c>
      <c r="W45" s="61">
        <f t="shared" si="26"/>
        <v>0</v>
      </c>
      <c r="X45" s="61">
        <f t="shared" si="26"/>
        <v>0</v>
      </c>
      <c r="Y45" s="61">
        <f t="shared" si="26"/>
        <v>0</v>
      </c>
      <c r="Z45" s="61">
        <f t="shared" si="26"/>
        <v>0</v>
      </c>
      <c r="AA45" s="29"/>
      <c r="AB45" s="62">
        <v>0.28889999999999999</v>
      </c>
    </row>
    <row r="46" spans="1:28" ht="15" x14ac:dyDescent="0.25">
      <c r="C46" s="30">
        <f>IF(D46=0,C45,IF(ISBLANK(G46),C45,1+MAX(C$18:C45)))</f>
        <v>21</v>
      </c>
      <c r="D46" s="21">
        <v>1</v>
      </c>
      <c r="F46" s="31" t="str">
        <f t="shared" si="2"/>
        <v/>
      </c>
      <c r="G46" s="60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29"/>
      <c r="AB46" s="29"/>
    </row>
    <row r="47" spans="1:28" ht="15" x14ac:dyDescent="0.25">
      <c r="C47" s="30">
        <f>IF(D47=0,C46,IF(ISBLANK(G47),C46,1+MAX(C$18:C46)))</f>
        <v>22</v>
      </c>
      <c r="D47" s="21">
        <v>1</v>
      </c>
      <c r="F47" s="31">
        <f t="shared" si="2"/>
        <v>22</v>
      </c>
      <c r="G47" s="64" t="s">
        <v>47</v>
      </c>
      <c r="H47" s="60">
        <f t="shared" ref="H47:Z47" si="27">+H44-H45</f>
        <v>0</v>
      </c>
      <c r="I47" s="60">
        <f t="shared" si="27"/>
        <v>0</v>
      </c>
      <c r="J47" s="60">
        <f t="shared" si="27"/>
        <v>0</v>
      </c>
      <c r="K47" s="60">
        <f t="shared" si="27"/>
        <v>-259379</v>
      </c>
      <c r="L47" s="60">
        <f t="shared" si="27"/>
        <v>-244336.5399999998</v>
      </c>
      <c r="M47" s="60">
        <f t="shared" si="27"/>
        <v>-157244.58220000006</v>
      </c>
      <c r="N47" s="60">
        <f t="shared" si="27"/>
        <v>-54517.839476799825</v>
      </c>
      <c r="O47" s="60">
        <f t="shared" si="27"/>
        <v>-43451.119110336062</v>
      </c>
      <c r="P47" s="60">
        <f t="shared" si="27"/>
        <v>164455.28980745724</v>
      </c>
      <c r="Q47" s="60">
        <f t="shared" si="27"/>
        <v>143242.57588360622</v>
      </c>
      <c r="R47" s="60">
        <f t="shared" si="27"/>
        <v>121694.74141327804</v>
      </c>
      <c r="S47" s="60">
        <f t="shared" si="27"/>
        <v>161382.57172554382</v>
      </c>
      <c r="T47" s="60">
        <f t="shared" si="27"/>
        <v>139264.54784405464</v>
      </c>
      <c r="U47" s="60">
        <f t="shared" si="27"/>
        <v>116577.34466093592</v>
      </c>
      <c r="V47" s="60">
        <f t="shared" si="27"/>
        <v>161585.09122215468</v>
      </c>
      <c r="W47" s="60">
        <f t="shared" si="27"/>
        <v>138072.63912259741</v>
      </c>
      <c r="X47" s="60">
        <f t="shared" si="27"/>
        <v>113963.53900904953</v>
      </c>
      <c r="Y47" s="60">
        <f t="shared" si="27"/>
        <v>159525.09718923061</v>
      </c>
      <c r="Z47" s="60">
        <f t="shared" si="27"/>
        <v>134538.38734501507</v>
      </c>
      <c r="AA47" s="29"/>
      <c r="AB47" s="29"/>
    </row>
    <row r="48" spans="1:28" ht="15" x14ac:dyDescent="0.25">
      <c r="C48" s="30">
        <f>IF(D48=0,C47,IF(ISBLANK(G48),C47,1+MAX(C$18:C47)))</f>
        <v>23</v>
      </c>
      <c r="D48" s="21">
        <v>1</v>
      </c>
      <c r="F48" s="31">
        <f t="shared" si="2"/>
        <v>23</v>
      </c>
      <c r="G48" s="60" t="s">
        <v>48</v>
      </c>
      <c r="H48" s="60">
        <f t="shared" ref="H48:Z48" si="28">+H35</f>
        <v>0</v>
      </c>
      <c r="I48" s="60">
        <f t="shared" si="28"/>
        <v>0</v>
      </c>
      <c r="J48" s="60">
        <f t="shared" si="28"/>
        <v>0</v>
      </c>
      <c r="K48" s="60">
        <f t="shared" si="28"/>
        <v>70773</v>
      </c>
      <c r="L48" s="60">
        <f t="shared" si="28"/>
        <v>70773</v>
      </c>
      <c r="M48" s="60">
        <f t="shared" si="28"/>
        <v>81865.373399999997</v>
      </c>
      <c r="N48" s="60">
        <f t="shared" si="28"/>
        <v>82317.717799999999</v>
      </c>
      <c r="O48" s="60">
        <f t="shared" si="28"/>
        <v>83417.015000000014</v>
      </c>
      <c r="P48" s="60">
        <f t="shared" si="28"/>
        <v>84526.843999999997</v>
      </c>
      <c r="Q48" s="60">
        <f t="shared" si="28"/>
        <v>85650.380600000004</v>
      </c>
      <c r="R48" s="60">
        <f t="shared" si="28"/>
        <v>86789.7742</v>
      </c>
      <c r="S48" s="60">
        <f t="shared" si="28"/>
        <v>87944.174200000009</v>
      </c>
      <c r="T48" s="60">
        <f t="shared" si="28"/>
        <v>89113.813000000009</v>
      </c>
      <c r="U48" s="60">
        <f t="shared" si="28"/>
        <v>90307.503400000001</v>
      </c>
      <c r="V48" s="60">
        <f t="shared" si="28"/>
        <v>91528.373800000001</v>
      </c>
      <c r="W48" s="60">
        <f t="shared" si="28"/>
        <v>92764.595200000011</v>
      </c>
      <c r="X48" s="60">
        <f t="shared" si="28"/>
        <v>94018.4</v>
      </c>
      <c r="Y48" s="60">
        <f t="shared" si="28"/>
        <v>95289.020599999989</v>
      </c>
      <c r="Z48" s="60">
        <f t="shared" si="28"/>
        <v>96577.6728</v>
      </c>
      <c r="AA48" s="29"/>
      <c r="AB48" s="29"/>
    </row>
    <row r="49" spans="1:34" ht="15" x14ac:dyDescent="0.25">
      <c r="A49" s="60" t="s">
        <v>49</v>
      </c>
      <c r="B49" s="14">
        <f>MAX(B$20:B48)+1</f>
        <v>6</v>
      </c>
      <c r="C49" s="30">
        <f>IF(D49=0,C48,IF(ISBLANK(G49),C48,1+MAX(C$18:C48)))</f>
        <v>24</v>
      </c>
      <c r="D49" s="21">
        <v>1</v>
      </c>
      <c r="F49" s="31">
        <f t="shared" si="2"/>
        <v>24</v>
      </c>
      <c r="G49" s="26" t="str">
        <f t="shared" ref="G49:G50" si="29">+A49&amp;" ("&amp;B49&amp;")"</f>
        <v>(-)  Capital Expenditures (6)</v>
      </c>
      <c r="H49" s="60">
        <f>+H444</f>
        <v>0</v>
      </c>
      <c r="I49" s="60">
        <f t="shared" ref="I49:K49" si="30">+I444</f>
        <v>0</v>
      </c>
      <c r="J49" s="60">
        <f t="shared" si="30"/>
        <v>0</v>
      </c>
      <c r="K49" s="60">
        <f t="shared" si="30"/>
        <v>65544</v>
      </c>
      <c r="L49" s="60">
        <f>+L304</f>
        <v>0</v>
      </c>
      <c r="M49" s="60">
        <f t="shared" ref="M49:Z49" si="31">+M304</f>
        <v>0</v>
      </c>
      <c r="N49" s="60">
        <f t="shared" si="31"/>
        <v>77772</v>
      </c>
      <c r="O49" s="60">
        <f t="shared" si="31"/>
        <v>78202</v>
      </c>
      <c r="P49" s="60">
        <f t="shared" si="31"/>
        <v>79246</v>
      </c>
      <c r="Q49" s="60">
        <f t="shared" si="31"/>
        <v>80301</v>
      </c>
      <c r="R49" s="60">
        <f t="shared" si="31"/>
        <v>81368</v>
      </c>
      <c r="S49" s="60">
        <f t="shared" si="31"/>
        <v>82450</v>
      </c>
      <c r="T49" s="60">
        <f t="shared" si="31"/>
        <v>83547</v>
      </c>
      <c r="U49" s="60">
        <f t="shared" si="31"/>
        <v>86021</v>
      </c>
      <c r="V49" s="60">
        <f t="shared" si="31"/>
        <v>87183</v>
      </c>
      <c r="W49" s="60">
        <f t="shared" si="31"/>
        <v>88361</v>
      </c>
      <c r="X49" s="60">
        <f t="shared" si="31"/>
        <v>89556</v>
      </c>
      <c r="Y49" s="60">
        <f t="shared" si="31"/>
        <v>90766</v>
      </c>
      <c r="Z49" s="60">
        <f t="shared" si="31"/>
        <v>91993</v>
      </c>
      <c r="AA49" s="29"/>
      <c r="AB49" s="29"/>
      <c r="AC49" s="29"/>
      <c r="AE49" s="29"/>
    </row>
    <row r="50" spans="1:34" ht="15" x14ac:dyDescent="0.25">
      <c r="A50" s="60" t="s">
        <v>50</v>
      </c>
      <c r="B50" s="14">
        <f>MAX(B$20:B49)+1</f>
        <v>7</v>
      </c>
      <c r="C50" s="30">
        <f>IF(D50=0,C49,IF(ISBLANK(G50),C49,1+MAX(C$18:C49)))</f>
        <v>25</v>
      </c>
      <c r="D50" s="21">
        <v>1</v>
      </c>
      <c r="F50" s="31">
        <f t="shared" si="2"/>
        <v>25</v>
      </c>
      <c r="G50" s="26" t="str">
        <f t="shared" si="29"/>
        <v>(-)  Changes in Working Capital (7)</v>
      </c>
      <c r="H50" s="61">
        <f t="shared" ref="H50:J50" si="32">0.0024*H40</f>
        <v>0</v>
      </c>
      <c r="I50" s="61">
        <f t="shared" si="32"/>
        <v>0</v>
      </c>
      <c r="J50" s="61">
        <f t="shared" si="32"/>
        <v>0</v>
      </c>
      <c r="K50" s="61">
        <f>-0.0119*K40</f>
        <v>-13699.4704</v>
      </c>
      <c r="L50" s="61">
        <f t="shared" ref="L50:Z50" si="33">-0.0119*L40</f>
        <v>-14197.353310000002</v>
      </c>
      <c r="M50" s="61">
        <f t="shared" si="33"/>
        <v>-15691.002039999999</v>
      </c>
      <c r="N50" s="61">
        <f t="shared" si="33"/>
        <v>-16151.263100000002</v>
      </c>
      <c r="O50" s="61">
        <f t="shared" si="33"/>
        <v>-16612.4476</v>
      </c>
      <c r="P50" s="61">
        <f t="shared" si="33"/>
        <v>-19422.477900000002</v>
      </c>
      <c r="Q50" s="61">
        <f t="shared" si="33"/>
        <v>-19512.608500000002</v>
      </c>
      <c r="R50" s="61">
        <f t="shared" si="33"/>
        <v>-19605.523700000002</v>
      </c>
      <c r="S50" s="61">
        <f t="shared" si="33"/>
        <v>-20434.037400000001</v>
      </c>
      <c r="T50" s="61">
        <f t="shared" si="33"/>
        <v>-20534.0926</v>
      </c>
      <c r="U50" s="61">
        <f t="shared" si="33"/>
        <v>-20634.6476</v>
      </c>
      <c r="V50" s="61">
        <f t="shared" si="33"/>
        <v>-21548.2225</v>
      </c>
      <c r="W50" s="61">
        <f t="shared" si="33"/>
        <v>-21653.858800000002</v>
      </c>
      <c r="X50" s="61">
        <f t="shared" si="33"/>
        <v>-21760.018700000001</v>
      </c>
      <c r="Y50" s="61">
        <f t="shared" si="33"/>
        <v>-22703.022300000001</v>
      </c>
      <c r="Z50" s="61">
        <f t="shared" si="33"/>
        <v>-22814.430100000001</v>
      </c>
      <c r="AA50" s="29"/>
      <c r="AB50" s="29"/>
      <c r="AC50" s="29"/>
      <c r="AE50" s="29"/>
    </row>
    <row r="51" spans="1:34" ht="15" x14ac:dyDescent="0.25">
      <c r="C51" s="30">
        <f>IF(D51=0,C50,IF(ISBLANK(G51),C50,1+MAX(C$18:C50)))</f>
        <v>25</v>
      </c>
      <c r="D51" s="21">
        <v>1</v>
      </c>
      <c r="F51" s="31" t="str">
        <f t="shared" si="2"/>
        <v/>
      </c>
      <c r="G51" s="60"/>
      <c r="H51" s="65"/>
      <c r="I51" s="65"/>
      <c r="J51" s="65"/>
      <c r="K51" s="65"/>
      <c r="L51" s="65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65"/>
      <c r="AB51" s="65"/>
      <c r="AC51" s="65"/>
      <c r="AD51" s="65"/>
      <c r="AE51" s="65"/>
    </row>
    <row r="52" spans="1:34" ht="15.75" thickBot="1" x14ac:dyDescent="0.3">
      <c r="C52" s="30">
        <f>IF(D52=0,C51,IF(ISBLANK(G52),C51,1+MAX(C$18:C51)))</f>
        <v>26</v>
      </c>
      <c r="D52" s="21">
        <v>1</v>
      </c>
      <c r="F52" s="31">
        <f t="shared" si="2"/>
        <v>26</v>
      </c>
      <c r="G52" s="64" t="s">
        <v>51</v>
      </c>
      <c r="H52" s="66">
        <f>+H47+H48-H49-H50</f>
        <v>0</v>
      </c>
      <c r="I52" s="66">
        <f t="shared" ref="I52:Z52" si="34">+I47+I48-I49-I50</f>
        <v>0</v>
      </c>
      <c r="J52" s="66">
        <f t="shared" si="34"/>
        <v>0</v>
      </c>
      <c r="K52" s="66">
        <f t="shared" si="34"/>
        <v>-240450.52960000001</v>
      </c>
      <c r="L52" s="66">
        <f t="shared" si="34"/>
        <v>-159366.1866899998</v>
      </c>
      <c r="M52" s="66">
        <f t="shared" si="34"/>
        <v>-59688.206760000066</v>
      </c>
      <c r="N52" s="66">
        <f t="shared" si="34"/>
        <v>-33820.858576799823</v>
      </c>
      <c r="O52" s="66">
        <f t="shared" si="34"/>
        <v>-21623.656510336048</v>
      </c>
      <c r="P52" s="66">
        <f t="shared" si="34"/>
        <v>189158.61170745722</v>
      </c>
      <c r="Q52" s="66">
        <f t="shared" si="34"/>
        <v>168104.56498360622</v>
      </c>
      <c r="R52" s="66">
        <f t="shared" si="34"/>
        <v>146722.03931327802</v>
      </c>
      <c r="S52" s="66">
        <f t="shared" si="34"/>
        <v>187310.78332554383</v>
      </c>
      <c r="T52" s="66">
        <f t="shared" si="34"/>
        <v>165365.45344405467</v>
      </c>
      <c r="U52" s="66">
        <f t="shared" si="34"/>
        <v>141498.49566093591</v>
      </c>
      <c r="V52" s="66">
        <f t="shared" si="34"/>
        <v>187478.68752215468</v>
      </c>
      <c r="W52" s="66">
        <f t="shared" si="34"/>
        <v>164130.09312259743</v>
      </c>
      <c r="X52" s="66">
        <f t="shared" si="34"/>
        <v>140185.95770904951</v>
      </c>
      <c r="Y52" s="66">
        <f t="shared" si="34"/>
        <v>186751.14008923061</v>
      </c>
      <c r="Z52" s="66">
        <f t="shared" si="34"/>
        <v>161937.49024501507</v>
      </c>
      <c r="AA52" s="39"/>
      <c r="AB52" s="39">
        <f>+Z52</f>
        <v>161937.49024501507</v>
      </c>
      <c r="AC52" s="39"/>
      <c r="AE52" s="67"/>
    </row>
    <row r="53" spans="1:34" ht="15.75" thickTop="1" x14ac:dyDescent="0.25">
      <c r="C53" s="30">
        <f>IF(D53=0,C52,IF(ISBLANK(G53),C52,1+MAX(C$18:C52)))</f>
        <v>27</v>
      </c>
      <c r="D53" s="21">
        <f>IF($C$10="SUBJECT",0,1)</f>
        <v>1</v>
      </c>
      <c r="F53" s="31">
        <f t="shared" si="2"/>
        <v>27</v>
      </c>
      <c r="G53" s="68" t="s">
        <v>52</v>
      </c>
      <c r="H53" s="69"/>
      <c r="I53" s="70"/>
      <c r="J53" s="70"/>
      <c r="K53" s="70"/>
      <c r="L53" s="70"/>
      <c r="M53" s="71">
        <v>-0.5</v>
      </c>
      <c r="N53" s="72">
        <f t="shared" ref="N53:R53" si="35">+M53+1</f>
        <v>0.5</v>
      </c>
      <c r="O53" s="72">
        <f t="shared" si="35"/>
        <v>1.5</v>
      </c>
      <c r="P53" s="72">
        <f t="shared" si="35"/>
        <v>2.5</v>
      </c>
      <c r="Q53" s="72">
        <f t="shared" si="35"/>
        <v>3.5</v>
      </c>
      <c r="R53" s="72">
        <f t="shared" si="35"/>
        <v>4.5</v>
      </c>
      <c r="S53" s="72">
        <f>+R53+1</f>
        <v>5.5</v>
      </c>
      <c r="T53" s="72">
        <f>+S53+1</f>
        <v>6.5</v>
      </c>
      <c r="U53" s="72">
        <f>+T53+1</f>
        <v>7.5</v>
      </c>
      <c r="V53" s="72">
        <f>+U53+1</f>
        <v>8.5</v>
      </c>
      <c r="W53" s="72">
        <f t="shared" ref="W53:Z53" si="36">+V53+1</f>
        <v>9.5</v>
      </c>
      <c r="X53" s="72">
        <f t="shared" si="36"/>
        <v>10.5</v>
      </c>
      <c r="Y53" s="72">
        <f t="shared" si="36"/>
        <v>11.5</v>
      </c>
      <c r="Z53" s="72">
        <f t="shared" si="36"/>
        <v>12.5</v>
      </c>
      <c r="AA53" s="39"/>
      <c r="AB53" s="39"/>
      <c r="AC53" s="39"/>
    </row>
    <row r="54" spans="1:34" ht="15" x14ac:dyDescent="0.25">
      <c r="B54" s="14">
        <f>MAX(B$20:B53)+1</f>
        <v>8</v>
      </c>
      <c r="C54" s="30">
        <f>IF(D54=0,C53,IF(ISBLANK(G54),C53,1+MAX(C$18:C53)))</f>
        <v>27</v>
      </c>
      <c r="D54" s="21">
        <f t="shared" ref="D54:D68" si="37">IF($C$10="IOU",1,0)</f>
        <v>0</v>
      </c>
      <c r="F54" s="31">
        <f t="shared" si="2"/>
        <v>27</v>
      </c>
      <c r="G54" s="4" t="str">
        <f>+"Present Value Factor:   "&amp;TEXT(AC54,"0.00%")&amp;"  ("&amp;B54&amp;")"</f>
        <v>Present Value Factor:   7.12%  (8)</v>
      </c>
      <c r="J54" s="38"/>
      <c r="K54" s="38"/>
      <c r="L54" s="38"/>
      <c r="M54" s="38"/>
      <c r="N54" s="73">
        <f t="shared" ref="N54:Z54" si="38">ROUND((1/((1+$AC54)^N53)),4)</f>
        <v>0.96619999999999995</v>
      </c>
      <c r="O54" s="73">
        <f t="shared" si="38"/>
        <v>0.90200000000000002</v>
      </c>
      <c r="P54" s="73">
        <f t="shared" si="38"/>
        <v>0.84199999999999997</v>
      </c>
      <c r="Q54" s="73">
        <f t="shared" si="38"/>
        <v>0.78610000000000002</v>
      </c>
      <c r="R54" s="73">
        <f t="shared" si="38"/>
        <v>0.73380000000000001</v>
      </c>
      <c r="S54" s="73">
        <f t="shared" si="38"/>
        <v>0.68500000000000005</v>
      </c>
      <c r="T54" s="73">
        <f t="shared" si="38"/>
        <v>0.63949999999999996</v>
      </c>
      <c r="U54" s="73">
        <f t="shared" si="38"/>
        <v>0.59699999999999998</v>
      </c>
      <c r="V54" s="73">
        <f t="shared" si="38"/>
        <v>0.55730000000000002</v>
      </c>
      <c r="W54" s="73">
        <f t="shared" si="38"/>
        <v>0.52029999999999998</v>
      </c>
      <c r="X54" s="73">
        <f t="shared" si="38"/>
        <v>0.48570000000000002</v>
      </c>
      <c r="Y54" s="73">
        <f t="shared" si="38"/>
        <v>0.45340000000000003</v>
      </c>
      <c r="Z54" s="73">
        <f t="shared" si="38"/>
        <v>0.42330000000000001</v>
      </c>
      <c r="AC54" s="74">
        <f>+H2</f>
        <v>7.1199999999999999E-2</v>
      </c>
      <c r="AD54" s="75" t="s">
        <v>53</v>
      </c>
      <c r="AE54" s="39"/>
      <c r="AF54" s="39"/>
      <c r="AG54" s="39"/>
      <c r="AH54" s="39"/>
    </row>
    <row r="55" spans="1:34" ht="15" x14ac:dyDescent="0.25">
      <c r="C55" s="30">
        <f>IF(D55=0,C54,IF(ISBLANK(G55),C54,1+MAX(C$18:C54)))</f>
        <v>27</v>
      </c>
      <c r="D55" s="21">
        <f t="shared" si="37"/>
        <v>0</v>
      </c>
      <c r="F55" s="31" t="str">
        <f t="shared" si="2"/>
        <v/>
      </c>
      <c r="G55" s="4"/>
      <c r="H55" s="4"/>
      <c r="I55" s="76"/>
      <c r="J55" s="38"/>
      <c r="K55" s="38"/>
      <c r="L55" s="38"/>
      <c r="M55" s="38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B55" s="39"/>
      <c r="AC55" s="39"/>
      <c r="AD55" s="39"/>
      <c r="AE55" s="39"/>
      <c r="AF55" s="39"/>
      <c r="AG55" s="39"/>
      <c r="AH55" s="39"/>
    </row>
    <row r="56" spans="1:34" ht="15.75" thickBot="1" x14ac:dyDescent="0.3">
      <c r="C56" s="30">
        <f>IF(D56=0,C55,IF(ISBLANK(G56),C55,1+MAX(C$18:C55)))</f>
        <v>27</v>
      </c>
      <c r="D56" s="21">
        <f t="shared" si="37"/>
        <v>0</v>
      </c>
      <c r="F56" s="31">
        <f t="shared" si="2"/>
        <v>27</v>
      </c>
      <c r="G56" s="4" t="s">
        <v>54</v>
      </c>
      <c r="H56" s="4"/>
      <c r="I56" s="78"/>
      <c r="J56" s="38"/>
      <c r="K56" s="38"/>
      <c r="L56" s="38"/>
      <c r="M56" s="38"/>
      <c r="N56" s="66">
        <f t="shared" ref="N56:R56" si="39">+N52*N54</f>
        <v>-32677.713556903986</v>
      </c>
      <c r="O56" s="66">
        <f t="shared" si="39"/>
        <v>-19504.538172323115</v>
      </c>
      <c r="P56" s="66">
        <f t="shared" si="39"/>
        <v>159271.55105767897</v>
      </c>
      <c r="Q56" s="66">
        <f t="shared" si="39"/>
        <v>132146.99853361284</v>
      </c>
      <c r="R56" s="66">
        <f t="shared" si="39"/>
        <v>107664.63244808342</v>
      </c>
      <c r="S56" s="66">
        <f>+S52*S54</f>
        <v>128307.88657799753</v>
      </c>
      <c r="T56" s="66">
        <f>+T52*T54</f>
        <v>105751.20747747296</v>
      </c>
      <c r="U56" s="66">
        <f>+U52*U54</f>
        <v>84474.601909578734</v>
      </c>
      <c r="V56" s="66">
        <f>+V52*V54</f>
        <v>104481.8725560968</v>
      </c>
      <c r="W56" s="66">
        <f t="shared" ref="W56:Z56" si="40">+W52*W54</f>
        <v>85396.887451687449</v>
      </c>
      <c r="X56" s="66">
        <f t="shared" si="40"/>
        <v>68088.319659285349</v>
      </c>
      <c r="Y56" s="66">
        <f t="shared" si="40"/>
        <v>84672.966916457168</v>
      </c>
      <c r="Z56" s="66">
        <f t="shared" si="40"/>
        <v>68548.139620714879</v>
      </c>
      <c r="AB56" s="60">
        <f>SUM(M56:Z56)</f>
        <v>1076622.812479439</v>
      </c>
      <c r="AC56" s="39"/>
      <c r="AD56" s="39"/>
      <c r="AE56" s="39"/>
      <c r="AF56" s="39"/>
      <c r="AG56" s="39"/>
      <c r="AH56" s="39"/>
    </row>
    <row r="57" spans="1:34" ht="15.75" thickTop="1" x14ac:dyDescent="0.25">
      <c r="C57" s="30">
        <f>IF(D57=0,C56,IF(ISBLANK(G57),C56,1+MAX(C$18:C56)))</f>
        <v>27</v>
      </c>
      <c r="D57" s="21">
        <f t="shared" si="37"/>
        <v>0</v>
      </c>
      <c r="F57" s="31" t="str">
        <f t="shared" si="2"/>
        <v/>
      </c>
      <c r="I57" s="38"/>
      <c r="J57" s="38"/>
      <c r="K57" s="38"/>
      <c r="L57" s="38"/>
      <c r="M57" s="38"/>
      <c r="N57" s="79">
        <f t="shared" ref="N57:R57" si="41">+N53</f>
        <v>0.5</v>
      </c>
      <c r="O57" s="79">
        <f t="shared" si="41"/>
        <v>1.5</v>
      </c>
      <c r="P57" s="79">
        <f t="shared" si="41"/>
        <v>2.5</v>
      </c>
      <c r="Q57" s="79">
        <f t="shared" si="41"/>
        <v>3.5</v>
      </c>
      <c r="R57" s="79">
        <f t="shared" si="41"/>
        <v>4.5</v>
      </c>
      <c r="S57" s="79">
        <f>+S53</f>
        <v>5.5</v>
      </c>
      <c r="T57" s="79">
        <f>+T53</f>
        <v>6.5</v>
      </c>
      <c r="U57" s="79">
        <f>+U53</f>
        <v>7.5</v>
      </c>
      <c r="V57" s="79">
        <f>+V53</f>
        <v>8.5</v>
      </c>
      <c r="W57" s="79">
        <f t="shared" ref="W57:Z57" si="42">+W53</f>
        <v>9.5</v>
      </c>
      <c r="X57" s="79">
        <f t="shared" si="42"/>
        <v>10.5</v>
      </c>
      <c r="Y57" s="79">
        <f t="shared" si="42"/>
        <v>11.5</v>
      </c>
      <c r="Z57" s="79">
        <f t="shared" si="42"/>
        <v>12.5</v>
      </c>
      <c r="AB57" s="39"/>
      <c r="AC57" s="39"/>
      <c r="AD57" s="39"/>
      <c r="AE57" s="39"/>
      <c r="AF57" s="39"/>
      <c r="AG57" s="39"/>
      <c r="AH57" s="39"/>
    </row>
    <row r="58" spans="1:34" ht="15" x14ac:dyDescent="0.25">
      <c r="B58" s="14">
        <f>MAX(B$20:B57)+1</f>
        <v>9</v>
      </c>
      <c r="C58" s="30">
        <f>IF(D58=0,C57,IF(ISBLANK(G58),C57,1+MAX(C$18:C57)))</f>
        <v>27</v>
      </c>
      <c r="D58" s="21">
        <f t="shared" si="37"/>
        <v>0</v>
      </c>
      <c r="F58" s="31">
        <f t="shared" si="2"/>
        <v>27</v>
      </c>
      <c r="G58" s="4" t="str">
        <f>+"Present Value Factor:   "&amp;TEXT(AC58,"0.00%")&amp;"  ("&amp;B58&amp;")"</f>
        <v>Present Value Factor:   8.48%  (9)</v>
      </c>
      <c r="J58" s="38"/>
      <c r="K58" s="38"/>
      <c r="L58" s="38"/>
      <c r="M58" s="38"/>
      <c r="N58" s="73">
        <f t="shared" ref="N58:Z58" si="43">ROUND((1/((1+$AC58)^N57)),4)</f>
        <v>0.96009999999999995</v>
      </c>
      <c r="O58" s="73">
        <f t="shared" si="43"/>
        <v>0.8851</v>
      </c>
      <c r="P58" s="73">
        <f t="shared" si="43"/>
        <v>0.81589999999999996</v>
      </c>
      <c r="Q58" s="73">
        <f t="shared" si="43"/>
        <v>0.75209999999999999</v>
      </c>
      <c r="R58" s="73">
        <f t="shared" si="43"/>
        <v>0.69330000000000003</v>
      </c>
      <c r="S58" s="73">
        <f t="shared" si="43"/>
        <v>0.6391</v>
      </c>
      <c r="T58" s="73">
        <f t="shared" si="43"/>
        <v>0.58919999999999995</v>
      </c>
      <c r="U58" s="73">
        <f t="shared" si="43"/>
        <v>0.54310000000000003</v>
      </c>
      <c r="V58" s="73">
        <f t="shared" si="43"/>
        <v>0.50060000000000004</v>
      </c>
      <c r="W58" s="73">
        <f t="shared" si="43"/>
        <v>0.46150000000000002</v>
      </c>
      <c r="X58" s="73">
        <f t="shared" si="43"/>
        <v>0.4254</v>
      </c>
      <c r="Y58" s="73">
        <f t="shared" si="43"/>
        <v>0.39219999999999999</v>
      </c>
      <c r="Z58" s="73">
        <f t="shared" si="43"/>
        <v>0.36149999999999999</v>
      </c>
      <c r="AB58" s="39"/>
      <c r="AC58" s="74">
        <f>+H3</f>
        <v>8.48E-2</v>
      </c>
      <c r="AD58" s="75" t="s">
        <v>55</v>
      </c>
      <c r="AE58" s="39"/>
      <c r="AF58" s="39"/>
      <c r="AG58" s="39"/>
      <c r="AH58" s="39"/>
    </row>
    <row r="59" spans="1:34" ht="15" x14ac:dyDescent="0.25">
      <c r="C59" s="30">
        <f>IF(D59=0,C58,IF(ISBLANK(G59),C58,1+MAX(C$18:C58)))</f>
        <v>27</v>
      </c>
      <c r="D59" s="21">
        <f t="shared" si="37"/>
        <v>0</v>
      </c>
      <c r="F59" s="31" t="str">
        <f t="shared" si="2"/>
        <v/>
      </c>
      <c r="G59" s="4"/>
      <c r="H59" s="4"/>
      <c r="I59" s="76"/>
      <c r="J59" s="38"/>
      <c r="K59" s="38"/>
      <c r="L59" s="38"/>
      <c r="M59" s="38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B59" s="39"/>
      <c r="AC59" s="39"/>
      <c r="AD59" s="39"/>
      <c r="AE59" s="39"/>
      <c r="AF59" s="39"/>
      <c r="AG59" s="39"/>
      <c r="AH59" s="39"/>
    </row>
    <row r="60" spans="1:34" ht="15.75" thickBot="1" x14ac:dyDescent="0.3">
      <c r="C60" s="30">
        <f>IF(D60=0,C59,IF(ISBLANK(G60),C59,1+MAX(C$18:C59)))</f>
        <v>27</v>
      </c>
      <c r="D60" s="21">
        <f t="shared" si="37"/>
        <v>0</v>
      </c>
      <c r="F60" s="31">
        <f t="shared" si="2"/>
        <v>27</v>
      </c>
      <c r="G60" s="4" t="s">
        <v>54</v>
      </c>
      <c r="H60" s="4"/>
      <c r="I60" s="78"/>
      <c r="J60" s="38"/>
      <c r="K60" s="38"/>
      <c r="L60" s="38"/>
      <c r="M60" s="38"/>
      <c r="N60" s="66">
        <f t="shared" ref="N60:Z60" si="44">+N52*N58</f>
        <v>-32471.406319585509</v>
      </c>
      <c r="O60" s="66">
        <f t="shared" si="44"/>
        <v>-19139.098377298436</v>
      </c>
      <c r="P60" s="66">
        <f t="shared" si="44"/>
        <v>154334.51129211433</v>
      </c>
      <c r="Q60" s="66">
        <f t="shared" si="44"/>
        <v>126431.44332417024</v>
      </c>
      <c r="R60" s="66">
        <f t="shared" si="44"/>
        <v>101722.38985589566</v>
      </c>
      <c r="S60" s="66">
        <f t="shared" si="44"/>
        <v>119710.32162335506</v>
      </c>
      <c r="T60" s="66">
        <f t="shared" si="44"/>
        <v>97433.325169236996</v>
      </c>
      <c r="U60" s="66">
        <f t="shared" si="44"/>
        <v>76847.8329934543</v>
      </c>
      <c r="V60" s="66">
        <f t="shared" si="44"/>
        <v>93851.830973590637</v>
      </c>
      <c r="W60" s="66">
        <f t="shared" si="44"/>
        <v>75746.037976078718</v>
      </c>
      <c r="X60" s="66">
        <f t="shared" si="44"/>
        <v>59635.106409429667</v>
      </c>
      <c r="Y60" s="66">
        <f t="shared" si="44"/>
        <v>73243.797142996249</v>
      </c>
      <c r="Z60" s="66">
        <f t="shared" si="44"/>
        <v>58540.402723572945</v>
      </c>
      <c r="AB60" s="60">
        <f>SUM(M60:Z60)</f>
        <v>985886.49478701071</v>
      </c>
      <c r="AC60" s="39"/>
      <c r="AD60" s="39"/>
      <c r="AE60" s="39"/>
      <c r="AF60" s="39"/>
      <c r="AG60" s="39"/>
      <c r="AH60" s="39"/>
    </row>
    <row r="61" spans="1:34" ht="15.75" thickTop="1" x14ac:dyDescent="0.25">
      <c r="C61" s="30">
        <f>IF(D61=0,C60,IF(ISBLANK(G61),C60,1+MAX(C$18:C60)))</f>
        <v>27</v>
      </c>
      <c r="D61" s="21">
        <f t="shared" si="37"/>
        <v>0</v>
      </c>
      <c r="F61" s="31" t="str">
        <f t="shared" si="2"/>
        <v/>
      </c>
      <c r="I61" s="38"/>
      <c r="J61" s="38"/>
      <c r="K61" s="38"/>
      <c r="L61" s="38"/>
      <c r="M61" s="38"/>
      <c r="N61" s="80">
        <f t="shared" ref="N61:Z61" si="45">+N57</f>
        <v>0.5</v>
      </c>
      <c r="O61" s="80">
        <f t="shared" si="45"/>
        <v>1.5</v>
      </c>
      <c r="P61" s="80">
        <f t="shared" si="45"/>
        <v>2.5</v>
      </c>
      <c r="Q61" s="80">
        <f t="shared" si="45"/>
        <v>3.5</v>
      </c>
      <c r="R61" s="80">
        <f t="shared" si="45"/>
        <v>4.5</v>
      </c>
      <c r="S61" s="80">
        <f t="shared" si="45"/>
        <v>5.5</v>
      </c>
      <c r="T61" s="80">
        <f t="shared" si="45"/>
        <v>6.5</v>
      </c>
      <c r="U61" s="80">
        <f t="shared" si="45"/>
        <v>7.5</v>
      </c>
      <c r="V61" s="80">
        <f t="shared" si="45"/>
        <v>8.5</v>
      </c>
      <c r="W61" s="80">
        <f t="shared" si="45"/>
        <v>9.5</v>
      </c>
      <c r="X61" s="80">
        <f t="shared" si="45"/>
        <v>10.5</v>
      </c>
      <c r="Y61" s="80">
        <f t="shared" si="45"/>
        <v>11.5</v>
      </c>
      <c r="Z61" s="80">
        <f t="shared" si="45"/>
        <v>12.5</v>
      </c>
      <c r="AB61" s="39"/>
      <c r="AC61" s="39"/>
      <c r="AD61" s="39"/>
      <c r="AE61" s="39"/>
      <c r="AF61" s="39"/>
      <c r="AG61" s="39"/>
      <c r="AH61" s="39"/>
    </row>
    <row r="62" spans="1:34" ht="15" x14ac:dyDescent="0.25">
      <c r="B62" s="14">
        <f>+B$54</f>
        <v>8</v>
      </c>
      <c r="C62" s="30">
        <f>IF(D62=0,C61,IF(ISBLANK(G62),C61,1+MAX(C$18:C61)))</f>
        <v>27</v>
      </c>
      <c r="D62" s="21">
        <f t="shared" si="37"/>
        <v>0</v>
      </c>
      <c r="F62" s="31">
        <f t="shared" si="2"/>
        <v>27</v>
      </c>
      <c r="G62" s="4" t="str">
        <f>+"Present Value Factor:   "&amp;TEXT(AC62,"0.00%")&amp;"  ("&amp;B62&amp;")"</f>
        <v>Present Value Factor:   5.32%  (8)</v>
      </c>
      <c r="J62" s="38"/>
      <c r="K62" s="38"/>
      <c r="L62" s="38"/>
      <c r="M62" s="38"/>
      <c r="N62" s="73">
        <f t="shared" ref="N62:Z62" si="46">ROUND((1/((1+$AC62)^N61)),4)</f>
        <v>0.97440000000000004</v>
      </c>
      <c r="O62" s="73">
        <f t="shared" si="46"/>
        <v>0.92520000000000002</v>
      </c>
      <c r="P62" s="73">
        <f t="shared" si="46"/>
        <v>0.87849999999999995</v>
      </c>
      <c r="Q62" s="73">
        <f t="shared" si="46"/>
        <v>0.83409999999999995</v>
      </c>
      <c r="R62" s="73">
        <f t="shared" si="46"/>
        <v>0.79200000000000004</v>
      </c>
      <c r="S62" s="73">
        <f t="shared" si="46"/>
        <v>0.752</v>
      </c>
      <c r="T62" s="73">
        <f t="shared" si="46"/>
        <v>0.71399999999999997</v>
      </c>
      <c r="U62" s="73">
        <f t="shared" si="46"/>
        <v>0.67789999999999995</v>
      </c>
      <c r="V62" s="73">
        <f t="shared" si="46"/>
        <v>0.64370000000000005</v>
      </c>
      <c r="W62" s="73">
        <f t="shared" si="46"/>
        <v>0.61109999999999998</v>
      </c>
      <c r="X62" s="73">
        <f t="shared" si="46"/>
        <v>0.58030000000000004</v>
      </c>
      <c r="Y62" s="73">
        <f t="shared" si="46"/>
        <v>0.55100000000000005</v>
      </c>
      <c r="Z62" s="73">
        <f t="shared" si="46"/>
        <v>0.52310000000000001</v>
      </c>
      <c r="AC62" s="74">
        <f>+AC54-H9</f>
        <v>5.3199999999999997E-2</v>
      </c>
      <c r="AD62" s="75" t="s">
        <v>53</v>
      </c>
      <c r="AE62" s="39"/>
      <c r="AF62" s="39"/>
      <c r="AG62" s="39"/>
      <c r="AH62" s="39"/>
    </row>
    <row r="63" spans="1:34" ht="15" x14ac:dyDescent="0.25">
      <c r="C63" s="30">
        <f>IF(D63=0,C62,IF(ISBLANK(G63),C62,1+MAX(C$18:C62)))</f>
        <v>27</v>
      </c>
      <c r="D63" s="21">
        <f t="shared" si="37"/>
        <v>0</v>
      </c>
      <c r="F63" s="31" t="str">
        <f t="shared" si="2"/>
        <v/>
      </c>
      <c r="G63" s="4"/>
      <c r="H63" s="4"/>
      <c r="I63" s="76"/>
      <c r="J63" s="38"/>
      <c r="K63" s="38"/>
      <c r="L63" s="38"/>
      <c r="M63" s="38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39"/>
      <c r="AC63" s="39"/>
      <c r="AD63" s="39"/>
      <c r="AE63" s="39"/>
      <c r="AF63" s="39"/>
      <c r="AG63" s="39"/>
      <c r="AH63" s="39"/>
    </row>
    <row r="64" spans="1:34" ht="15.75" thickBot="1" x14ac:dyDescent="0.3">
      <c r="C64" s="30">
        <f>IF(D64=0,C63,IF(ISBLANK(G64),C63,1+MAX(C$18:C63)))</f>
        <v>27</v>
      </c>
      <c r="D64" s="21">
        <f t="shared" si="37"/>
        <v>0</v>
      </c>
      <c r="F64" s="31">
        <f t="shared" si="2"/>
        <v>27</v>
      </c>
      <c r="G64" s="4" t="s">
        <v>54</v>
      </c>
      <c r="H64" s="4"/>
      <c r="I64" s="78"/>
      <c r="J64" s="38"/>
      <c r="K64" s="38"/>
      <c r="L64" s="38"/>
      <c r="M64" s="38"/>
      <c r="N64" s="66">
        <f t="shared" ref="N64:Z64" si="47">+N$52*N62</f>
        <v>-32955.044597233747</v>
      </c>
      <c r="O64" s="66">
        <f t="shared" si="47"/>
        <v>-20006.207003362913</v>
      </c>
      <c r="P64" s="66">
        <f t="shared" si="47"/>
        <v>166175.84038500115</v>
      </c>
      <c r="Q64" s="66">
        <f t="shared" si="47"/>
        <v>140216.01765282595</v>
      </c>
      <c r="R64" s="66">
        <f t="shared" si="47"/>
        <v>116203.8551361162</v>
      </c>
      <c r="S64" s="66">
        <f t="shared" si="47"/>
        <v>140857.70906080896</v>
      </c>
      <c r="T64" s="66">
        <f t="shared" si="47"/>
        <v>118070.93375905503</v>
      </c>
      <c r="U64" s="66">
        <f t="shared" si="47"/>
        <v>95921.830208548447</v>
      </c>
      <c r="V64" s="66">
        <f t="shared" si="47"/>
        <v>120680.03115801097</v>
      </c>
      <c r="W64" s="66">
        <f t="shared" si="47"/>
        <v>100299.89990721928</v>
      </c>
      <c r="X64" s="66">
        <f t="shared" si="47"/>
        <v>81349.911258561435</v>
      </c>
      <c r="Y64" s="66">
        <f t="shared" si="47"/>
        <v>102899.87818916608</v>
      </c>
      <c r="Z64" s="66">
        <f t="shared" si="47"/>
        <v>84709.501147167379</v>
      </c>
      <c r="AB64" s="60">
        <f>SUM(M64:Z64)</f>
        <v>1214424.1562618841</v>
      </c>
      <c r="AC64" s="39"/>
      <c r="AD64" s="39"/>
      <c r="AE64" s="39"/>
      <c r="AF64" s="39"/>
      <c r="AG64" s="39"/>
      <c r="AH64" s="39"/>
    </row>
    <row r="65" spans="1:34" ht="15.75" thickTop="1" x14ac:dyDescent="0.25">
      <c r="C65" s="30">
        <f>IF(D65=0,C64,IF(ISBLANK(G65),C64,1+MAX(C$18:C64)))</f>
        <v>27</v>
      </c>
      <c r="D65" s="21">
        <f t="shared" si="37"/>
        <v>0</v>
      </c>
      <c r="F65" s="31" t="str">
        <f t="shared" si="2"/>
        <v/>
      </c>
      <c r="I65" s="38"/>
      <c r="J65" s="38"/>
      <c r="K65" s="38"/>
      <c r="L65" s="38"/>
      <c r="M65" s="38"/>
      <c r="N65" s="80">
        <f t="shared" ref="N65:Z65" si="48">+N61</f>
        <v>0.5</v>
      </c>
      <c r="O65" s="80">
        <f t="shared" si="48"/>
        <v>1.5</v>
      </c>
      <c r="P65" s="80">
        <f t="shared" si="48"/>
        <v>2.5</v>
      </c>
      <c r="Q65" s="80">
        <f t="shared" si="48"/>
        <v>3.5</v>
      </c>
      <c r="R65" s="80">
        <f t="shared" si="48"/>
        <v>4.5</v>
      </c>
      <c r="S65" s="80">
        <f t="shared" si="48"/>
        <v>5.5</v>
      </c>
      <c r="T65" s="80">
        <f t="shared" si="48"/>
        <v>6.5</v>
      </c>
      <c r="U65" s="80">
        <f t="shared" si="48"/>
        <v>7.5</v>
      </c>
      <c r="V65" s="80">
        <f t="shared" si="48"/>
        <v>8.5</v>
      </c>
      <c r="W65" s="80">
        <f t="shared" si="48"/>
        <v>9.5</v>
      </c>
      <c r="X65" s="80">
        <f t="shared" si="48"/>
        <v>10.5</v>
      </c>
      <c r="Y65" s="80">
        <f t="shared" si="48"/>
        <v>11.5</v>
      </c>
      <c r="Z65" s="80">
        <f t="shared" si="48"/>
        <v>12.5</v>
      </c>
      <c r="AB65" s="39"/>
      <c r="AC65" s="39"/>
      <c r="AD65" s="39"/>
      <c r="AE65" s="39"/>
      <c r="AF65" s="39"/>
      <c r="AG65" s="39"/>
      <c r="AH65" s="39"/>
    </row>
    <row r="66" spans="1:34" ht="15" x14ac:dyDescent="0.25">
      <c r="B66" s="14">
        <f>+B$58</f>
        <v>9</v>
      </c>
      <c r="C66" s="30">
        <f>IF(D66=0,C65,IF(ISBLANK(G66),C65,1+MAX(C$18:C65)))</f>
        <v>27</v>
      </c>
      <c r="D66" s="21">
        <f t="shared" si="37"/>
        <v>0</v>
      </c>
      <c r="F66" s="31">
        <f t="shared" si="2"/>
        <v>27</v>
      </c>
      <c r="G66" s="4" t="str">
        <f>+"Present Value Factor:   "&amp;TEXT(AC66,"0.00%")&amp;"  ("&amp;B66&amp;")"</f>
        <v>Present Value Factor:   6.68%  (9)</v>
      </c>
      <c r="J66" s="38"/>
      <c r="K66" s="38"/>
      <c r="L66" s="38"/>
      <c r="M66" s="38"/>
      <c r="N66" s="73">
        <f t="shared" ref="N66:Z66" si="49">ROUND((1/((1+$AC66)^N65)),4)</f>
        <v>0.96819999999999995</v>
      </c>
      <c r="O66" s="73">
        <f t="shared" si="49"/>
        <v>0.90759999999999996</v>
      </c>
      <c r="P66" s="73">
        <f t="shared" si="49"/>
        <v>0.85070000000000001</v>
      </c>
      <c r="Q66" s="73">
        <f t="shared" si="49"/>
        <v>0.79749999999999999</v>
      </c>
      <c r="R66" s="73">
        <f t="shared" si="49"/>
        <v>0.74750000000000005</v>
      </c>
      <c r="S66" s="73">
        <f t="shared" si="49"/>
        <v>0.70069999999999999</v>
      </c>
      <c r="T66" s="73">
        <f t="shared" si="49"/>
        <v>0.65680000000000005</v>
      </c>
      <c r="U66" s="73">
        <f t="shared" si="49"/>
        <v>0.61570000000000003</v>
      </c>
      <c r="V66" s="73">
        <f t="shared" si="49"/>
        <v>0.57720000000000005</v>
      </c>
      <c r="W66" s="73">
        <f t="shared" si="49"/>
        <v>0.54100000000000004</v>
      </c>
      <c r="X66" s="73">
        <f t="shared" si="49"/>
        <v>0.5071</v>
      </c>
      <c r="Y66" s="73">
        <f t="shared" si="49"/>
        <v>0.47539999999999999</v>
      </c>
      <c r="Z66" s="73">
        <f t="shared" si="49"/>
        <v>0.4456</v>
      </c>
      <c r="AB66" s="39"/>
      <c r="AC66" s="74">
        <f>+AC58-H9</f>
        <v>6.6799999999999998E-2</v>
      </c>
      <c r="AD66" s="75" t="s">
        <v>55</v>
      </c>
      <c r="AE66" s="39"/>
      <c r="AF66" s="39"/>
      <c r="AG66" s="39"/>
      <c r="AH66" s="39"/>
    </row>
    <row r="67" spans="1:34" ht="15" x14ac:dyDescent="0.25">
      <c r="C67" s="30">
        <f>IF(D67=0,C66,IF(ISBLANK(G67),C66,1+MAX(C$18:C66)))</f>
        <v>27</v>
      </c>
      <c r="D67" s="21">
        <f t="shared" si="37"/>
        <v>0</v>
      </c>
      <c r="F67" s="31" t="str">
        <f t="shared" si="2"/>
        <v/>
      </c>
      <c r="G67" s="4"/>
      <c r="H67" s="4"/>
      <c r="I67" s="76"/>
      <c r="J67" s="38"/>
      <c r="K67" s="38"/>
      <c r="L67" s="38"/>
      <c r="M67" s="38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B67" s="39"/>
      <c r="AC67" s="39"/>
      <c r="AD67" s="39"/>
      <c r="AE67" s="39"/>
      <c r="AF67" s="39"/>
      <c r="AG67" s="39"/>
      <c r="AH67" s="39"/>
    </row>
    <row r="68" spans="1:34" ht="15.75" thickBot="1" x14ac:dyDescent="0.3">
      <c r="C68" s="30">
        <f>IF(D68=0,C67,IF(ISBLANK(G68),C67,1+MAX(C$18:C67)))</f>
        <v>27</v>
      </c>
      <c r="D68" s="21">
        <f t="shared" si="37"/>
        <v>0</v>
      </c>
      <c r="F68" s="31">
        <f t="shared" si="2"/>
        <v>27</v>
      </c>
      <c r="G68" s="4" t="s">
        <v>54</v>
      </c>
      <c r="H68" s="78"/>
      <c r="I68" s="78"/>
      <c r="J68" s="38"/>
      <c r="K68" s="38"/>
      <c r="L68" s="38"/>
      <c r="M68" s="38"/>
      <c r="N68" s="66">
        <f t="shared" ref="N68:Z68" si="50">+N$52*N66</f>
        <v>-32745.355274057587</v>
      </c>
      <c r="O68" s="66">
        <f t="shared" si="50"/>
        <v>-19625.630648780996</v>
      </c>
      <c r="P68" s="66">
        <f t="shared" si="50"/>
        <v>160917.23097953387</v>
      </c>
      <c r="Q68" s="66">
        <f t="shared" si="50"/>
        <v>134063.39057442595</v>
      </c>
      <c r="R68" s="66">
        <f t="shared" si="50"/>
        <v>109674.72438667533</v>
      </c>
      <c r="S68" s="66">
        <f t="shared" si="50"/>
        <v>131248.66587620857</v>
      </c>
      <c r="T68" s="66">
        <f t="shared" si="50"/>
        <v>108612.02982205512</v>
      </c>
      <c r="U68" s="66">
        <f t="shared" si="50"/>
        <v>87120.623778438239</v>
      </c>
      <c r="V68" s="66">
        <f t="shared" si="50"/>
        <v>108212.69843778769</v>
      </c>
      <c r="W68" s="66">
        <f t="shared" si="50"/>
        <v>88794.380379325215</v>
      </c>
      <c r="X68" s="66">
        <f t="shared" si="50"/>
        <v>71088.299154259003</v>
      </c>
      <c r="Y68" s="66">
        <f t="shared" si="50"/>
        <v>88781.491998420228</v>
      </c>
      <c r="Z68" s="66">
        <f t="shared" si="50"/>
        <v>72159.345653178709</v>
      </c>
      <c r="AB68" s="60">
        <f>SUM(M68:Z68)</f>
        <v>1108301.8951174694</v>
      </c>
      <c r="AC68" s="39"/>
      <c r="AD68" s="39"/>
      <c r="AE68" s="39"/>
      <c r="AF68" s="39"/>
      <c r="AG68" s="39"/>
      <c r="AH68" s="39"/>
    </row>
    <row r="69" spans="1:34" ht="15.75" thickTop="1" x14ac:dyDescent="0.25">
      <c r="C69" s="30">
        <f>IF(D69=0,C68,IF(ISBLANK(G69),C68,1+MAX(C$18:C68)))</f>
        <v>27</v>
      </c>
      <c r="D69" s="21">
        <f t="shared" ref="D69:D76" si="51">IF($C$10="MUNI",1,0)</f>
        <v>1</v>
      </c>
      <c r="F69" s="31" t="str">
        <f t="shared" si="2"/>
        <v/>
      </c>
      <c r="H69" s="38"/>
      <c r="I69" s="38"/>
      <c r="J69" s="38"/>
      <c r="K69" s="38"/>
      <c r="L69" s="38"/>
      <c r="M69" s="38"/>
      <c r="N69" s="80">
        <f t="shared" ref="N69:Z69" si="52">+N65</f>
        <v>0.5</v>
      </c>
      <c r="O69" s="80">
        <f t="shared" si="52"/>
        <v>1.5</v>
      </c>
      <c r="P69" s="80">
        <f t="shared" si="52"/>
        <v>2.5</v>
      </c>
      <c r="Q69" s="80">
        <f t="shared" si="52"/>
        <v>3.5</v>
      </c>
      <c r="R69" s="80">
        <f t="shared" si="52"/>
        <v>4.5</v>
      </c>
      <c r="S69" s="80">
        <f t="shared" si="52"/>
        <v>5.5</v>
      </c>
      <c r="T69" s="80">
        <f t="shared" si="52"/>
        <v>6.5</v>
      </c>
      <c r="U69" s="80">
        <f t="shared" si="52"/>
        <v>7.5</v>
      </c>
      <c r="V69" s="80">
        <f t="shared" si="52"/>
        <v>8.5</v>
      </c>
      <c r="W69" s="80">
        <f t="shared" si="52"/>
        <v>9.5</v>
      </c>
      <c r="X69" s="80">
        <f t="shared" si="52"/>
        <v>10.5</v>
      </c>
      <c r="Y69" s="80">
        <f t="shared" si="52"/>
        <v>11.5</v>
      </c>
      <c r="Z69" s="80">
        <f t="shared" si="52"/>
        <v>12.5</v>
      </c>
      <c r="AB69" s="39"/>
      <c r="AC69" s="39"/>
      <c r="AD69" s="39"/>
      <c r="AE69" s="39"/>
      <c r="AF69" s="39"/>
      <c r="AG69" s="39"/>
      <c r="AH69" s="39"/>
    </row>
    <row r="70" spans="1:34" ht="15" x14ac:dyDescent="0.25">
      <c r="B70" s="14">
        <f>+B$54</f>
        <v>8</v>
      </c>
      <c r="C70" s="30">
        <f>IF(D70=0,C69,IF(ISBLANK(G70),C69,1+MAX(C$18:C69)))</f>
        <v>28</v>
      </c>
      <c r="D70" s="21">
        <f t="shared" si="51"/>
        <v>1</v>
      </c>
      <c r="F70" s="31">
        <f t="shared" si="2"/>
        <v>28</v>
      </c>
      <c r="G70" s="4" t="str">
        <f>+"Present Value Factor:   "&amp;TEXT(AC70,"0.00%")&amp;"  ("&amp;B70&amp;")"</f>
        <v>Present Value Factor:   3.84%  (8)</v>
      </c>
      <c r="J70" s="38"/>
      <c r="K70" s="38"/>
      <c r="L70" s="38"/>
      <c r="M70" s="38"/>
      <c r="N70" s="73">
        <f t="shared" ref="N70:Z70" si="53">ROUND((1/((1+$AC70)^N69)),4)</f>
        <v>0.98129999999999995</v>
      </c>
      <c r="O70" s="73">
        <f t="shared" si="53"/>
        <v>0.94499999999999995</v>
      </c>
      <c r="P70" s="73">
        <f t="shared" si="53"/>
        <v>0.91010000000000002</v>
      </c>
      <c r="Q70" s="73">
        <f t="shared" si="53"/>
        <v>0.87639999999999996</v>
      </c>
      <c r="R70" s="73">
        <f t="shared" si="53"/>
        <v>0.84399999999999997</v>
      </c>
      <c r="S70" s="73">
        <f t="shared" si="53"/>
        <v>0.81279999999999997</v>
      </c>
      <c r="T70" s="73">
        <f t="shared" si="53"/>
        <v>0.78280000000000005</v>
      </c>
      <c r="U70" s="73">
        <f t="shared" si="53"/>
        <v>0.75380000000000003</v>
      </c>
      <c r="V70" s="73">
        <f t="shared" si="53"/>
        <v>0.72589999999999999</v>
      </c>
      <c r="W70" s="73">
        <f t="shared" si="53"/>
        <v>0.69910000000000005</v>
      </c>
      <c r="X70" s="73">
        <f t="shared" si="53"/>
        <v>0.67320000000000002</v>
      </c>
      <c r="Y70" s="73">
        <f t="shared" si="53"/>
        <v>0.64829999999999999</v>
      </c>
      <c r="Z70" s="73">
        <f t="shared" si="53"/>
        <v>0.62439999999999996</v>
      </c>
      <c r="AC70" s="74">
        <f>+H1</f>
        <v>3.8399999999999997E-2</v>
      </c>
      <c r="AD70" s="75" t="s">
        <v>53</v>
      </c>
      <c r="AE70" s="39"/>
      <c r="AF70" s="39"/>
      <c r="AG70" s="39"/>
      <c r="AH70" s="39"/>
    </row>
    <row r="71" spans="1:34" ht="15" x14ac:dyDescent="0.25">
      <c r="C71" s="30">
        <f>IF(D71=0,C70,IF(ISBLANK(G71),C70,1+MAX(C$18:C70)))</f>
        <v>28</v>
      </c>
      <c r="D71" s="21">
        <f t="shared" si="51"/>
        <v>1</v>
      </c>
      <c r="F71" s="31" t="str">
        <f t="shared" si="2"/>
        <v/>
      </c>
      <c r="G71" s="4"/>
      <c r="H71" s="76"/>
      <c r="I71" s="76"/>
      <c r="J71" s="38"/>
      <c r="K71" s="38"/>
      <c r="L71" s="38"/>
      <c r="M71" s="38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B71" s="39"/>
      <c r="AC71" s="39"/>
      <c r="AD71" s="39"/>
      <c r="AE71" s="39"/>
      <c r="AF71" s="39"/>
      <c r="AG71" s="39"/>
      <c r="AH71" s="39"/>
    </row>
    <row r="72" spans="1:34" ht="15.75" thickBot="1" x14ac:dyDescent="0.3">
      <c r="C72" s="30">
        <f>IF(D72=0,C71,IF(ISBLANK(G72),C71,1+MAX(C$18:C71)))</f>
        <v>29</v>
      </c>
      <c r="D72" s="21">
        <f t="shared" si="51"/>
        <v>1</v>
      </c>
      <c r="F72" s="31">
        <f t="shared" si="2"/>
        <v>29</v>
      </c>
      <c r="G72" s="4" t="s">
        <v>54</v>
      </c>
      <c r="H72" s="78"/>
      <c r="I72" s="78"/>
      <c r="J72" s="38"/>
      <c r="K72" s="38"/>
      <c r="L72" s="38"/>
      <c r="M72" s="38"/>
      <c r="N72" s="66">
        <f t="shared" ref="N72:Z72" si="54">+N$52*N70</f>
        <v>-33188.408521413665</v>
      </c>
      <c r="O72" s="66">
        <f t="shared" si="54"/>
        <v>-20434.355402267563</v>
      </c>
      <c r="P72" s="66">
        <f t="shared" si="54"/>
        <v>172153.25251495681</v>
      </c>
      <c r="Q72" s="66">
        <f t="shared" si="54"/>
        <v>147326.8407516325</v>
      </c>
      <c r="R72" s="66">
        <f t="shared" si="54"/>
        <v>123833.40118040664</v>
      </c>
      <c r="S72" s="66">
        <f t="shared" si="54"/>
        <v>152246.20468700203</v>
      </c>
      <c r="T72" s="66">
        <f t="shared" si="54"/>
        <v>129448.076956006</v>
      </c>
      <c r="U72" s="66">
        <f t="shared" si="54"/>
        <v>106661.56602921349</v>
      </c>
      <c r="V72" s="66">
        <f t="shared" si="54"/>
        <v>136090.77927233209</v>
      </c>
      <c r="W72" s="66">
        <f t="shared" si="54"/>
        <v>114743.34810200788</v>
      </c>
      <c r="X72" s="66">
        <f t="shared" si="54"/>
        <v>94373.18672973213</v>
      </c>
      <c r="Y72" s="66">
        <f t="shared" si="54"/>
        <v>121070.7641198482</v>
      </c>
      <c r="Z72" s="66">
        <f t="shared" si="54"/>
        <v>101113.7689089874</v>
      </c>
      <c r="AB72" s="60">
        <f>SUM(M72:Z72)</f>
        <v>1345438.4253284438</v>
      </c>
      <c r="AC72" s="39"/>
      <c r="AD72" s="39"/>
      <c r="AE72" s="39"/>
      <c r="AF72" s="39"/>
      <c r="AG72" s="39"/>
      <c r="AH72" s="39"/>
    </row>
    <row r="73" spans="1:34" ht="15.75" thickTop="1" x14ac:dyDescent="0.25">
      <c r="C73" s="30">
        <f>IF(D73=0,C72,IF(ISBLANK(G73),C72,1+MAX(C$18:C72)))</f>
        <v>29</v>
      </c>
      <c r="D73" s="21">
        <f t="shared" si="51"/>
        <v>1</v>
      </c>
      <c r="F73" s="31" t="str">
        <f t="shared" si="2"/>
        <v/>
      </c>
      <c r="H73" s="38"/>
      <c r="I73" s="38"/>
      <c r="J73" s="38"/>
      <c r="K73" s="38"/>
      <c r="L73" s="38"/>
      <c r="M73" s="38"/>
      <c r="N73" s="80">
        <f t="shared" ref="N73:Z73" si="55">+N69</f>
        <v>0.5</v>
      </c>
      <c r="O73" s="80">
        <f t="shared" si="55"/>
        <v>1.5</v>
      </c>
      <c r="P73" s="80">
        <f t="shared" si="55"/>
        <v>2.5</v>
      </c>
      <c r="Q73" s="80">
        <f t="shared" si="55"/>
        <v>3.5</v>
      </c>
      <c r="R73" s="80">
        <f t="shared" si="55"/>
        <v>4.5</v>
      </c>
      <c r="S73" s="80">
        <f t="shared" si="55"/>
        <v>5.5</v>
      </c>
      <c r="T73" s="80">
        <f t="shared" si="55"/>
        <v>6.5</v>
      </c>
      <c r="U73" s="80">
        <f t="shared" si="55"/>
        <v>7.5</v>
      </c>
      <c r="V73" s="80">
        <f t="shared" si="55"/>
        <v>8.5</v>
      </c>
      <c r="W73" s="80">
        <f t="shared" si="55"/>
        <v>9.5</v>
      </c>
      <c r="X73" s="80">
        <f t="shared" si="55"/>
        <v>10.5</v>
      </c>
      <c r="Y73" s="80">
        <f t="shared" si="55"/>
        <v>11.5</v>
      </c>
      <c r="Z73" s="80">
        <f t="shared" si="55"/>
        <v>12.5</v>
      </c>
      <c r="AB73" s="39"/>
      <c r="AC73" s="39"/>
      <c r="AD73" s="39"/>
      <c r="AE73" s="39"/>
      <c r="AF73" s="39"/>
      <c r="AG73" s="39"/>
      <c r="AH73" s="39"/>
    </row>
    <row r="74" spans="1:34" ht="15" x14ac:dyDescent="0.25">
      <c r="B74" s="14">
        <f>+B$58</f>
        <v>9</v>
      </c>
      <c r="C74" s="30">
        <f>IF(D74=0,C73,IF(ISBLANK(G74),C73,1+MAX(C$18:C73)))</f>
        <v>30</v>
      </c>
      <c r="D74" s="21">
        <f t="shared" si="51"/>
        <v>1</v>
      </c>
      <c r="F74" s="31">
        <f t="shared" si="2"/>
        <v>30</v>
      </c>
      <c r="G74" s="4" t="str">
        <f>+"Present Value Factor:   "&amp;TEXT(AC74,"0.00%")&amp;"  ("&amp;B74&amp;")"</f>
        <v>Present Value Factor:   2.04%  (9)</v>
      </c>
      <c r="J74" s="38"/>
      <c r="K74" s="38"/>
      <c r="L74" s="38"/>
      <c r="M74" s="38"/>
      <c r="N74" s="73">
        <f t="shared" ref="N74:Z74" si="56">ROUND((1/((1+$AC74)^N73)),4)</f>
        <v>0.99</v>
      </c>
      <c r="O74" s="73">
        <f t="shared" si="56"/>
        <v>0.97019999999999995</v>
      </c>
      <c r="P74" s="73">
        <f t="shared" si="56"/>
        <v>0.95079999999999998</v>
      </c>
      <c r="Q74" s="73">
        <f t="shared" si="56"/>
        <v>0.93179999999999996</v>
      </c>
      <c r="R74" s="73">
        <f t="shared" si="56"/>
        <v>0.91310000000000002</v>
      </c>
      <c r="S74" s="73">
        <f t="shared" si="56"/>
        <v>0.89490000000000003</v>
      </c>
      <c r="T74" s="73">
        <f t="shared" si="56"/>
        <v>0.877</v>
      </c>
      <c r="U74" s="73">
        <f t="shared" si="56"/>
        <v>0.85950000000000004</v>
      </c>
      <c r="V74" s="73">
        <f t="shared" si="56"/>
        <v>0.84230000000000005</v>
      </c>
      <c r="W74" s="73">
        <f t="shared" si="56"/>
        <v>0.82540000000000002</v>
      </c>
      <c r="X74" s="73">
        <f t="shared" si="56"/>
        <v>0.80889999999999995</v>
      </c>
      <c r="Y74" s="73">
        <f t="shared" si="56"/>
        <v>0.79279999999999995</v>
      </c>
      <c r="Z74" s="73">
        <f t="shared" si="56"/>
        <v>0.77690000000000003</v>
      </c>
      <c r="AB74" s="39"/>
      <c r="AC74" s="74">
        <f>+AC70-H9</f>
        <v>2.0399999999999998E-2</v>
      </c>
      <c r="AD74" s="75" t="s">
        <v>55</v>
      </c>
      <c r="AE74" s="39"/>
      <c r="AF74" s="39"/>
      <c r="AG74" s="39"/>
      <c r="AH74" s="39"/>
    </row>
    <row r="75" spans="1:34" ht="15" x14ac:dyDescent="0.25">
      <c r="C75" s="30">
        <f>IF(D75=0,C74,IF(ISBLANK(G75),C74,1+MAX(C$18:C74)))</f>
        <v>30</v>
      </c>
      <c r="D75" s="21">
        <f t="shared" si="51"/>
        <v>1</v>
      </c>
      <c r="F75" s="31" t="str">
        <f t="shared" si="2"/>
        <v/>
      </c>
      <c r="G75" s="4"/>
      <c r="H75" s="76"/>
      <c r="I75" s="76"/>
      <c r="J75" s="38"/>
      <c r="K75" s="38"/>
      <c r="L75" s="38"/>
      <c r="M75" s="38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B75" s="39"/>
      <c r="AC75" s="39"/>
      <c r="AD75" s="39"/>
      <c r="AE75" s="39"/>
      <c r="AF75" s="39"/>
      <c r="AG75" s="39"/>
      <c r="AH75" s="39"/>
    </row>
    <row r="76" spans="1:34" ht="15.75" thickBot="1" x14ac:dyDescent="0.3">
      <c r="C76" s="30">
        <f>IF(D76=0,C75,IF(ISBLANK(G76),C75,1+MAX(C$18:C75)))</f>
        <v>31</v>
      </c>
      <c r="D76" s="21">
        <f t="shared" si="51"/>
        <v>1</v>
      </c>
      <c r="F76" s="31">
        <f t="shared" si="2"/>
        <v>31</v>
      </c>
      <c r="G76" s="4" t="s">
        <v>54</v>
      </c>
      <c r="H76" s="78"/>
      <c r="I76" s="78"/>
      <c r="J76" s="38"/>
      <c r="K76" s="38"/>
      <c r="L76" s="38"/>
      <c r="M76" s="38"/>
      <c r="N76" s="66">
        <f t="shared" ref="N76:Z76" si="57">+N$52*N74</f>
        <v>-33482.649991031823</v>
      </c>
      <c r="O76" s="66">
        <f t="shared" si="57"/>
        <v>-20979.271546328033</v>
      </c>
      <c r="P76" s="66">
        <f t="shared" si="57"/>
        <v>179852.00801145032</v>
      </c>
      <c r="Q76" s="66">
        <f t="shared" si="57"/>
        <v>156639.83365172427</v>
      </c>
      <c r="R76" s="66">
        <f t="shared" si="57"/>
        <v>133971.89409695417</v>
      </c>
      <c r="S76" s="66">
        <f t="shared" si="57"/>
        <v>167624.41999802919</v>
      </c>
      <c r="T76" s="66">
        <f t="shared" si="57"/>
        <v>145025.50267043593</v>
      </c>
      <c r="U76" s="66">
        <f t="shared" si="57"/>
        <v>121617.95702057442</v>
      </c>
      <c r="V76" s="66">
        <f t="shared" si="57"/>
        <v>157913.29849991089</v>
      </c>
      <c r="W76" s="66">
        <f t="shared" si="57"/>
        <v>135472.97886339194</v>
      </c>
      <c r="X76" s="66">
        <f t="shared" si="57"/>
        <v>113396.42119085015</v>
      </c>
      <c r="Y76" s="66">
        <f t="shared" si="57"/>
        <v>148056.30386274203</v>
      </c>
      <c r="Z76" s="66">
        <f t="shared" si="57"/>
        <v>125809.23617135221</v>
      </c>
      <c r="AB76" s="60">
        <f>SUM(M76:Z76)</f>
        <v>1530917.932500056</v>
      </c>
      <c r="AC76" s="39"/>
      <c r="AD76" s="39"/>
      <c r="AE76" s="39"/>
      <c r="AF76" s="39"/>
      <c r="AG76" s="39"/>
      <c r="AH76" s="39"/>
    </row>
    <row r="77" spans="1:34" ht="17.25" thickTop="1" thickBot="1" x14ac:dyDescent="0.3">
      <c r="D77" s="21">
        <f>IF($C$10="SUBJECT",0,1)</f>
        <v>1</v>
      </c>
      <c r="G77" s="81"/>
      <c r="I77" s="82"/>
      <c r="J77" s="38"/>
      <c r="K77" s="83" t="s">
        <v>56</v>
      </c>
      <c r="L77" s="38"/>
      <c r="M77" s="38"/>
      <c r="N77" s="39"/>
      <c r="O77" s="39"/>
      <c r="P77" s="39"/>
      <c r="Q77" s="39"/>
      <c r="R77" s="39"/>
      <c r="S77" s="83" t="s">
        <v>56</v>
      </c>
      <c r="AB77" s="39"/>
      <c r="AC77" s="39"/>
      <c r="AD77" s="39"/>
      <c r="AE77" s="39"/>
      <c r="AF77" s="39"/>
      <c r="AG77" s="39"/>
      <c r="AH77" s="39"/>
    </row>
    <row r="78" spans="1:34" ht="15.75" thickBot="1" x14ac:dyDescent="0.3">
      <c r="C78" s="84" t="s">
        <v>57</v>
      </c>
      <c r="D78" s="21">
        <v>2</v>
      </c>
      <c r="H78" s="85"/>
      <c r="I78" s="86"/>
      <c r="J78" s="86"/>
      <c r="K78" s="87" t="str">
        <f>+"DCF With Capitalization of Terminal Value Model @ "&amp;TEXT(AB79,"0.00%")</f>
        <v>DCF With Capitalization of Terminal Value Model @ 7.12%</v>
      </c>
      <c r="L78" s="88"/>
      <c r="M78" s="88"/>
      <c r="N78" s="88"/>
      <c r="O78" s="89"/>
      <c r="P78" s="38"/>
      <c r="Q78" s="87" t="str">
        <f>+"DCF With EBIT &amp; EBITDA Terminal Value Model - Discount Rate of "&amp;TEXT(AD79,"0.00%")</f>
        <v>DCF With EBIT &amp; EBITDA Terminal Value Model - Discount Rate of 7.12%</v>
      </c>
      <c r="R78" s="88"/>
      <c r="S78" s="88"/>
      <c r="T78" s="88"/>
      <c r="U78" s="89"/>
      <c r="AB78" s="39"/>
      <c r="AC78" s="39"/>
      <c r="AD78" s="39"/>
      <c r="AE78" s="39"/>
      <c r="AF78" s="39"/>
      <c r="AG78" s="39"/>
      <c r="AH78" s="39"/>
    </row>
    <row r="79" spans="1:34" ht="15" x14ac:dyDescent="0.25">
      <c r="D79" s="21">
        <v>2</v>
      </c>
      <c r="G79" s="90"/>
      <c r="K79" s="91"/>
      <c r="L79" s="92"/>
      <c r="M79" s="93"/>
      <c r="N79" s="94" t="s">
        <v>58</v>
      </c>
      <c r="O79" s="95"/>
      <c r="Q79" s="91"/>
      <c r="R79" s="92"/>
      <c r="S79" s="93"/>
      <c r="T79" s="92"/>
      <c r="U79" s="96" t="s">
        <v>58</v>
      </c>
      <c r="AB79" s="97">
        <f>+AC54</f>
        <v>7.1199999999999999E-2</v>
      </c>
      <c r="AC79" s="39"/>
      <c r="AD79" s="97">
        <f>+AB79</f>
        <v>7.1199999999999999E-2</v>
      </c>
      <c r="AE79" s="39"/>
      <c r="AF79" s="39"/>
      <c r="AG79" s="39"/>
      <c r="AH79" s="39"/>
    </row>
    <row r="80" spans="1:34" ht="15" x14ac:dyDescent="0.25">
      <c r="A80" s="98" t="str">
        <f>TEXT(+Z53+0.5,0)</f>
        <v>13</v>
      </c>
      <c r="D80" s="21">
        <v>2</v>
      </c>
      <c r="K80" s="99"/>
      <c r="L80" s="100"/>
      <c r="M80" s="63"/>
      <c r="N80" s="22" t="s">
        <v>59</v>
      </c>
      <c r="O80" s="101"/>
      <c r="Q80" s="99"/>
      <c r="R80" s="100"/>
      <c r="S80" s="63"/>
      <c r="T80" s="22" t="str">
        <f>+"Multiples"&amp;" ("&amp;B105&amp;")"</f>
        <v>Multiples (13)</v>
      </c>
      <c r="U80" s="102" t="s">
        <v>59</v>
      </c>
      <c r="AB80" s="39"/>
      <c r="AC80" s="39"/>
      <c r="AD80" s="39"/>
      <c r="AE80" s="39"/>
      <c r="AF80" s="39"/>
      <c r="AG80" s="39"/>
      <c r="AH80" s="39"/>
    </row>
    <row r="81" spans="1:36" ht="15" x14ac:dyDescent="0.25">
      <c r="D81" s="21">
        <v>2</v>
      </c>
      <c r="K81" s="99"/>
      <c r="L81" s="100"/>
      <c r="M81" s="63"/>
      <c r="N81" s="100"/>
      <c r="O81" s="101"/>
      <c r="Q81" s="99"/>
      <c r="R81" s="100"/>
      <c r="S81" s="63"/>
      <c r="T81" s="100"/>
      <c r="U81" s="103"/>
      <c r="AB81" s="39"/>
      <c r="AC81" s="39"/>
      <c r="AD81" s="39"/>
      <c r="AE81" s="39"/>
      <c r="AF81" s="39"/>
      <c r="AG81" s="39"/>
      <c r="AH81" s="39"/>
    </row>
    <row r="82" spans="1:36" ht="15" x14ac:dyDescent="0.25">
      <c r="D82" s="21">
        <v>2</v>
      </c>
      <c r="K82" s="104" t="str">
        <f>+A83&amp;" ("&amp;B83&amp;")"</f>
        <v>Projected Debt Free Net Cash Flow (10)</v>
      </c>
      <c r="L82" s="100"/>
      <c r="M82" s="100"/>
      <c r="N82" s="100">
        <f>+AB83</f>
        <v>161937.49024501507</v>
      </c>
      <c r="O82" s="101"/>
      <c r="Q82" s="105" t="s">
        <v>60</v>
      </c>
      <c r="R82" s="100"/>
      <c r="S82" s="100">
        <f>+AD83</f>
        <v>134538.38734501507</v>
      </c>
      <c r="T82" s="106">
        <f>+AE83</f>
        <v>14.6</v>
      </c>
      <c r="U82" s="103">
        <f>+T82*S82</f>
        <v>1964260.45523722</v>
      </c>
      <c r="AB82" s="39"/>
      <c r="AC82" s="39"/>
      <c r="AD82" s="39"/>
      <c r="AE82" s="39"/>
      <c r="AF82" s="39"/>
      <c r="AG82" s="39"/>
      <c r="AH82" s="39"/>
    </row>
    <row r="83" spans="1:36" ht="16.899999999999999" customHeight="1" x14ac:dyDescent="0.25">
      <c r="A83" s="107" t="s">
        <v>61</v>
      </c>
      <c r="B83" s="14">
        <f>MAX(B$20:B82)+1</f>
        <v>10</v>
      </c>
      <c r="D83" s="21">
        <v>2</v>
      </c>
      <c r="K83" s="104" t="str">
        <f>+A84&amp;" ("&amp;B84&amp;")"</f>
        <v>Divided by Capitalization Factor (8)</v>
      </c>
      <c r="L83" s="100"/>
      <c r="M83" s="78"/>
      <c r="N83" s="108">
        <f>+AB79</f>
        <v>7.1199999999999999E-2</v>
      </c>
      <c r="O83" s="101"/>
      <c r="Q83" s="105" t="s">
        <v>62</v>
      </c>
      <c r="R83" s="100"/>
      <c r="S83" s="78">
        <f>+AD84</f>
        <v>231116.06014501507</v>
      </c>
      <c r="T83" s="106">
        <f>+AE84</f>
        <v>10.1</v>
      </c>
      <c r="U83" s="109">
        <f>+T83*S83</f>
        <v>2334272.2074646521</v>
      </c>
      <c r="V83" s="110"/>
      <c r="W83" s="110"/>
      <c r="X83" s="110"/>
      <c r="Y83" s="110"/>
      <c r="Z83" s="110"/>
      <c r="AB83" s="39">
        <f>+AB52</f>
        <v>161937.49024501507</v>
      </c>
      <c r="AC83" s="39"/>
      <c r="AD83" s="39">
        <f>+Z$42</f>
        <v>134538.38734501507</v>
      </c>
      <c r="AE83" s="39">
        <f>+H7</f>
        <v>14.6</v>
      </c>
      <c r="AF83" s="39"/>
      <c r="AG83" s="39"/>
      <c r="AH83" s="39"/>
    </row>
    <row r="84" spans="1:36" ht="16.899999999999999" customHeight="1" x14ac:dyDescent="0.25">
      <c r="A84" s="107" t="s">
        <v>63</v>
      </c>
      <c r="B84" s="14">
        <f>+B$54</f>
        <v>8</v>
      </c>
      <c r="D84" s="21">
        <v>2</v>
      </c>
      <c r="K84" s="111" t="str">
        <f>+A85</f>
        <v>13th Year Terminal Value</v>
      </c>
      <c r="L84" s="100"/>
      <c r="M84" s="63"/>
      <c r="N84" s="78">
        <f>+N82/N83</f>
        <v>2274402.9528794251</v>
      </c>
      <c r="O84" s="101"/>
      <c r="Q84" s="112" t="s">
        <v>64</v>
      </c>
      <c r="R84" s="100"/>
      <c r="S84" s="63"/>
      <c r="T84" s="100"/>
      <c r="U84" s="113">
        <f>ROUND((0.33*U82)+(0.67*U83),0)</f>
        <v>2212168</v>
      </c>
      <c r="AB84" s="39"/>
      <c r="AC84" s="39"/>
      <c r="AD84" s="39">
        <f>+Z$41</f>
        <v>231116.06014501507</v>
      </c>
      <c r="AE84" s="39">
        <f>+H8</f>
        <v>10.1</v>
      </c>
      <c r="AF84" s="39"/>
      <c r="AG84" s="39"/>
      <c r="AH84" s="39"/>
    </row>
    <row r="85" spans="1:36" ht="16.899999999999999" customHeight="1" x14ac:dyDescent="0.25">
      <c r="A85" s="1" t="str">
        <f>+A80&amp;"th Year Terminal Value"</f>
        <v>13th Year Terminal Value</v>
      </c>
      <c r="D85" s="21">
        <v>2</v>
      </c>
      <c r="K85" s="104" t="str">
        <f>+A86&amp;" ("&amp;B86&amp;")"</f>
        <v>13th Year Present Value Factor (11)</v>
      </c>
      <c r="L85" s="100"/>
      <c r="M85" s="63"/>
      <c r="N85" s="114">
        <f>+AB86</f>
        <v>0.42330000000000001</v>
      </c>
      <c r="O85" s="101"/>
      <c r="Q85" s="105" t="str">
        <f>+K85</f>
        <v>13th Year Present Value Factor (11)</v>
      </c>
      <c r="R85" s="100"/>
      <c r="S85" s="63"/>
      <c r="T85" s="100"/>
      <c r="U85" s="115">
        <f>+AB86</f>
        <v>0.42330000000000001</v>
      </c>
      <c r="AC85" s="39"/>
      <c r="AD85" s="39"/>
      <c r="AE85" s="39"/>
      <c r="AF85" s="39"/>
      <c r="AG85" s="39"/>
      <c r="AH85" s="39"/>
    </row>
    <row r="86" spans="1:36" ht="16.899999999999999" customHeight="1" x14ac:dyDescent="0.25">
      <c r="A86" s="107" t="str">
        <f>+TEXT(A80,0)&amp;"th Year Present Value Factor"</f>
        <v>13th Year Present Value Factor</v>
      </c>
      <c r="B86" s="14">
        <f>MAX(B$20:B85)+1</f>
        <v>11</v>
      </c>
      <c r="D86" s="21">
        <v>2</v>
      </c>
      <c r="K86" s="104" t="s">
        <v>65</v>
      </c>
      <c r="L86" s="116"/>
      <c r="M86" s="63"/>
      <c r="N86" s="117">
        <f>+N85*N84</f>
        <v>962754.76995386067</v>
      </c>
      <c r="O86" s="101"/>
      <c r="Q86" s="105" t="s">
        <v>65</v>
      </c>
      <c r="R86" s="116"/>
      <c r="S86" s="63"/>
      <c r="T86" s="78"/>
      <c r="U86" s="118">
        <f>+U85*U84</f>
        <v>936410.71440000006</v>
      </c>
      <c r="AB86" s="119">
        <f>+Z$54</f>
        <v>0.42330000000000001</v>
      </c>
      <c r="AC86" s="39"/>
      <c r="AD86" s="120"/>
      <c r="AE86" s="39"/>
      <c r="AF86" s="39"/>
      <c r="AG86" s="39"/>
      <c r="AH86" s="39"/>
    </row>
    <row r="87" spans="1:36" ht="16.899999999999999" customHeight="1" x14ac:dyDescent="0.25">
      <c r="D87" s="21">
        <v>2</v>
      </c>
      <c r="K87" s="104" t="s">
        <v>66</v>
      </c>
      <c r="L87" s="116"/>
      <c r="M87" s="63"/>
      <c r="N87" s="100"/>
      <c r="O87" s="101"/>
      <c r="Q87" s="105" t="s">
        <v>66</v>
      </c>
      <c r="R87" s="116"/>
      <c r="S87" s="63"/>
      <c r="T87" s="116"/>
      <c r="U87" s="103"/>
      <c r="AB87" s="39"/>
      <c r="AC87" s="39"/>
      <c r="AD87" s="39"/>
      <c r="AE87" s="39"/>
      <c r="AF87" s="39"/>
      <c r="AG87" s="39"/>
      <c r="AH87" s="39"/>
    </row>
    <row r="88" spans="1:36" ht="16.899999999999999" customHeight="1" x14ac:dyDescent="0.25">
      <c r="D88" s="21">
        <v>2</v>
      </c>
      <c r="K88" s="104" t="str">
        <f>+A89</f>
        <v>Cash Flow for 13 Years</v>
      </c>
      <c r="L88" s="116"/>
      <c r="M88" s="63"/>
      <c r="N88" s="121">
        <f>+AB89</f>
        <v>1076622.812479439</v>
      </c>
      <c r="O88" s="101"/>
      <c r="Q88" s="105" t="str">
        <f>+K88</f>
        <v>Cash Flow for 13 Years</v>
      </c>
      <c r="R88" s="116"/>
      <c r="S88" s="63"/>
      <c r="T88" s="78"/>
      <c r="U88" s="109">
        <f>+AB89</f>
        <v>1076622.812479439</v>
      </c>
      <c r="AB88" s="39"/>
      <c r="AC88" s="39"/>
      <c r="AD88" s="39"/>
      <c r="AE88" s="39"/>
      <c r="AF88" s="39"/>
      <c r="AG88" s="39"/>
      <c r="AH88" s="39"/>
    </row>
    <row r="89" spans="1:36" ht="16.899999999999999" customHeight="1" x14ac:dyDescent="0.25">
      <c r="A89" s="1" t="str">
        <f>+"Cash Flow for "&amp;TEXT(A80,0)&amp;" Years"</f>
        <v>Cash Flow for 13 Years</v>
      </c>
      <c r="D89" s="21">
        <v>2</v>
      </c>
      <c r="K89" s="104"/>
      <c r="L89" s="116"/>
      <c r="M89" s="63"/>
      <c r="N89" s="100"/>
      <c r="O89" s="101"/>
      <c r="Q89" s="105"/>
      <c r="R89" s="116"/>
      <c r="S89" s="63"/>
      <c r="T89" s="100"/>
      <c r="U89" s="103"/>
      <c r="AB89" s="39">
        <f>+AB56</f>
        <v>1076622.812479439</v>
      </c>
      <c r="AC89" s="39"/>
      <c r="AD89" s="39"/>
      <c r="AE89" s="39"/>
      <c r="AF89" s="39"/>
      <c r="AG89" s="39"/>
      <c r="AH89" s="39"/>
      <c r="AI89" s="39"/>
      <c r="AJ89" s="39"/>
    </row>
    <row r="90" spans="1:36" ht="16.899999999999999" customHeight="1" thickBot="1" x14ac:dyDescent="0.3">
      <c r="D90" s="21">
        <v>2</v>
      </c>
      <c r="K90" s="104" t="s">
        <v>67</v>
      </c>
      <c r="L90" s="116"/>
      <c r="M90" s="63"/>
      <c r="N90" s="66">
        <f>+N86+N88</f>
        <v>2039377.5824332996</v>
      </c>
      <c r="O90" s="101"/>
      <c r="Q90" s="105" t="s">
        <v>67</v>
      </c>
      <c r="R90" s="116"/>
      <c r="S90" s="63"/>
      <c r="T90" s="78"/>
      <c r="U90" s="122">
        <f>+U86+U88</f>
        <v>2013033.5268794391</v>
      </c>
      <c r="AB90" s="39"/>
      <c r="AC90" s="39"/>
      <c r="AD90" s="39"/>
      <c r="AE90" s="39"/>
      <c r="AF90" s="39"/>
      <c r="AG90" s="39"/>
      <c r="AH90" s="39"/>
      <c r="AI90" s="39"/>
      <c r="AJ90" s="39"/>
    </row>
    <row r="91" spans="1:36" ht="16.899999999999999" customHeight="1" thickTop="1" thickBot="1" x14ac:dyDescent="0.3">
      <c r="D91" s="21">
        <v>2</v>
      </c>
      <c r="K91" s="123"/>
      <c r="L91" s="124"/>
      <c r="M91" s="125"/>
      <c r="N91" s="124"/>
      <c r="O91" s="126"/>
      <c r="Q91" s="123"/>
      <c r="R91" s="124"/>
      <c r="S91" s="125"/>
      <c r="T91" s="124"/>
      <c r="U91" s="126"/>
      <c r="AB91" s="39"/>
      <c r="AC91" s="39"/>
      <c r="AD91" s="39"/>
      <c r="AE91" s="39"/>
      <c r="AF91" s="39"/>
      <c r="AG91" s="39"/>
      <c r="AH91" s="39"/>
      <c r="AI91" s="39"/>
      <c r="AJ91" s="39"/>
    </row>
    <row r="92" spans="1:36" ht="15" x14ac:dyDescent="0.25">
      <c r="D92" s="21">
        <v>2</v>
      </c>
      <c r="K92" s="38"/>
      <c r="L92" s="39"/>
      <c r="M92" s="39"/>
      <c r="N92" s="39"/>
      <c r="O92" s="39"/>
      <c r="P92" s="38"/>
      <c r="Q92" s="38"/>
      <c r="R92" s="39"/>
      <c r="S92" s="39"/>
      <c r="T92" s="39"/>
      <c r="U92" s="39"/>
      <c r="AB92" s="39"/>
      <c r="AC92" s="39"/>
      <c r="AD92" s="39"/>
      <c r="AE92" s="39"/>
      <c r="AF92" s="39"/>
      <c r="AG92" s="39"/>
      <c r="AH92" s="39"/>
      <c r="AI92" s="39"/>
      <c r="AJ92" s="39"/>
    </row>
    <row r="93" spans="1:36" ht="15.75" thickBot="1" x14ac:dyDescent="0.3">
      <c r="D93" s="21">
        <v>2</v>
      </c>
      <c r="K93" s="38"/>
      <c r="L93" s="39"/>
      <c r="M93" s="39"/>
      <c r="N93" s="39"/>
      <c r="O93" s="39"/>
      <c r="P93" s="38"/>
      <c r="Q93" s="38"/>
      <c r="R93" s="39"/>
      <c r="S93" s="39"/>
      <c r="T93" s="39"/>
      <c r="U93" s="39"/>
      <c r="AB93" s="39"/>
      <c r="AC93" s="39"/>
      <c r="AD93" s="39"/>
      <c r="AE93" s="39"/>
      <c r="AF93" s="39"/>
      <c r="AG93" s="39"/>
      <c r="AH93" s="39"/>
      <c r="AI93" s="39"/>
      <c r="AJ93" s="39"/>
    </row>
    <row r="94" spans="1:36" ht="15.75" thickBot="1" x14ac:dyDescent="0.3">
      <c r="D94" s="21">
        <v>2</v>
      </c>
      <c r="K94" s="87" t="str">
        <f>+"DCF With Capitalization of Terminal Value Model @ "&amp;TEXT(AB95,"0.00%")</f>
        <v>DCF With Capitalization of Terminal Value Model @ 8.48%</v>
      </c>
      <c r="L94" s="88"/>
      <c r="M94" s="88"/>
      <c r="N94" s="88"/>
      <c r="O94" s="89"/>
      <c r="P94" s="38"/>
      <c r="Q94" s="87" t="str">
        <f>+"DCF With EBIT &amp; EBITDA Terminal Value Model - Discount Rate of "&amp;TEXT(AD95,"0.00%")</f>
        <v>DCF With EBIT &amp; EBITDA Terminal Value Model - Discount Rate of 8.48%</v>
      </c>
      <c r="R94" s="88"/>
      <c r="S94" s="88"/>
      <c r="T94" s="88"/>
      <c r="U94" s="89"/>
      <c r="AB94" s="39"/>
      <c r="AC94" s="39"/>
      <c r="AD94" s="39"/>
      <c r="AE94" s="39"/>
      <c r="AF94" s="39"/>
      <c r="AG94" s="39"/>
      <c r="AH94" s="39"/>
      <c r="AI94" s="39"/>
      <c r="AJ94" s="39"/>
    </row>
    <row r="95" spans="1:36" ht="15" x14ac:dyDescent="0.25">
      <c r="D95" s="21">
        <v>2</v>
      </c>
      <c r="K95" s="91"/>
      <c r="L95" s="92"/>
      <c r="M95" s="93"/>
      <c r="N95" s="94" t="s">
        <v>58</v>
      </c>
      <c r="O95" s="95"/>
      <c r="P95" s="38"/>
      <c r="Q95" s="91"/>
      <c r="R95" s="92"/>
      <c r="S95" s="93"/>
      <c r="T95" s="92"/>
      <c r="U95" s="96" t="s">
        <v>58</v>
      </c>
      <c r="AB95" s="97">
        <f>+AC58</f>
        <v>8.48E-2</v>
      </c>
      <c r="AC95" s="39"/>
      <c r="AD95" s="97">
        <f>+AB95</f>
        <v>8.48E-2</v>
      </c>
      <c r="AE95" s="39"/>
      <c r="AF95" s="39"/>
      <c r="AG95" s="39"/>
      <c r="AH95" s="39"/>
      <c r="AI95" s="39"/>
      <c r="AJ95" s="39"/>
    </row>
    <row r="96" spans="1:36" ht="15" x14ac:dyDescent="0.25">
      <c r="D96" s="21">
        <v>2</v>
      </c>
      <c r="K96" s="99"/>
      <c r="L96" s="100"/>
      <c r="M96" s="63"/>
      <c r="N96" s="22" t="s">
        <v>59</v>
      </c>
      <c r="O96" s="101"/>
      <c r="P96" s="38"/>
      <c r="Q96" s="99"/>
      <c r="R96" s="100"/>
      <c r="S96" s="63"/>
      <c r="T96" s="22" t="str">
        <f>+T80</f>
        <v>Multiples (13)</v>
      </c>
      <c r="U96" s="102" t="s">
        <v>59</v>
      </c>
      <c r="AB96" s="39"/>
      <c r="AC96" s="39"/>
      <c r="AD96" s="39"/>
      <c r="AE96" s="39"/>
      <c r="AF96" s="39"/>
      <c r="AG96" s="39"/>
      <c r="AH96" s="39"/>
      <c r="AI96" s="39"/>
      <c r="AJ96" s="39"/>
    </row>
    <row r="97" spans="1:36" ht="15" x14ac:dyDescent="0.25">
      <c r="D97" s="21">
        <v>2</v>
      </c>
      <c r="K97" s="99"/>
      <c r="L97" s="100"/>
      <c r="M97" s="63"/>
      <c r="N97" s="100"/>
      <c r="O97" s="101"/>
      <c r="P97" s="38"/>
      <c r="Q97" s="99"/>
      <c r="R97" s="100"/>
      <c r="S97" s="63"/>
      <c r="T97" s="100"/>
      <c r="U97" s="103"/>
      <c r="AB97" s="39"/>
      <c r="AC97" s="39"/>
      <c r="AD97" s="39"/>
      <c r="AE97" s="39"/>
      <c r="AF97" s="39"/>
      <c r="AG97" s="39"/>
      <c r="AH97" s="39"/>
      <c r="AI97" s="39"/>
      <c r="AJ97" s="39"/>
    </row>
    <row r="98" spans="1:36" ht="15" x14ac:dyDescent="0.25">
      <c r="D98" s="21">
        <v>2</v>
      </c>
      <c r="K98" s="104" t="str">
        <f>+A99&amp;" ("&amp;B99&amp;")"</f>
        <v>Projected Debt Free Net Cash Flow (10)</v>
      </c>
      <c r="L98" s="100"/>
      <c r="M98" s="100"/>
      <c r="N98" s="100">
        <f>+AB99</f>
        <v>161937.49024501507</v>
      </c>
      <c r="O98" s="101"/>
      <c r="P98" s="38"/>
      <c r="Q98" s="105" t="s">
        <v>60</v>
      </c>
      <c r="R98" s="100"/>
      <c r="S98" s="100">
        <f>+AD99</f>
        <v>134538.38734501507</v>
      </c>
      <c r="T98" s="106">
        <f>+AE99</f>
        <v>14.6</v>
      </c>
      <c r="U98" s="103">
        <f>+T98*S98</f>
        <v>1964260.45523722</v>
      </c>
      <c r="AB98" s="39"/>
      <c r="AC98" s="39"/>
      <c r="AD98" s="39"/>
      <c r="AE98" s="39"/>
      <c r="AF98" s="39"/>
      <c r="AG98" s="39"/>
      <c r="AH98" s="39"/>
      <c r="AI98" s="39"/>
      <c r="AJ98" s="39"/>
    </row>
    <row r="99" spans="1:36" ht="16.899999999999999" customHeight="1" x14ac:dyDescent="0.25">
      <c r="A99" s="107" t="s">
        <v>61</v>
      </c>
      <c r="B99" s="14">
        <f>+B$83</f>
        <v>10</v>
      </c>
      <c r="D99" s="21">
        <v>2</v>
      </c>
      <c r="K99" s="104" t="str">
        <f>+A100&amp;" ("&amp;B100&amp;")"</f>
        <v>Divided by Capitalization Factor (9)</v>
      </c>
      <c r="L99" s="100"/>
      <c r="M99" s="78"/>
      <c r="N99" s="108">
        <f>+AB95</f>
        <v>8.48E-2</v>
      </c>
      <c r="O99" s="101"/>
      <c r="P99" s="38"/>
      <c r="Q99" s="105" t="s">
        <v>62</v>
      </c>
      <c r="R99" s="100"/>
      <c r="S99" s="78">
        <f>+AD100</f>
        <v>231116.06014501507</v>
      </c>
      <c r="T99" s="106">
        <f>+AE100</f>
        <v>10.1</v>
      </c>
      <c r="U99" s="109">
        <f>+T99*S99</f>
        <v>2334272.2074646521</v>
      </c>
      <c r="AB99" s="39">
        <f>+AB52</f>
        <v>161937.49024501507</v>
      </c>
      <c r="AC99" s="39"/>
      <c r="AD99" s="39">
        <f>+AD83</f>
        <v>134538.38734501507</v>
      </c>
      <c r="AE99" s="39">
        <f>+AE$83</f>
        <v>14.6</v>
      </c>
      <c r="AF99" s="39"/>
      <c r="AG99" s="39"/>
      <c r="AH99" s="39"/>
      <c r="AI99" s="39"/>
      <c r="AJ99" s="39"/>
    </row>
    <row r="100" spans="1:36" ht="16.899999999999999" customHeight="1" x14ac:dyDescent="0.25">
      <c r="A100" s="107" t="s">
        <v>63</v>
      </c>
      <c r="B100" s="14">
        <f>+B$58</f>
        <v>9</v>
      </c>
      <c r="D100" s="21">
        <v>2</v>
      </c>
      <c r="K100" s="111" t="str">
        <f>+K84</f>
        <v>13th Year Terminal Value</v>
      </c>
      <c r="L100" s="100"/>
      <c r="M100" s="63"/>
      <c r="N100" s="78">
        <f>+N98/N99</f>
        <v>1909640.2151534795</v>
      </c>
      <c r="O100" s="101"/>
      <c r="P100" s="38"/>
      <c r="Q100" s="112" t="s">
        <v>64</v>
      </c>
      <c r="R100" s="100"/>
      <c r="S100" s="63"/>
      <c r="T100" s="100"/>
      <c r="U100" s="113">
        <f>ROUND((0.33*U98)+(0.67*U99),0)</f>
        <v>2212168</v>
      </c>
      <c r="AB100" s="39"/>
      <c r="AC100" s="39"/>
      <c r="AD100" s="39">
        <f>+AD84</f>
        <v>231116.06014501507</v>
      </c>
      <c r="AE100" s="39">
        <f>+AE$84</f>
        <v>10.1</v>
      </c>
      <c r="AF100" s="39"/>
      <c r="AG100" s="39"/>
      <c r="AH100" s="39"/>
      <c r="AI100" s="39"/>
      <c r="AJ100" s="39"/>
    </row>
    <row r="101" spans="1:36" ht="16.899999999999999" customHeight="1" x14ac:dyDescent="0.25">
      <c r="D101" s="21">
        <v>2</v>
      </c>
      <c r="K101" s="104" t="str">
        <f>+A102&amp;" ("&amp;B102&amp;")"</f>
        <v>13th Year Present Value Factor (12)</v>
      </c>
      <c r="L101" s="100"/>
      <c r="M101" s="63"/>
      <c r="N101" s="114">
        <f>+AB102</f>
        <v>0.36149999999999999</v>
      </c>
      <c r="O101" s="101"/>
      <c r="P101" s="38"/>
      <c r="Q101" s="105" t="str">
        <f>+K101</f>
        <v>13th Year Present Value Factor (12)</v>
      </c>
      <c r="R101" s="100"/>
      <c r="S101" s="63"/>
      <c r="T101" s="100"/>
      <c r="U101" s="115">
        <f>+AB102</f>
        <v>0.36149999999999999</v>
      </c>
      <c r="AC101" s="39"/>
      <c r="AD101" s="39"/>
      <c r="AE101" s="39"/>
      <c r="AF101" s="39"/>
      <c r="AG101" s="39"/>
      <c r="AH101" s="39"/>
      <c r="AI101" s="39"/>
      <c r="AJ101" s="39"/>
    </row>
    <row r="102" spans="1:36" ht="16.899999999999999" customHeight="1" x14ac:dyDescent="0.25">
      <c r="A102" s="107" t="str">
        <f>+A86</f>
        <v>13th Year Present Value Factor</v>
      </c>
      <c r="B102" s="14">
        <f>MAX(B$20:B101)+1</f>
        <v>12</v>
      </c>
      <c r="D102" s="21">
        <v>2</v>
      </c>
      <c r="K102" s="104" t="s">
        <v>65</v>
      </c>
      <c r="L102" s="116"/>
      <c r="M102" s="63"/>
      <c r="N102" s="117">
        <f>+N101*N100</f>
        <v>690334.93777798279</v>
      </c>
      <c r="O102" s="101"/>
      <c r="P102" s="38"/>
      <c r="Q102" s="105" t="s">
        <v>65</v>
      </c>
      <c r="R102" s="116"/>
      <c r="S102" s="63"/>
      <c r="T102" s="78"/>
      <c r="U102" s="118">
        <f>+U101*U100</f>
        <v>799698.73199999996</v>
      </c>
      <c r="AB102" s="119">
        <f>+Z$58</f>
        <v>0.36149999999999999</v>
      </c>
      <c r="AC102" s="39"/>
      <c r="AD102" s="120"/>
      <c r="AE102" s="39"/>
      <c r="AF102" s="39"/>
      <c r="AG102" s="39"/>
      <c r="AH102" s="39"/>
      <c r="AI102" s="39"/>
      <c r="AJ102" s="39"/>
    </row>
    <row r="103" spans="1:36" ht="16.899999999999999" customHeight="1" x14ac:dyDescent="0.25">
      <c r="D103" s="21">
        <v>2</v>
      </c>
      <c r="K103" s="104" t="s">
        <v>66</v>
      </c>
      <c r="L103" s="116"/>
      <c r="M103" s="63"/>
      <c r="N103" s="100"/>
      <c r="O103" s="101"/>
      <c r="P103" s="38"/>
      <c r="Q103" s="105" t="s">
        <v>66</v>
      </c>
      <c r="R103" s="116"/>
      <c r="S103" s="63"/>
      <c r="T103" s="116"/>
      <c r="U103" s="103"/>
      <c r="AB103" s="39"/>
      <c r="AC103" s="39"/>
      <c r="AD103" s="39"/>
      <c r="AE103" s="39"/>
      <c r="AF103" s="39"/>
      <c r="AG103" s="39"/>
      <c r="AH103" s="39"/>
      <c r="AI103" s="39"/>
      <c r="AJ103" s="39"/>
    </row>
    <row r="104" spans="1:36" ht="16.899999999999999" customHeight="1" x14ac:dyDescent="0.25">
      <c r="D104" s="21">
        <v>2</v>
      </c>
      <c r="K104" s="104" t="str">
        <f>+K$88</f>
        <v>Cash Flow for 13 Years</v>
      </c>
      <c r="L104" s="116"/>
      <c r="M104" s="63"/>
      <c r="N104" s="121">
        <f>+AB105</f>
        <v>985886.49478701071</v>
      </c>
      <c r="O104" s="101"/>
      <c r="P104" s="38"/>
      <c r="Q104" s="105" t="str">
        <f>+Q$88</f>
        <v>Cash Flow for 13 Years</v>
      </c>
      <c r="R104" s="116"/>
      <c r="S104" s="63"/>
      <c r="T104" s="78"/>
      <c r="U104" s="109">
        <f>+AB105</f>
        <v>985886.49478701071</v>
      </c>
      <c r="AB104" s="39"/>
      <c r="AC104" s="39"/>
      <c r="AD104" s="39"/>
      <c r="AE104" s="39"/>
      <c r="AF104" s="39"/>
      <c r="AG104" s="39"/>
      <c r="AH104" s="39"/>
      <c r="AI104" s="39"/>
      <c r="AJ104" s="39"/>
    </row>
    <row r="105" spans="1:36" ht="16.899999999999999" customHeight="1" x14ac:dyDescent="0.25">
      <c r="B105" s="127">
        <f>MAX(B$20:B104)+1</f>
        <v>13</v>
      </c>
      <c r="D105" s="21">
        <v>2</v>
      </c>
      <c r="K105" s="104"/>
      <c r="L105" s="116"/>
      <c r="M105" s="63"/>
      <c r="N105" s="100"/>
      <c r="O105" s="101"/>
      <c r="P105" s="38"/>
      <c r="Q105" s="105"/>
      <c r="R105" s="116"/>
      <c r="S105" s="63"/>
      <c r="T105" s="100"/>
      <c r="U105" s="103"/>
      <c r="AB105" s="39">
        <f>+AB60</f>
        <v>985886.49478701071</v>
      </c>
      <c r="AC105" s="39"/>
      <c r="AD105" s="39"/>
      <c r="AE105" s="39"/>
      <c r="AF105" s="39"/>
      <c r="AG105" s="39"/>
      <c r="AH105" s="39"/>
      <c r="AI105" s="39"/>
      <c r="AJ105" s="39"/>
    </row>
    <row r="106" spans="1:36" ht="16.899999999999999" customHeight="1" thickBot="1" x14ac:dyDescent="0.3">
      <c r="D106" s="21">
        <v>2</v>
      </c>
      <c r="K106" s="104" t="s">
        <v>67</v>
      </c>
      <c r="L106" s="116"/>
      <c r="M106" s="63"/>
      <c r="N106" s="66">
        <f>+N102+N104</f>
        <v>1676221.4325649934</v>
      </c>
      <c r="O106" s="101"/>
      <c r="P106" s="38"/>
      <c r="Q106" s="105" t="s">
        <v>67</v>
      </c>
      <c r="R106" s="116"/>
      <c r="S106" s="63"/>
      <c r="T106" s="78"/>
      <c r="U106" s="122">
        <f>+U102+U104</f>
        <v>1785585.2267870107</v>
      </c>
      <c r="AB106" s="39"/>
      <c r="AC106" s="39"/>
      <c r="AD106" s="39"/>
      <c r="AE106" s="39"/>
      <c r="AF106" s="39"/>
      <c r="AG106" s="39"/>
      <c r="AH106" s="39"/>
      <c r="AI106" s="39"/>
      <c r="AJ106" s="39"/>
    </row>
    <row r="107" spans="1:36" ht="16.899999999999999" customHeight="1" thickTop="1" thickBot="1" x14ac:dyDescent="0.3">
      <c r="D107" s="21">
        <v>2</v>
      </c>
      <c r="K107" s="123"/>
      <c r="L107" s="124"/>
      <c r="M107" s="125"/>
      <c r="N107" s="124"/>
      <c r="O107" s="126"/>
      <c r="P107" s="38"/>
      <c r="Q107" s="123"/>
      <c r="R107" s="124"/>
      <c r="S107" s="125"/>
      <c r="T107" s="124"/>
      <c r="U107" s="126"/>
      <c r="AB107" s="39"/>
      <c r="AC107" s="39"/>
      <c r="AD107" s="39"/>
      <c r="AE107" s="39"/>
      <c r="AF107" s="39"/>
      <c r="AG107" s="39"/>
      <c r="AH107" s="39"/>
      <c r="AI107" s="39"/>
      <c r="AJ107" s="39"/>
    </row>
    <row r="108" spans="1:36" ht="15" x14ac:dyDescent="0.25">
      <c r="D108" s="21">
        <v>2</v>
      </c>
      <c r="K108" s="100"/>
      <c r="L108" s="100"/>
      <c r="M108" s="63"/>
      <c r="N108" s="38"/>
      <c r="O108" s="100"/>
      <c r="P108" s="38"/>
      <c r="Q108" s="38"/>
      <c r="R108" s="39"/>
      <c r="S108" s="39"/>
      <c r="T108" s="39"/>
      <c r="U108" s="39"/>
      <c r="AB108" s="39"/>
      <c r="AC108" s="39"/>
      <c r="AD108" s="39"/>
      <c r="AE108" s="39"/>
      <c r="AF108" s="39"/>
      <c r="AG108" s="39"/>
      <c r="AH108" s="39"/>
      <c r="AI108" s="39"/>
      <c r="AJ108" s="39"/>
    </row>
    <row r="109" spans="1:36" ht="15" x14ac:dyDescent="0.25">
      <c r="D109" s="21">
        <v>2</v>
      </c>
      <c r="K109" s="100"/>
      <c r="L109" s="100"/>
      <c r="M109" s="63"/>
      <c r="N109" s="38"/>
      <c r="O109" s="100"/>
      <c r="P109" s="38"/>
      <c r="Q109" s="38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G109" s="39"/>
      <c r="AH109" s="39"/>
      <c r="AI109" s="39"/>
      <c r="AJ109" s="39"/>
    </row>
    <row r="110" spans="1:36" ht="16.5" thickBot="1" x14ac:dyDescent="0.3">
      <c r="D110" s="21">
        <v>2</v>
      </c>
      <c r="G110" s="128"/>
      <c r="L110" s="38"/>
      <c r="M110" s="38"/>
      <c r="N110" s="38"/>
      <c r="O110" s="38"/>
      <c r="P110" s="38"/>
      <c r="Q110" s="38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G110" s="39"/>
      <c r="AH110" s="39"/>
      <c r="AI110" s="39"/>
      <c r="AJ110" s="39"/>
    </row>
    <row r="111" spans="1:36" ht="15.75" thickBot="1" x14ac:dyDescent="0.3">
      <c r="D111" s="21">
        <v>2</v>
      </c>
      <c r="G111" s="129"/>
      <c r="K111" s="87" t="str">
        <f>+"DCF With Capitalization of Terminal Value Model @ "&amp;TEXT(AB112,"0.00%")</f>
        <v>DCF With Capitalization of Terminal Value Model @ 5.32%</v>
      </c>
      <c r="L111" s="88"/>
      <c r="M111" s="88"/>
      <c r="N111" s="88"/>
      <c r="O111" s="89"/>
      <c r="P111" s="38"/>
      <c r="Q111" s="87" t="str">
        <f>+"DCF With Capitalization of Terminal Value Model @ "&amp;TEXT(AB128,"0.00%")</f>
        <v>DCF With Capitalization of Terminal Value Model @ 6.68%</v>
      </c>
      <c r="R111" s="88"/>
      <c r="S111" s="88"/>
      <c r="T111" s="88"/>
      <c r="U111" s="89"/>
      <c r="AB111" s="39"/>
      <c r="AC111" s="39"/>
      <c r="AD111" s="39"/>
      <c r="AE111" s="39"/>
      <c r="AF111" s="39"/>
      <c r="AG111" s="39"/>
      <c r="AH111" s="39"/>
      <c r="AI111" s="39"/>
      <c r="AJ111" s="39"/>
    </row>
    <row r="112" spans="1:36" ht="15" x14ac:dyDescent="0.25">
      <c r="C112" s="84" t="s">
        <v>68</v>
      </c>
      <c r="D112" s="21">
        <v>2</v>
      </c>
      <c r="G112" s="90"/>
      <c r="K112" s="91"/>
      <c r="L112" s="92"/>
      <c r="M112" s="93"/>
      <c r="N112" s="94" t="s">
        <v>58</v>
      </c>
      <c r="O112" s="95"/>
      <c r="Q112" s="91"/>
      <c r="R112" s="92"/>
      <c r="S112" s="93"/>
      <c r="T112" s="94" t="s">
        <v>58</v>
      </c>
      <c r="U112" s="95"/>
      <c r="AB112" s="97">
        <f>+AC62</f>
        <v>5.3199999999999997E-2</v>
      </c>
      <c r="AC112" s="39"/>
      <c r="AD112" s="97">
        <f>+AB112</f>
        <v>5.3199999999999997E-2</v>
      </c>
      <c r="AE112" s="39"/>
      <c r="AF112" s="39"/>
      <c r="AG112" s="39"/>
      <c r="AH112" s="39"/>
      <c r="AI112" s="39"/>
      <c r="AJ112" s="39"/>
    </row>
    <row r="113" spans="1:40" ht="15" x14ac:dyDescent="0.25">
      <c r="D113" s="21">
        <v>2</v>
      </c>
      <c r="K113" s="99"/>
      <c r="L113" s="100"/>
      <c r="M113" s="63"/>
      <c r="N113" s="22" t="s">
        <v>59</v>
      </c>
      <c r="O113" s="101"/>
      <c r="Q113" s="99"/>
      <c r="R113" s="100"/>
      <c r="S113" s="63"/>
      <c r="T113" s="22" t="s">
        <v>59</v>
      </c>
      <c r="U113" s="101"/>
      <c r="AB113" s="39"/>
      <c r="AC113" s="39"/>
      <c r="AD113" s="39"/>
      <c r="AE113" s="39"/>
      <c r="AF113" s="39"/>
      <c r="AG113" s="39"/>
      <c r="AH113" s="39"/>
      <c r="AI113" s="39"/>
      <c r="AJ113" s="39"/>
    </row>
    <row r="114" spans="1:40" ht="15" x14ac:dyDescent="0.25">
      <c r="D114" s="21">
        <v>2</v>
      </c>
      <c r="K114" s="99"/>
      <c r="L114" s="100"/>
      <c r="M114" s="63"/>
      <c r="N114" s="100"/>
      <c r="O114" s="101"/>
      <c r="Q114" s="99"/>
      <c r="R114" s="100"/>
      <c r="S114" s="63"/>
      <c r="T114" s="100"/>
      <c r="U114" s="101"/>
      <c r="AB114" s="39"/>
      <c r="AC114" s="39"/>
      <c r="AD114" s="39"/>
      <c r="AE114" s="39"/>
      <c r="AF114" s="39"/>
      <c r="AG114" s="39"/>
      <c r="AH114" s="39"/>
      <c r="AI114" s="39"/>
      <c r="AJ114" s="39"/>
    </row>
    <row r="115" spans="1:40" ht="15" x14ac:dyDescent="0.25">
      <c r="D115" s="21">
        <v>2</v>
      </c>
      <c r="K115" s="104" t="str">
        <f>+K82</f>
        <v>Projected Debt Free Net Cash Flow (10)</v>
      </c>
      <c r="L115" s="100"/>
      <c r="M115" s="100"/>
      <c r="N115" s="100">
        <f>+AB116</f>
        <v>161937.49024501507</v>
      </c>
      <c r="O115" s="101"/>
      <c r="Q115" s="104" t="str">
        <f t="shared" ref="Q115:Q121" si="58">+K98</f>
        <v>Projected Debt Free Net Cash Flow (10)</v>
      </c>
      <c r="R115" s="100"/>
      <c r="S115" s="100"/>
      <c r="T115" s="100">
        <f>+AB132</f>
        <v>161937.49024501507</v>
      </c>
      <c r="U115" s="101"/>
      <c r="AB115" s="39"/>
      <c r="AC115" s="39"/>
      <c r="AD115" s="39"/>
      <c r="AE115" s="39"/>
      <c r="AF115" s="39"/>
      <c r="AG115" s="39"/>
      <c r="AH115" s="39"/>
      <c r="AI115" s="39"/>
      <c r="AJ115" s="39"/>
    </row>
    <row r="116" spans="1:40" ht="16.899999999999999" customHeight="1" x14ac:dyDescent="0.25">
      <c r="A116" s="107" t="s">
        <v>61</v>
      </c>
      <c r="B116" s="14">
        <f>B$83</f>
        <v>10</v>
      </c>
      <c r="D116" s="21">
        <v>2</v>
      </c>
      <c r="K116" s="104" t="str">
        <f t="shared" ref="K116:K120" si="59">+K83</f>
        <v>Divided by Capitalization Factor (8)</v>
      </c>
      <c r="L116" s="100"/>
      <c r="M116" s="78"/>
      <c r="N116" s="108">
        <f>+AB112</f>
        <v>5.3199999999999997E-2</v>
      </c>
      <c r="O116" s="101"/>
      <c r="Q116" s="104" t="str">
        <f t="shared" si="58"/>
        <v>Divided by Capitalization Factor (9)</v>
      </c>
      <c r="R116" s="100"/>
      <c r="S116" s="78"/>
      <c r="T116" s="108">
        <f>+AB128</f>
        <v>6.6799999999999998E-2</v>
      </c>
      <c r="U116" s="101"/>
      <c r="AB116" s="39">
        <f>+AB$52</f>
        <v>161937.49024501507</v>
      </c>
      <c r="AC116" s="39"/>
      <c r="AD116" s="39">
        <f>+Z$42</f>
        <v>134538.38734501507</v>
      </c>
      <c r="AE116" s="39">
        <f>+AE$83</f>
        <v>14.6</v>
      </c>
      <c r="AF116" s="39"/>
      <c r="AG116" s="39"/>
      <c r="AH116" s="39"/>
      <c r="AI116" s="39"/>
      <c r="AJ116" s="39"/>
    </row>
    <row r="117" spans="1:40" ht="16.899999999999999" customHeight="1" x14ac:dyDescent="0.25">
      <c r="A117" s="107" t="s">
        <v>63</v>
      </c>
      <c r="B117" s="14">
        <f>+B$54</f>
        <v>8</v>
      </c>
      <c r="D117" s="21">
        <v>2</v>
      </c>
      <c r="K117" s="104" t="str">
        <f t="shared" si="59"/>
        <v>13th Year Terminal Value</v>
      </c>
      <c r="L117" s="100"/>
      <c r="M117" s="63"/>
      <c r="N117" s="78">
        <f>+N115/N116</f>
        <v>3043937.7865604339</v>
      </c>
      <c r="O117" s="101"/>
      <c r="Q117" s="104" t="str">
        <f t="shared" si="58"/>
        <v>13th Year Terminal Value</v>
      </c>
      <c r="R117" s="100"/>
      <c r="S117" s="63"/>
      <c r="T117" s="78">
        <f>+T115/T116</f>
        <v>2424213.9258235791</v>
      </c>
      <c r="U117" s="101"/>
      <c r="AB117" s="39"/>
      <c r="AC117" s="39"/>
      <c r="AD117" s="39">
        <f>+Z$41</f>
        <v>231116.06014501507</v>
      </c>
      <c r="AE117" s="39">
        <f>+AE$84</f>
        <v>10.1</v>
      </c>
      <c r="AF117" s="39"/>
      <c r="AG117" s="39"/>
      <c r="AH117" s="39"/>
      <c r="AI117" s="39"/>
      <c r="AJ117" s="39"/>
    </row>
    <row r="118" spans="1:40" ht="16.899999999999999" customHeight="1" x14ac:dyDescent="0.25">
      <c r="D118" s="21">
        <v>2</v>
      </c>
      <c r="K118" s="104" t="str">
        <f t="shared" si="59"/>
        <v>13th Year Present Value Factor (11)</v>
      </c>
      <c r="L118" s="100"/>
      <c r="M118" s="63"/>
      <c r="N118" s="114">
        <f>+N85</f>
        <v>0.42330000000000001</v>
      </c>
      <c r="O118" s="101"/>
      <c r="Q118" s="104" t="str">
        <f t="shared" si="58"/>
        <v>13th Year Present Value Factor (12)</v>
      </c>
      <c r="R118" s="100"/>
      <c r="S118" s="63"/>
      <c r="T118" s="114">
        <f>+N101</f>
        <v>0.36149999999999999</v>
      </c>
      <c r="U118" s="101"/>
      <c r="AC118" s="39"/>
      <c r="AD118" s="39"/>
      <c r="AE118" s="39"/>
      <c r="AF118" s="39"/>
      <c r="AG118" s="39"/>
      <c r="AH118" s="39"/>
      <c r="AI118" s="39"/>
      <c r="AJ118" s="39"/>
    </row>
    <row r="119" spans="1:40" ht="16.899999999999999" customHeight="1" x14ac:dyDescent="0.25">
      <c r="A119" s="107" t="s">
        <v>69</v>
      </c>
      <c r="B119" s="14">
        <f>B$86</f>
        <v>11</v>
      </c>
      <c r="D119" s="21">
        <v>2</v>
      </c>
      <c r="K119" s="104" t="str">
        <f t="shared" si="59"/>
        <v>Present Value of Terminal Value</v>
      </c>
      <c r="L119" s="116"/>
      <c r="M119" s="63"/>
      <c r="N119" s="117">
        <f>+N118*N117</f>
        <v>1288498.8650510318</v>
      </c>
      <c r="O119" s="101"/>
      <c r="Q119" s="104" t="str">
        <f t="shared" si="58"/>
        <v>Present Value of Terminal Value</v>
      </c>
      <c r="R119" s="116"/>
      <c r="S119" s="63"/>
      <c r="T119" s="117">
        <f>+T118*T117</f>
        <v>876353.33418522379</v>
      </c>
      <c r="U119" s="101"/>
      <c r="AB119" s="119">
        <f>+Z62</f>
        <v>0.52310000000000001</v>
      </c>
      <c r="AC119" s="39"/>
      <c r="AD119" s="120">
        <f>+AB119</f>
        <v>0.52310000000000001</v>
      </c>
      <c r="AE119" s="39"/>
      <c r="AF119" s="39"/>
      <c r="AG119" s="39"/>
      <c r="AH119" s="39"/>
      <c r="AI119" s="39"/>
      <c r="AJ119" s="39"/>
    </row>
    <row r="120" spans="1:40" ht="16.899999999999999" customHeight="1" x14ac:dyDescent="0.25">
      <c r="D120" s="21">
        <v>2</v>
      </c>
      <c r="K120" s="104" t="str">
        <f t="shared" si="59"/>
        <v>Present Value Debt Free Net</v>
      </c>
      <c r="L120" s="116"/>
      <c r="M120" s="63"/>
      <c r="N120" s="100"/>
      <c r="O120" s="101"/>
      <c r="Q120" s="104" t="str">
        <f t="shared" si="58"/>
        <v>Present Value Debt Free Net</v>
      </c>
      <c r="R120" s="116"/>
      <c r="S120" s="63"/>
      <c r="T120" s="100"/>
      <c r="U120" s="101"/>
      <c r="AB120" s="39"/>
      <c r="AC120" s="39"/>
      <c r="AD120" s="39"/>
      <c r="AE120" s="39"/>
      <c r="AF120" s="39"/>
      <c r="AG120" s="39"/>
      <c r="AH120" s="39"/>
      <c r="AI120" s="39"/>
      <c r="AJ120" s="39"/>
    </row>
    <row r="121" spans="1:40" ht="16.899999999999999" customHeight="1" x14ac:dyDescent="0.25">
      <c r="D121" s="21">
        <v>2</v>
      </c>
      <c r="K121" s="104" t="str">
        <f>+K$88</f>
        <v>Cash Flow for 13 Years</v>
      </c>
      <c r="L121" s="116"/>
      <c r="M121" s="63"/>
      <c r="N121" s="121">
        <f>+AB122</f>
        <v>1076622.812479439</v>
      </c>
      <c r="O121" s="101"/>
      <c r="Q121" s="104" t="str">
        <f t="shared" si="58"/>
        <v>Cash Flow for 13 Years</v>
      </c>
      <c r="R121" s="116"/>
      <c r="S121" s="63"/>
      <c r="T121" s="121">
        <f>+AB138</f>
        <v>985886.49478701071</v>
      </c>
      <c r="U121" s="101"/>
      <c r="V121" s="39"/>
      <c r="W121" s="39"/>
      <c r="X121" s="39"/>
      <c r="Y121" s="39"/>
      <c r="AB121" s="39"/>
      <c r="AC121" s="39"/>
      <c r="AD121" s="39"/>
      <c r="AE121" s="39"/>
      <c r="AF121" s="39"/>
      <c r="AG121" s="39"/>
      <c r="AH121" s="39"/>
      <c r="AI121" s="39"/>
      <c r="AJ121" s="39"/>
    </row>
    <row r="122" spans="1:40" ht="16.899999999999999" customHeight="1" x14ac:dyDescent="0.25">
      <c r="D122" s="21">
        <v>2</v>
      </c>
      <c r="K122" s="104"/>
      <c r="L122" s="116"/>
      <c r="M122" s="63"/>
      <c r="N122" s="100"/>
      <c r="O122" s="101"/>
      <c r="Q122" s="104"/>
      <c r="R122" s="116"/>
      <c r="S122" s="63"/>
      <c r="T122" s="100"/>
      <c r="U122" s="101"/>
      <c r="V122" s="39"/>
      <c r="W122" s="39"/>
      <c r="X122" s="39"/>
      <c r="Y122" s="39"/>
      <c r="AB122" s="39">
        <f>+AB56</f>
        <v>1076622.812479439</v>
      </c>
      <c r="AC122" s="39"/>
      <c r="AD122" s="39">
        <f>+AB122</f>
        <v>1076622.812479439</v>
      </c>
      <c r="AE122" s="39"/>
      <c r="AF122" s="39"/>
      <c r="AG122" s="39"/>
      <c r="AH122" s="39"/>
      <c r="AI122" s="39"/>
      <c r="AJ122" s="39"/>
    </row>
    <row r="123" spans="1:40" ht="16.899999999999999" customHeight="1" thickBot="1" x14ac:dyDescent="0.3">
      <c r="D123" s="21">
        <v>2</v>
      </c>
      <c r="K123" s="104" t="s">
        <v>67</v>
      </c>
      <c r="L123" s="116"/>
      <c r="M123" s="63"/>
      <c r="N123" s="66">
        <f>+N119+N121</f>
        <v>2365121.6775304708</v>
      </c>
      <c r="O123" s="101"/>
      <c r="Q123" s="104" t="s">
        <v>67</v>
      </c>
      <c r="R123" s="116"/>
      <c r="S123" s="63"/>
      <c r="T123" s="66">
        <f>+T119+T121</f>
        <v>1862239.8289722344</v>
      </c>
      <c r="U123" s="101"/>
      <c r="V123" s="39"/>
      <c r="W123" s="39"/>
      <c r="X123" s="39"/>
      <c r="Y123" s="39"/>
      <c r="AB123" s="39"/>
      <c r="AC123" s="39"/>
      <c r="AD123" s="39"/>
      <c r="AE123" s="39"/>
      <c r="AF123" s="39"/>
      <c r="AG123" s="39"/>
      <c r="AH123" s="39"/>
      <c r="AI123" s="39"/>
      <c r="AJ123" s="39"/>
    </row>
    <row r="124" spans="1:40" ht="16.899999999999999" customHeight="1" thickTop="1" thickBot="1" x14ac:dyDescent="0.3">
      <c r="D124" s="21">
        <v>2</v>
      </c>
      <c r="K124" s="123"/>
      <c r="L124" s="124"/>
      <c r="M124" s="125"/>
      <c r="N124" s="124"/>
      <c r="O124" s="126"/>
      <c r="Q124" s="123"/>
      <c r="R124" s="124"/>
      <c r="S124" s="125"/>
      <c r="T124" s="124"/>
      <c r="U124" s="126"/>
      <c r="V124" s="39"/>
      <c r="W124" s="39"/>
      <c r="X124" s="39"/>
      <c r="Y124" s="39"/>
      <c r="AB124" s="39"/>
      <c r="AC124" s="39"/>
      <c r="AD124" s="39"/>
      <c r="AE124" s="39"/>
      <c r="AF124" s="39"/>
      <c r="AG124" s="39"/>
      <c r="AH124" s="39"/>
      <c r="AI124" s="39"/>
      <c r="AJ124" s="39"/>
    </row>
    <row r="125" spans="1:40" ht="15" x14ac:dyDescent="0.25">
      <c r="D125" s="21">
        <v>2</v>
      </c>
      <c r="K125" s="38"/>
      <c r="L125" s="39"/>
      <c r="M125" s="39"/>
      <c r="N125" s="39"/>
      <c r="O125" s="39"/>
      <c r="P125" s="38"/>
      <c r="Q125" s="130"/>
      <c r="R125" s="131"/>
      <c r="S125" s="131"/>
      <c r="T125" s="131"/>
      <c r="U125" s="131"/>
      <c r="V125" s="39"/>
      <c r="W125" s="39"/>
      <c r="X125" s="39"/>
      <c r="Y125" s="39"/>
      <c r="AB125" s="39"/>
      <c r="AC125" s="39"/>
      <c r="AD125" s="39"/>
      <c r="AE125" s="39"/>
      <c r="AF125" s="39"/>
      <c r="AG125" s="39"/>
      <c r="AH125" s="39"/>
      <c r="AI125" s="39"/>
      <c r="AJ125" s="39"/>
    </row>
    <row r="126" spans="1:40" ht="15" x14ac:dyDescent="0.25">
      <c r="D126" s="21"/>
      <c r="K126" s="38"/>
      <c r="L126" s="39"/>
      <c r="M126" s="39"/>
      <c r="N126" s="39"/>
      <c r="O126" s="39"/>
      <c r="P126" s="38"/>
      <c r="Q126" s="130"/>
      <c r="R126" s="131"/>
      <c r="S126" s="131"/>
      <c r="T126" s="131"/>
      <c r="U126" s="131"/>
      <c r="V126" s="39"/>
      <c r="W126" s="39"/>
      <c r="X126" s="39"/>
      <c r="Y126" s="39"/>
      <c r="AB126" s="39"/>
      <c r="AC126" s="39"/>
      <c r="AD126" s="39"/>
      <c r="AE126" s="39"/>
      <c r="AF126" s="39"/>
      <c r="AG126" s="39"/>
      <c r="AH126" s="39"/>
      <c r="AI126" s="39"/>
      <c r="AJ126" s="39"/>
    </row>
    <row r="127" spans="1:40" ht="15" x14ac:dyDescent="0.25">
      <c r="D127" s="21"/>
      <c r="P127" s="38"/>
      <c r="Q127" s="132" t="str">
        <f>+"DCF With EBIT &amp; EBITDA Terminal Value Model - Discount Rate of "&amp;TEXT(AD128,"0.00%")</f>
        <v>DCF With EBIT &amp; EBITDA Terminal Value Model - Discount Rate of 6.68%</v>
      </c>
      <c r="R127" s="132"/>
      <c r="S127" s="132"/>
      <c r="T127" s="132"/>
      <c r="U127" s="132"/>
      <c r="V127" s="39"/>
      <c r="W127" s="39"/>
      <c r="X127" s="39"/>
      <c r="Y127" s="39"/>
      <c r="AB127" s="39"/>
      <c r="AC127" s="39"/>
      <c r="AD127" s="39"/>
      <c r="AE127" s="39"/>
      <c r="AF127" s="39"/>
      <c r="AG127" s="39"/>
      <c r="AH127" s="39"/>
      <c r="AI127" s="39"/>
      <c r="AJ127" s="39"/>
      <c r="AL127" s="110"/>
      <c r="AM127" s="129"/>
      <c r="AN127" s="129"/>
    </row>
    <row r="128" spans="1:40" ht="15" x14ac:dyDescent="0.25">
      <c r="D128" s="21"/>
      <c r="P128" s="38"/>
      <c r="Q128" s="133"/>
      <c r="R128" s="133"/>
      <c r="S128" s="134"/>
      <c r="T128" s="133"/>
      <c r="U128" s="135" t="s">
        <v>58</v>
      </c>
      <c r="V128" s="39"/>
      <c r="W128" s="39"/>
      <c r="X128" s="39"/>
      <c r="Y128" s="39"/>
      <c r="AB128" s="97">
        <f>+AC66</f>
        <v>6.6799999999999998E-2</v>
      </c>
      <c r="AC128" s="39"/>
      <c r="AD128" s="97">
        <f>+AB128</f>
        <v>6.6799999999999998E-2</v>
      </c>
      <c r="AE128" s="39"/>
      <c r="AF128" s="39"/>
      <c r="AG128" s="39"/>
      <c r="AH128" s="39"/>
      <c r="AI128" s="39"/>
      <c r="AJ128" s="39"/>
    </row>
    <row r="129" spans="4:36" ht="15" x14ac:dyDescent="0.25">
      <c r="D129" s="21"/>
      <c r="P129" s="38"/>
      <c r="Q129" s="133"/>
      <c r="R129" s="133"/>
      <c r="S129" s="134"/>
      <c r="T129" s="136" t="s">
        <v>70</v>
      </c>
      <c r="U129" s="136" t="s">
        <v>59</v>
      </c>
      <c r="V129" s="39"/>
      <c r="W129" s="39"/>
      <c r="X129" s="39"/>
      <c r="Y129" s="39"/>
      <c r="AB129" s="39"/>
      <c r="AC129" s="39"/>
      <c r="AD129" s="39"/>
      <c r="AE129" s="39"/>
      <c r="AF129" s="39"/>
      <c r="AG129" s="39"/>
      <c r="AH129" s="39"/>
      <c r="AI129" s="39"/>
      <c r="AJ129" s="39"/>
    </row>
    <row r="130" spans="4:36" ht="15" x14ac:dyDescent="0.25">
      <c r="D130" s="21"/>
      <c r="P130" s="38"/>
      <c r="Q130" s="133"/>
      <c r="R130" s="133"/>
      <c r="S130" s="134"/>
      <c r="T130" s="133"/>
      <c r="U130" s="133"/>
      <c r="V130" s="39"/>
      <c r="W130" s="39"/>
      <c r="X130" s="39"/>
      <c r="Y130" s="39"/>
      <c r="AB130" s="39"/>
      <c r="AC130" s="39"/>
      <c r="AD130" s="39"/>
      <c r="AE130" s="39"/>
      <c r="AF130" s="39"/>
      <c r="AG130" s="39"/>
      <c r="AH130" s="39"/>
      <c r="AI130" s="39"/>
      <c r="AJ130" s="39"/>
    </row>
    <row r="131" spans="4:36" ht="15" x14ac:dyDescent="0.25">
      <c r="D131" s="21"/>
      <c r="P131" s="38"/>
      <c r="Q131" s="137" t="s">
        <v>60</v>
      </c>
      <c r="R131" s="133"/>
      <c r="S131" s="133">
        <f>+AD132</f>
        <v>134538.38734501507</v>
      </c>
      <c r="T131" s="138">
        <f>+AE132</f>
        <v>14.6</v>
      </c>
      <c r="U131" s="133">
        <f>+T131*S131</f>
        <v>1964260.45523722</v>
      </c>
      <c r="V131" s="39"/>
      <c r="W131" s="39"/>
      <c r="X131" s="39"/>
      <c r="Y131" s="39"/>
      <c r="AB131" s="39"/>
      <c r="AC131" s="39"/>
      <c r="AD131" s="39"/>
      <c r="AE131" s="39"/>
      <c r="AF131" s="39"/>
      <c r="AG131" s="39"/>
      <c r="AH131" s="39"/>
      <c r="AI131" s="39"/>
      <c r="AJ131" s="39"/>
    </row>
    <row r="132" spans="4:36" ht="16.899999999999999" customHeight="1" x14ac:dyDescent="0.25">
      <c r="D132" s="21"/>
      <c r="P132" s="38"/>
      <c r="Q132" s="137" t="s">
        <v>62</v>
      </c>
      <c r="R132" s="133"/>
      <c r="S132" s="139">
        <f>+AD133</f>
        <v>231116.06014501507</v>
      </c>
      <c r="T132" s="138">
        <f>+AE133</f>
        <v>10.1</v>
      </c>
      <c r="U132" s="139">
        <f>+T132*S132</f>
        <v>2334272.2074646521</v>
      </c>
      <c r="V132" s="39"/>
      <c r="W132" s="39"/>
      <c r="X132" s="39"/>
      <c r="Y132" s="39"/>
      <c r="AB132" s="39">
        <f>+AB$52</f>
        <v>161937.49024501507</v>
      </c>
      <c r="AC132" s="39"/>
      <c r="AD132" s="39">
        <f>+AD116</f>
        <v>134538.38734501507</v>
      </c>
      <c r="AE132" s="39">
        <f>+AE$83</f>
        <v>14.6</v>
      </c>
      <c r="AF132" s="39"/>
      <c r="AG132" s="39"/>
      <c r="AH132" s="39"/>
      <c r="AI132" s="39"/>
      <c r="AJ132" s="39"/>
    </row>
    <row r="133" spans="4:36" ht="16.899999999999999" customHeight="1" x14ac:dyDescent="0.25">
      <c r="D133" s="21"/>
      <c r="P133" s="38"/>
      <c r="Q133" s="140" t="s">
        <v>64</v>
      </c>
      <c r="R133" s="133"/>
      <c r="S133" s="134"/>
      <c r="T133" s="133"/>
      <c r="U133" s="139">
        <f>ROUND((0.33*U131)+(0.67*U132),0)</f>
        <v>2212168</v>
      </c>
      <c r="V133" s="39"/>
      <c r="W133" s="39"/>
      <c r="X133" s="39"/>
      <c r="Y133" s="39"/>
      <c r="AB133" s="39"/>
      <c r="AC133" s="39"/>
      <c r="AD133" s="39">
        <f>+AD117</f>
        <v>231116.06014501507</v>
      </c>
      <c r="AE133" s="39">
        <f>+AE$84</f>
        <v>10.1</v>
      </c>
      <c r="AF133" s="39"/>
      <c r="AG133" s="39"/>
      <c r="AH133" s="39"/>
      <c r="AI133" s="39"/>
      <c r="AJ133" s="39"/>
    </row>
    <row r="134" spans="4:36" ht="16.899999999999999" customHeight="1" x14ac:dyDescent="0.25">
      <c r="D134" s="21"/>
      <c r="P134" s="38"/>
      <c r="Q134" s="137" t="str">
        <f>+Q118</f>
        <v>13th Year Present Value Factor (12)</v>
      </c>
      <c r="R134" s="133"/>
      <c r="S134" s="134"/>
      <c r="T134" s="133"/>
      <c r="U134" s="141">
        <f>+U101</f>
        <v>0.36149999999999999</v>
      </c>
      <c r="V134" s="39"/>
      <c r="W134" s="39"/>
      <c r="X134" s="39"/>
      <c r="Y134" s="39"/>
      <c r="AC134" s="39"/>
      <c r="AD134" s="39"/>
      <c r="AE134" s="39"/>
      <c r="AF134" s="39"/>
      <c r="AG134" s="39"/>
      <c r="AH134" s="39"/>
      <c r="AI134" s="39"/>
      <c r="AJ134" s="39"/>
    </row>
    <row r="135" spans="4:36" ht="16.899999999999999" customHeight="1" x14ac:dyDescent="0.25">
      <c r="D135" s="21"/>
      <c r="P135" s="38"/>
      <c r="Q135" s="137" t="s">
        <v>65</v>
      </c>
      <c r="R135" s="137"/>
      <c r="S135" s="134"/>
      <c r="T135" s="139"/>
      <c r="U135" s="139">
        <f>+U134*U133</f>
        <v>799698.73199999996</v>
      </c>
      <c r="V135" s="39"/>
      <c r="W135" s="39"/>
      <c r="X135" s="39"/>
      <c r="Y135" s="39"/>
      <c r="AB135" s="119">
        <f>+Z66</f>
        <v>0.4456</v>
      </c>
      <c r="AC135" s="39"/>
      <c r="AD135" s="120">
        <f>+AB135</f>
        <v>0.4456</v>
      </c>
      <c r="AE135" s="39"/>
      <c r="AF135" s="39"/>
      <c r="AG135" s="39"/>
      <c r="AH135" s="39"/>
      <c r="AI135" s="39"/>
      <c r="AJ135" s="39"/>
    </row>
    <row r="136" spans="4:36" ht="16.899999999999999" customHeight="1" x14ac:dyDescent="0.25">
      <c r="D136" s="21"/>
      <c r="P136" s="38"/>
      <c r="Q136" s="137" t="s">
        <v>66</v>
      </c>
      <c r="R136" s="137"/>
      <c r="S136" s="134"/>
      <c r="T136" s="137"/>
      <c r="U136" s="133"/>
      <c r="V136" s="39"/>
      <c r="W136" s="39"/>
      <c r="X136" s="39"/>
      <c r="Y136" s="39"/>
      <c r="AB136" s="39"/>
      <c r="AC136" s="39"/>
      <c r="AD136" s="39"/>
      <c r="AE136" s="39"/>
      <c r="AF136" s="39"/>
      <c r="AG136" s="39"/>
      <c r="AH136" s="39"/>
      <c r="AI136" s="39"/>
      <c r="AJ136" s="39"/>
    </row>
    <row r="137" spans="4:36" ht="16.899999999999999" customHeight="1" x14ac:dyDescent="0.25">
      <c r="D137" s="21"/>
      <c r="P137" s="38"/>
      <c r="Q137" s="137" t="str">
        <f>+Q$88</f>
        <v>Cash Flow for 13 Years</v>
      </c>
      <c r="R137" s="137"/>
      <c r="S137" s="134"/>
      <c r="T137" s="139"/>
      <c r="U137" s="139">
        <f>+AB138</f>
        <v>985886.49478701071</v>
      </c>
      <c r="V137" s="39"/>
      <c r="W137" s="39"/>
      <c r="X137" s="39"/>
      <c r="Y137" s="39"/>
      <c r="AB137" s="39"/>
      <c r="AC137" s="39"/>
      <c r="AD137" s="39"/>
      <c r="AE137" s="39"/>
      <c r="AF137" s="39"/>
      <c r="AG137" s="39"/>
      <c r="AH137" s="39"/>
      <c r="AI137" s="39"/>
      <c r="AJ137" s="39"/>
    </row>
    <row r="138" spans="4:36" ht="16.899999999999999" customHeight="1" x14ac:dyDescent="0.25">
      <c r="D138" s="21"/>
      <c r="P138" s="38"/>
      <c r="Q138" s="137"/>
      <c r="R138" s="137"/>
      <c r="S138" s="134"/>
      <c r="T138" s="133"/>
      <c r="U138" s="133"/>
      <c r="V138" s="39"/>
      <c r="W138" s="39"/>
      <c r="X138" s="39"/>
      <c r="Y138" s="39"/>
      <c r="AB138" s="39">
        <f>+AB60</f>
        <v>985886.49478701071</v>
      </c>
      <c r="AC138" s="39"/>
      <c r="AD138" s="39">
        <f>+AB138</f>
        <v>985886.49478701071</v>
      </c>
      <c r="AE138" s="39"/>
      <c r="AF138" s="39"/>
      <c r="AG138" s="39"/>
      <c r="AH138" s="39"/>
      <c r="AI138" s="39"/>
      <c r="AJ138" s="39"/>
    </row>
    <row r="139" spans="4:36" ht="16.899999999999999" customHeight="1" x14ac:dyDescent="0.25">
      <c r="D139" s="21"/>
      <c r="P139" s="38"/>
      <c r="Q139" s="137" t="s">
        <v>67</v>
      </c>
      <c r="R139" s="137"/>
      <c r="S139" s="134"/>
      <c r="T139" s="139"/>
      <c r="U139" s="133">
        <f>+U135+U137</f>
        <v>1785585.2267870107</v>
      </c>
      <c r="V139" s="39"/>
      <c r="W139" s="39"/>
      <c r="X139" s="39"/>
      <c r="Y139" s="39"/>
      <c r="AB139" s="39"/>
      <c r="AC139" s="39"/>
      <c r="AD139" s="39"/>
      <c r="AE139" s="39"/>
      <c r="AF139" s="39"/>
      <c r="AG139" s="39"/>
      <c r="AH139" s="39"/>
      <c r="AI139" s="39"/>
      <c r="AJ139" s="39"/>
    </row>
    <row r="140" spans="4:36" ht="16.899999999999999" customHeight="1" x14ac:dyDescent="0.25">
      <c r="D140" s="21"/>
      <c r="P140" s="38"/>
      <c r="Q140" s="133"/>
      <c r="R140" s="133"/>
      <c r="S140" s="134"/>
      <c r="T140" s="133"/>
      <c r="U140" s="133"/>
      <c r="V140" s="39"/>
      <c r="W140" s="39"/>
      <c r="X140" s="39"/>
      <c r="Y140" s="39"/>
      <c r="AB140" s="39"/>
      <c r="AC140" s="39"/>
      <c r="AD140" s="39"/>
      <c r="AE140" s="39"/>
      <c r="AF140" s="39"/>
      <c r="AG140" s="39"/>
      <c r="AH140" s="39"/>
      <c r="AI140" s="39"/>
      <c r="AJ140" s="39"/>
    </row>
    <row r="141" spans="4:36" ht="15" x14ac:dyDescent="0.25">
      <c r="D141" s="21"/>
      <c r="K141" s="100"/>
      <c r="L141" s="100"/>
      <c r="M141" s="63"/>
      <c r="N141" s="38"/>
      <c r="O141" s="100"/>
      <c r="P141" s="38"/>
      <c r="Q141" s="38"/>
      <c r="R141" s="39"/>
      <c r="S141" s="39"/>
      <c r="T141" s="39"/>
      <c r="U141" s="39"/>
      <c r="V141" s="39"/>
      <c r="W141" s="39"/>
      <c r="X141" s="39"/>
      <c r="Y141" s="39"/>
      <c r="AB141" s="39"/>
      <c r="AC141" s="39"/>
      <c r="AD141" s="39"/>
      <c r="AE141" s="39"/>
      <c r="AF141" s="39"/>
      <c r="AG141" s="39"/>
      <c r="AH141" s="39"/>
      <c r="AI141" s="39"/>
      <c r="AJ141" s="39"/>
    </row>
    <row r="142" spans="4:36" ht="15.75" x14ac:dyDescent="0.25">
      <c r="D142" s="21">
        <v>2</v>
      </c>
      <c r="L142" s="82" t="s">
        <v>71</v>
      </c>
      <c r="M142" s="63"/>
      <c r="N142" s="38"/>
      <c r="O142" s="100"/>
      <c r="P142" s="38"/>
      <c r="Q142" s="38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G142" s="39"/>
      <c r="AH142" s="39"/>
      <c r="AI142" s="39"/>
      <c r="AJ142" s="39"/>
    </row>
    <row r="143" spans="4:36" ht="16.5" thickBot="1" x14ac:dyDescent="0.3">
      <c r="D143" s="21">
        <v>2</v>
      </c>
      <c r="G143" s="82"/>
      <c r="L143" s="38"/>
      <c r="M143" s="38"/>
      <c r="N143" s="38"/>
      <c r="O143" s="38"/>
      <c r="P143" s="38"/>
      <c r="Q143" s="38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G143" s="39"/>
      <c r="AH143" s="39"/>
      <c r="AI143" s="39"/>
      <c r="AJ143" s="39"/>
    </row>
    <row r="144" spans="4:36" ht="15.75" thickBot="1" x14ac:dyDescent="0.3">
      <c r="D144" s="21">
        <v>3</v>
      </c>
      <c r="K144" s="87" t="str">
        <f>+"DCF With Capitalization of Terminal Value Model @ "&amp;TEXT(AB145,"0.00%")</f>
        <v>DCF With Capitalization of Terminal Value Model @ 3.84%</v>
      </c>
      <c r="L144" s="88"/>
      <c r="M144" s="88"/>
      <c r="N144" s="88"/>
      <c r="O144" s="89"/>
      <c r="P144" s="38"/>
      <c r="Q144" s="87" t="str">
        <f>+"DCF With EBIT &amp; EBITDA Terminal Value Model - Discount Rate of "&amp;TEXT(AD145,"0.00%")</f>
        <v>DCF With EBIT &amp; EBITDA Terminal Value Model - Discount Rate of 3.84%</v>
      </c>
      <c r="R144" s="88"/>
      <c r="S144" s="88"/>
      <c r="T144" s="88"/>
      <c r="U144" s="89"/>
      <c r="V144" s="39"/>
      <c r="W144" s="39"/>
      <c r="X144" s="39"/>
      <c r="Y144" s="39"/>
      <c r="AB144" s="39"/>
      <c r="AC144" s="39"/>
      <c r="AD144" s="39"/>
      <c r="AE144" s="39"/>
      <c r="AF144" s="39"/>
      <c r="AG144" s="39"/>
      <c r="AH144" s="39"/>
      <c r="AI144" s="39"/>
      <c r="AJ144" s="39"/>
    </row>
    <row r="145" spans="3:36" ht="15" x14ac:dyDescent="0.25">
      <c r="C145" s="84" t="s">
        <v>72</v>
      </c>
      <c r="D145" s="21">
        <v>3</v>
      </c>
      <c r="G145" s="90"/>
      <c r="K145" s="91"/>
      <c r="L145" s="92"/>
      <c r="M145" s="93"/>
      <c r="N145" s="94" t="s">
        <v>58</v>
      </c>
      <c r="O145" s="95"/>
      <c r="Q145" s="91"/>
      <c r="R145" s="92"/>
      <c r="S145" s="93"/>
      <c r="T145" s="92"/>
      <c r="U145" s="96" t="s">
        <v>58</v>
      </c>
      <c r="V145" s="39"/>
      <c r="W145" s="39"/>
      <c r="X145" s="39"/>
      <c r="Y145" s="39"/>
      <c r="AB145" s="97">
        <f>+AC70</f>
        <v>3.8399999999999997E-2</v>
      </c>
      <c r="AC145" s="39"/>
      <c r="AD145" s="97">
        <f>+AB145</f>
        <v>3.8399999999999997E-2</v>
      </c>
      <c r="AE145" s="39"/>
      <c r="AF145" s="39"/>
      <c r="AG145" s="39"/>
      <c r="AH145" s="39"/>
      <c r="AI145" s="39"/>
      <c r="AJ145" s="39"/>
    </row>
    <row r="146" spans="3:36" ht="15" x14ac:dyDescent="0.25">
      <c r="D146" s="21">
        <v>3</v>
      </c>
      <c r="K146" s="99"/>
      <c r="L146" s="100"/>
      <c r="M146" s="63"/>
      <c r="N146" s="22" t="s">
        <v>59</v>
      </c>
      <c r="O146" s="101"/>
      <c r="Q146" s="99"/>
      <c r="R146" s="100"/>
      <c r="S146" s="63"/>
      <c r="T146" s="22" t="str">
        <f>+T96</f>
        <v>Multiples (13)</v>
      </c>
      <c r="U146" s="102" t="s">
        <v>59</v>
      </c>
      <c r="V146" s="39"/>
      <c r="W146" s="39"/>
      <c r="X146" s="39"/>
      <c r="Y146" s="39"/>
      <c r="AB146" s="39"/>
      <c r="AC146" s="39"/>
      <c r="AD146" s="39"/>
      <c r="AE146" s="39"/>
      <c r="AF146" s="39"/>
      <c r="AG146" s="39"/>
      <c r="AH146" s="39"/>
      <c r="AI146" s="39"/>
      <c r="AJ146" s="39"/>
    </row>
    <row r="147" spans="3:36" ht="15" x14ac:dyDescent="0.25">
      <c r="D147" s="21">
        <v>3</v>
      </c>
      <c r="K147" s="99"/>
      <c r="L147" s="100"/>
      <c r="M147" s="63"/>
      <c r="N147" s="100"/>
      <c r="O147" s="101"/>
      <c r="Q147" s="99"/>
      <c r="R147" s="100"/>
      <c r="S147" s="63"/>
      <c r="T147" s="100"/>
      <c r="U147" s="103"/>
      <c r="V147" s="39"/>
      <c r="W147" s="39"/>
      <c r="X147" s="39"/>
      <c r="Y147" s="39"/>
      <c r="AB147" s="39"/>
      <c r="AC147" s="39"/>
      <c r="AD147" s="39"/>
      <c r="AE147" s="39"/>
      <c r="AF147" s="39"/>
      <c r="AG147" s="39"/>
      <c r="AH147" s="39"/>
      <c r="AI147" s="39"/>
      <c r="AJ147" s="39"/>
    </row>
    <row r="148" spans="3:36" ht="15" x14ac:dyDescent="0.25">
      <c r="D148" s="21">
        <v>3</v>
      </c>
      <c r="K148" s="104" t="str">
        <f t="shared" ref="K148:K154" si="60">+K115</f>
        <v>Projected Debt Free Net Cash Flow (10)</v>
      </c>
      <c r="L148" s="100"/>
      <c r="M148" s="100"/>
      <c r="N148" s="100">
        <f>+AB149</f>
        <v>161937.49024501507</v>
      </c>
      <c r="O148" s="101"/>
      <c r="Q148" s="105" t="s">
        <v>60</v>
      </c>
      <c r="R148" s="100"/>
      <c r="S148" s="100">
        <f>+AD149</f>
        <v>134538.38734501507</v>
      </c>
      <c r="T148" s="106">
        <f>+AE149</f>
        <v>14.6</v>
      </c>
      <c r="U148" s="103">
        <f>+T148*S148</f>
        <v>1964260.45523722</v>
      </c>
      <c r="V148" s="39"/>
      <c r="W148" s="39"/>
      <c r="X148" s="39"/>
      <c r="Y148" s="39"/>
      <c r="AB148" s="39"/>
      <c r="AC148" s="39"/>
      <c r="AD148" s="39"/>
      <c r="AE148" s="39"/>
      <c r="AF148" s="39"/>
      <c r="AG148" s="39"/>
      <c r="AH148" s="39"/>
      <c r="AI148" s="39"/>
      <c r="AJ148" s="39"/>
    </row>
    <row r="149" spans="3:36" ht="16.899999999999999" customHeight="1" x14ac:dyDescent="0.25">
      <c r="D149" s="21">
        <v>3</v>
      </c>
      <c r="K149" s="104" t="str">
        <f t="shared" si="60"/>
        <v>Divided by Capitalization Factor (8)</v>
      </c>
      <c r="L149" s="100"/>
      <c r="M149" s="78"/>
      <c r="N149" s="108">
        <f>+AB145</f>
        <v>3.8399999999999997E-2</v>
      </c>
      <c r="O149" s="101"/>
      <c r="Q149" s="105" t="s">
        <v>62</v>
      </c>
      <c r="R149" s="100"/>
      <c r="S149" s="78">
        <f>+AD150</f>
        <v>231116.06014501507</v>
      </c>
      <c r="T149" s="106">
        <f>+AE150</f>
        <v>10.1</v>
      </c>
      <c r="U149" s="109">
        <f>+T149*S149</f>
        <v>2334272.2074646521</v>
      </c>
      <c r="V149" s="39"/>
      <c r="W149" s="39"/>
      <c r="X149" s="39"/>
      <c r="Y149" s="39"/>
      <c r="AB149" s="39">
        <f>+AB$52</f>
        <v>161937.49024501507</v>
      </c>
      <c r="AC149" s="39"/>
      <c r="AD149" s="39">
        <f>+Z$42</f>
        <v>134538.38734501507</v>
      </c>
      <c r="AE149" s="39">
        <f>+AE$83</f>
        <v>14.6</v>
      </c>
      <c r="AF149" s="39"/>
      <c r="AG149" s="39"/>
      <c r="AH149" s="39"/>
      <c r="AI149" s="39"/>
      <c r="AJ149" s="39"/>
    </row>
    <row r="150" spans="3:36" ht="16.899999999999999" customHeight="1" x14ac:dyDescent="0.25">
      <c r="D150" s="21">
        <v>3</v>
      </c>
      <c r="K150" s="104" t="str">
        <f t="shared" si="60"/>
        <v>13th Year Terminal Value</v>
      </c>
      <c r="L150" s="100"/>
      <c r="M150" s="63"/>
      <c r="N150" s="78">
        <f>+N148/N149</f>
        <v>4217122.1417972678</v>
      </c>
      <c r="O150" s="101"/>
      <c r="Q150" s="112" t="s">
        <v>64</v>
      </c>
      <c r="R150" s="100"/>
      <c r="S150" s="63"/>
      <c r="T150" s="100"/>
      <c r="U150" s="113">
        <f>ROUND((0.33*U148)+(0.67*U149),0)</f>
        <v>2212168</v>
      </c>
      <c r="V150" s="39"/>
      <c r="W150" s="39"/>
      <c r="X150" s="39"/>
      <c r="Y150" s="39"/>
      <c r="AB150" s="39"/>
      <c r="AC150" s="39"/>
      <c r="AD150" s="39">
        <f>+Z$41</f>
        <v>231116.06014501507</v>
      </c>
      <c r="AE150" s="39">
        <f>+AE$84</f>
        <v>10.1</v>
      </c>
      <c r="AF150" s="39"/>
      <c r="AG150" s="39"/>
      <c r="AH150" s="39"/>
      <c r="AI150" s="39"/>
      <c r="AJ150" s="39"/>
    </row>
    <row r="151" spans="3:36" ht="16.899999999999999" customHeight="1" x14ac:dyDescent="0.25">
      <c r="D151" s="21">
        <v>3</v>
      </c>
      <c r="K151" s="104" t="str">
        <f t="shared" si="60"/>
        <v>13th Year Present Value Factor (11)</v>
      </c>
      <c r="L151" s="100"/>
      <c r="M151" s="63"/>
      <c r="N151" s="114">
        <f>+AB152</f>
        <v>0.62439999999999996</v>
      </c>
      <c r="O151" s="101"/>
      <c r="Q151" s="105" t="str">
        <f>+K151</f>
        <v>13th Year Present Value Factor (11)</v>
      </c>
      <c r="R151" s="100"/>
      <c r="S151" s="63"/>
      <c r="T151" s="100"/>
      <c r="U151" s="115">
        <f>+AD152</f>
        <v>0.62439999999999996</v>
      </c>
      <c r="V151" s="39"/>
      <c r="W151" s="39"/>
      <c r="X151" s="39"/>
      <c r="Y151" s="39"/>
      <c r="AC151" s="39"/>
      <c r="AD151" s="39"/>
      <c r="AE151" s="39"/>
      <c r="AF151" s="39"/>
      <c r="AG151" s="39"/>
      <c r="AH151" s="39"/>
      <c r="AI151" s="39"/>
      <c r="AJ151" s="39"/>
    </row>
    <row r="152" spans="3:36" ht="16.899999999999999" customHeight="1" x14ac:dyDescent="0.25">
      <c r="D152" s="21">
        <v>3</v>
      </c>
      <c r="K152" s="104" t="str">
        <f t="shared" si="60"/>
        <v>Present Value of Terminal Value</v>
      </c>
      <c r="L152" s="116"/>
      <c r="M152" s="63"/>
      <c r="N152" s="117">
        <f>+N151*N150</f>
        <v>2633171.0653382139</v>
      </c>
      <c r="O152" s="101"/>
      <c r="Q152" s="105" t="s">
        <v>65</v>
      </c>
      <c r="R152" s="116"/>
      <c r="S152" s="63"/>
      <c r="T152" s="78"/>
      <c r="U152" s="118">
        <f>+U151*U150</f>
        <v>1381277.6991999999</v>
      </c>
      <c r="V152" s="39"/>
      <c r="W152" s="39"/>
      <c r="X152" s="39"/>
      <c r="Y152" s="39"/>
      <c r="AA152" s="1" t="s">
        <v>73</v>
      </c>
      <c r="AB152" s="119">
        <f>+Z70</f>
        <v>0.62439999999999996</v>
      </c>
      <c r="AC152" s="39"/>
      <c r="AD152" s="120">
        <f>+AB152</f>
        <v>0.62439999999999996</v>
      </c>
      <c r="AE152" s="39"/>
      <c r="AF152" s="39"/>
      <c r="AG152" s="39"/>
      <c r="AH152" s="39"/>
      <c r="AI152" s="39"/>
      <c r="AJ152" s="39"/>
    </row>
    <row r="153" spans="3:36" ht="16.899999999999999" customHeight="1" x14ac:dyDescent="0.25">
      <c r="D153" s="21">
        <v>3</v>
      </c>
      <c r="K153" s="104" t="str">
        <f t="shared" si="60"/>
        <v>Present Value Debt Free Net</v>
      </c>
      <c r="L153" s="116"/>
      <c r="M153" s="63"/>
      <c r="N153" s="100"/>
      <c r="O153" s="101"/>
      <c r="Q153" s="105" t="s">
        <v>66</v>
      </c>
      <c r="R153" s="116"/>
      <c r="S153" s="63"/>
      <c r="T153" s="116"/>
      <c r="U153" s="103"/>
      <c r="V153" s="39"/>
      <c r="W153" s="39"/>
      <c r="X153" s="39"/>
      <c r="Y153" s="39"/>
      <c r="AB153" s="39"/>
      <c r="AC153" s="39"/>
      <c r="AD153" s="39"/>
      <c r="AE153" s="39"/>
      <c r="AF153" s="39"/>
      <c r="AG153" s="39"/>
      <c r="AH153" s="39"/>
      <c r="AI153" s="39"/>
      <c r="AJ153" s="39"/>
    </row>
    <row r="154" spans="3:36" ht="16.899999999999999" customHeight="1" x14ac:dyDescent="0.25">
      <c r="D154" s="21">
        <v>3</v>
      </c>
      <c r="K154" s="104" t="str">
        <f t="shared" si="60"/>
        <v>Cash Flow for 13 Years</v>
      </c>
      <c r="L154" s="116"/>
      <c r="M154" s="63"/>
      <c r="N154" s="121">
        <f>+AB155</f>
        <v>1345438.4253284438</v>
      </c>
      <c r="O154" s="101"/>
      <c r="Q154" s="105" t="str">
        <f>+Q$88</f>
        <v>Cash Flow for 13 Years</v>
      </c>
      <c r="R154" s="116"/>
      <c r="S154" s="63"/>
      <c r="T154" s="78"/>
      <c r="U154" s="109">
        <f>+AD155</f>
        <v>1345438.4253284438</v>
      </c>
      <c r="V154" s="39"/>
      <c r="W154" s="39"/>
      <c r="X154" s="39"/>
      <c r="Y154" s="39"/>
      <c r="AB154" s="39"/>
      <c r="AC154" s="39"/>
      <c r="AD154" s="39"/>
      <c r="AE154" s="39"/>
      <c r="AF154" s="39"/>
      <c r="AG154" s="39"/>
      <c r="AH154" s="39"/>
    </row>
    <row r="155" spans="3:36" ht="16.899999999999999" customHeight="1" x14ac:dyDescent="0.25">
      <c r="D155" s="21">
        <v>3</v>
      </c>
      <c r="K155" s="104"/>
      <c r="L155" s="116"/>
      <c r="M155" s="63"/>
      <c r="N155" s="100"/>
      <c r="O155" s="101"/>
      <c r="Q155" s="105"/>
      <c r="R155" s="116"/>
      <c r="S155" s="63"/>
      <c r="T155" s="100"/>
      <c r="U155" s="103"/>
      <c r="V155" s="39"/>
      <c r="W155" s="39"/>
      <c r="X155" s="39"/>
      <c r="Y155" s="39"/>
      <c r="AB155" s="39">
        <f>+AB72</f>
        <v>1345438.4253284438</v>
      </c>
      <c r="AC155" s="39"/>
      <c r="AD155" s="39">
        <f>+AB155</f>
        <v>1345438.4253284438</v>
      </c>
      <c r="AE155" s="39"/>
      <c r="AF155" s="39"/>
      <c r="AG155" s="39"/>
      <c r="AH155" s="39"/>
    </row>
    <row r="156" spans="3:36" ht="16.899999999999999" customHeight="1" thickBot="1" x14ac:dyDescent="0.3">
      <c r="D156" s="21">
        <v>3</v>
      </c>
      <c r="K156" s="104" t="s">
        <v>67</v>
      </c>
      <c r="L156" s="116"/>
      <c r="M156" s="63"/>
      <c r="N156" s="66">
        <f>+N152+N154</f>
        <v>3978609.4906666577</v>
      </c>
      <c r="O156" s="101"/>
      <c r="Q156" s="105" t="s">
        <v>67</v>
      </c>
      <c r="R156" s="116"/>
      <c r="S156" s="63"/>
      <c r="T156" s="78"/>
      <c r="U156" s="122">
        <f>+U152+U154</f>
        <v>2726716.1245284434</v>
      </c>
      <c r="V156" s="39"/>
      <c r="W156" s="39"/>
      <c r="X156" s="39"/>
      <c r="Y156" s="39"/>
      <c r="AB156" s="39"/>
      <c r="AC156" s="39"/>
      <c r="AD156" s="39"/>
      <c r="AE156" s="39"/>
      <c r="AF156" s="39"/>
      <c r="AG156" s="39"/>
      <c r="AH156" s="39"/>
    </row>
    <row r="157" spans="3:36" ht="16.899999999999999" customHeight="1" thickTop="1" thickBot="1" x14ac:dyDescent="0.3">
      <c r="D157" s="21">
        <v>3</v>
      </c>
      <c r="K157" s="123"/>
      <c r="L157" s="124"/>
      <c r="M157" s="125"/>
      <c r="N157" s="124"/>
      <c r="O157" s="126"/>
      <c r="Q157" s="123"/>
      <c r="R157" s="124"/>
      <c r="S157" s="125"/>
      <c r="T157" s="124"/>
      <c r="U157" s="126"/>
      <c r="V157" s="39"/>
      <c r="W157" s="39"/>
      <c r="X157" s="39"/>
      <c r="Y157" s="39"/>
      <c r="AB157" s="39"/>
      <c r="AC157" s="39"/>
      <c r="AD157" s="39"/>
      <c r="AE157" s="39"/>
      <c r="AF157" s="39"/>
      <c r="AG157" s="39"/>
      <c r="AH157" s="39"/>
    </row>
    <row r="158" spans="3:36" ht="15" x14ac:dyDescent="0.25">
      <c r="D158" s="21">
        <v>3</v>
      </c>
      <c r="K158" s="38"/>
      <c r="L158" s="39"/>
      <c r="M158" s="39"/>
      <c r="N158" s="39"/>
      <c r="O158" s="39"/>
      <c r="P158" s="38"/>
      <c r="Q158" s="38"/>
      <c r="R158" s="39"/>
      <c r="S158" s="39"/>
      <c r="T158" s="39"/>
      <c r="U158" s="39"/>
      <c r="V158" s="39"/>
      <c r="W158" s="39"/>
      <c r="X158" s="39"/>
      <c r="Y158" s="39"/>
      <c r="AB158" s="39"/>
      <c r="AC158" s="39"/>
      <c r="AD158" s="39"/>
      <c r="AE158" s="39"/>
      <c r="AF158" s="39"/>
      <c r="AG158" s="39"/>
      <c r="AH158" s="39"/>
    </row>
    <row r="159" spans="3:36" ht="15.75" thickBot="1" x14ac:dyDescent="0.3">
      <c r="D159" s="21">
        <v>3</v>
      </c>
      <c r="K159" s="38"/>
      <c r="L159" s="39"/>
      <c r="M159" s="39"/>
      <c r="N159" s="39"/>
      <c r="O159" s="39"/>
      <c r="P159" s="38"/>
      <c r="Q159" s="38"/>
      <c r="R159" s="39"/>
      <c r="S159" s="39"/>
      <c r="T159" s="39"/>
      <c r="U159" s="39"/>
      <c r="V159" s="39"/>
      <c r="W159" s="39"/>
      <c r="X159" s="39"/>
      <c r="Y159" s="39"/>
      <c r="AB159" s="39"/>
      <c r="AC159" s="39"/>
      <c r="AD159" s="39"/>
      <c r="AE159" s="39"/>
      <c r="AF159" s="39"/>
      <c r="AG159" s="39"/>
      <c r="AH159" s="39"/>
    </row>
    <row r="160" spans="3:36" ht="15.75" thickBot="1" x14ac:dyDescent="0.3">
      <c r="D160" s="21">
        <v>3</v>
      </c>
      <c r="K160" s="87" t="str">
        <f>+"DCF With Capitalization of Terminal Value Model @ "&amp;TEXT(AB161,"0.00%")</f>
        <v>DCF With Capitalization of Terminal Value Model @ 2.04%</v>
      </c>
      <c r="L160" s="88"/>
      <c r="M160" s="88"/>
      <c r="N160" s="88"/>
      <c r="O160" s="89"/>
      <c r="P160" s="38"/>
      <c r="Q160" s="87" t="str">
        <f>+"DCF With EBIT &amp; EBITDA Terminal Value Model - Discount Rate of "&amp;TEXT(AD161,"0.00%")</f>
        <v>DCF With EBIT &amp; EBITDA Terminal Value Model - Discount Rate of 2.04%</v>
      </c>
      <c r="R160" s="88"/>
      <c r="S160" s="88"/>
      <c r="T160" s="88"/>
      <c r="U160" s="89"/>
      <c r="V160" s="39"/>
      <c r="W160" s="39"/>
      <c r="X160" s="39"/>
      <c r="Y160" s="39"/>
      <c r="AB160" s="39"/>
      <c r="AC160" s="39"/>
      <c r="AD160" s="39"/>
      <c r="AE160" s="39"/>
      <c r="AF160" s="39"/>
      <c r="AG160" s="39"/>
      <c r="AH160" s="39"/>
    </row>
    <row r="161" spans="3:34" ht="15" x14ac:dyDescent="0.25">
      <c r="C161" s="84" t="s">
        <v>74</v>
      </c>
      <c r="D161" s="21">
        <v>3</v>
      </c>
      <c r="K161" s="91"/>
      <c r="L161" s="92"/>
      <c r="M161" s="93"/>
      <c r="N161" s="94" t="s">
        <v>58</v>
      </c>
      <c r="O161" s="95"/>
      <c r="P161" s="38"/>
      <c r="Q161" s="91"/>
      <c r="R161" s="92"/>
      <c r="S161" s="93"/>
      <c r="T161" s="92"/>
      <c r="U161" s="96" t="s">
        <v>58</v>
      </c>
      <c r="V161" s="39"/>
      <c r="W161" s="39"/>
      <c r="X161" s="39"/>
      <c r="Y161" s="39"/>
      <c r="AB161" s="97">
        <f>+AC74</f>
        <v>2.0399999999999998E-2</v>
      </c>
      <c r="AC161" s="39"/>
      <c r="AD161" s="97">
        <f>+AB161</f>
        <v>2.0399999999999998E-2</v>
      </c>
      <c r="AE161" s="39"/>
      <c r="AF161" s="39"/>
      <c r="AG161" s="39"/>
      <c r="AH161" s="39"/>
    </row>
    <row r="162" spans="3:34" ht="15" x14ac:dyDescent="0.25">
      <c r="D162" s="21">
        <v>3</v>
      </c>
      <c r="K162" s="99"/>
      <c r="L162" s="100"/>
      <c r="M162" s="63"/>
      <c r="N162" s="22" t="s">
        <v>59</v>
      </c>
      <c r="O162" s="101"/>
      <c r="P162" s="38"/>
      <c r="Q162" s="99"/>
      <c r="R162" s="100"/>
      <c r="S162" s="63"/>
      <c r="T162" s="22" t="str">
        <f>+T146</f>
        <v>Multiples (13)</v>
      </c>
      <c r="U162" s="102" t="s">
        <v>59</v>
      </c>
      <c r="V162" s="39"/>
      <c r="W162" s="39"/>
      <c r="X162" s="39"/>
      <c r="Y162" s="39"/>
      <c r="AB162" s="39"/>
      <c r="AC162" s="39"/>
      <c r="AD162" s="39"/>
      <c r="AE162" s="39"/>
      <c r="AF162" s="39"/>
      <c r="AG162" s="39"/>
      <c r="AH162" s="39"/>
    </row>
    <row r="163" spans="3:34" ht="15" x14ac:dyDescent="0.25">
      <c r="D163" s="21">
        <v>3</v>
      </c>
      <c r="K163" s="99"/>
      <c r="L163" s="100"/>
      <c r="M163" s="63"/>
      <c r="N163" s="100"/>
      <c r="O163" s="101"/>
      <c r="P163" s="38"/>
      <c r="Q163" s="99"/>
      <c r="R163" s="100"/>
      <c r="S163" s="63"/>
      <c r="T163" s="100"/>
      <c r="U163" s="103"/>
      <c r="V163" s="39"/>
      <c r="W163" s="39"/>
      <c r="X163" s="39"/>
      <c r="Y163" s="39"/>
      <c r="AB163" s="39"/>
      <c r="AC163" s="39"/>
      <c r="AD163" s="39"/>
      <c r="AE163" s="39"/>
      <c r="AF163" s="39"/>
      <c r="AG163" s="39"/>
      <c r="AH163" s="39"/>
    </row>
    <row r="164" spans="3:34" ht="15" x14ac:dyDescent="0.25">
      <c r="D164" s="21">
        <v>3</v>
      </c>
      <c r="K164" s="104" t="str">
        <f t="shared" ref="K164:K170" si="61">+Q115</f>
        <v>Projected Debt Free Net Cash Flow (10)</v>
      </c>
      <c r="L164" s="100"/>
      <c r="M164" s="100"/>
      <c r="N164" s="100">
        <f>+AB165</f>
        <v>161937.49024501507</v>
      </c>
      <c r="O164" s="101"/>
      <c r="P164" s="38"/>
      <c r="Q164" s="105" t="s">
        <v>60</v>
      </c>
      <c r="R164" s="100"/>
      <c r="S164" s="100">
        <f>+AD165</f>
        <v>134538.38734501507</v>
      </c>
      <c r="T164" s="106">
        <f>+AE165</f>
        <v>14.6</v>
      </c>
      <c r="U164" s="103">
        <f>+T164*S164</f>
        <v>1964260.45523722</v>
      </c>
      <c r="V164" s="39"/>
      <c r="W164" s="39"/>
      <c r="X164" s="39"/>
      <c r="Y164" s="39"/>
      <c r="AB164" s="39"/>
      <c r="AC164" s="39"/>
      <c r="AD164" s="39"/>
      <c r="AE164" s="39"/>
      <c r="AF164" s="39"/>
      <c r="AG164" s="39"/>
      <c r="AH164" s="39"/>
    </row>
    <row r="165" spans="3:34" ht="16.899999999999999" customHeight="1" x14ac:dyDescent="0.25">
      <c r="D165" s="21">
        <v>3</v>
      </c>
      <c r="K165" s="104" t="str">
        <f t="shared" si="61"/>
        <v>Divided by Capitalization Factor (9)</v>
      </c>
      <c r="L165" s="100"/>
      <c r="M165" s="78"/>
      <c r="N165" s="108">
        <f>+AB161</f>
        <v>2.0399999999999998E-2</v>
      </c>
      <c r="O165" s="101"/>
      <c r="P165" s="38"/>
      <c r="Q165" s="105" t="s">
        <v>62</v>
      </c>
      <c r="R165" s="100"/>
      <c r="S165" s="78">
        <f>+AD166</f>
        <v>231116.06014501507</v>
      </c>
      <c r="T165" s="106">
        <f>+AE166</f>
        <v>10.1</v>
      </c>
      <c r="U165" s="109">
        <f>+T165*S165</f>
        <v>2334272.2074646521</v>
      </c>
      <c r="V165" s="39"/>
      <c r="W165" s="39"/>
      <c r="X165" s="39"/>
      <c r="Y165" s="39"/>
      <c r="AB165" s="39">
        <f>+AB$52</f>
        <v>161937.49024501507</v>
      </c>
      <c r="AC165" s="39"/>
      <c r="AD165" s="39">
        <f>+AD149</f>
        <v>134538.38734501507</v>
      </c>
      <c r="AE165" s="39">
        <f>+AE$83</f>
        <v>14.6</v>
      </c>
      <c r="AF165" s="39"/>
      <c r="AG165" s="39"/>
      <c r="AH165" s="39"/>
    </row>
    <row r="166" spans="3:34" ht="16.899999999999999" customHeight="1" x14ac:dyDescent="0.25">
      <c r="D166" s="21">
        <v>3</v>
      </c>
      <c r="K166" s="104" t="str">
        <f t="shared" si="61"/>
        <v>13th Year Terminal Value</v>
      </c>
      <c r="L166" s="100"/>
      <c r="M166" s="63"/>
      <c r="N166" s="78">
        <f>+N164/N165</f>
        <v>7938112.2669125041</v>
      </c>
      <c r="O166" s="101"/>
      <c r="P166" s="38"/>
      <c r="Q166" s="112" t="s">
        <v>64</v>
      </c>
      <c r="R166" s="100"/>
      <c r="S166" s="63"/>
      <c r="T166" s="100"/>
      <c r="U166" s="113">
        <f>ROUND((0.33*U164)+(0.67*U165),0)</f>
        <v>2212168</v>
      </c>
      <c r="V166" s="39"/>
      <c r="W166" s="39"/>
      <c r="X166" s="39"/>
      <c r="Y166" s="39"/>
      <c r="AB166" s="39"/>
      <c r="AC166" s="39"/>
      <c r="AD166" s="39">
        <f>+AD150</f>
        <v>231116.06014501507</v>
      </c>
      <c r="AE166" s="39">
        <f>+AE$84</f>
        <v>10.1</v>
      </c>
      <c r="AF166" s="39"/>
      <c r="AG166" s="39"/>
      <c r="AH166" s="39"/>
    </row>
    <row r="167" spans="3:34" ht="16.899999999999999" customHeight="1" x14ac:dyDescent="0.25">
      <c r="D167" s="21">
        <v>3</v>
      </c>
      <c r="K167" s="104" t="str">
        <f t="shared" si="61"/>
        <v>13th Year Present Value Factor (12)</v>
      </c>
      <c r="L167" s="100"/>
      <c r="M167" s="63"/>
      <c r="N167" s="114">
        <f>+N151</f>
        <v>0.62439999999999996</v>
      </c>
      <c r="O167" s="101"/>
      <c r="P167" s="38"/>
      <c r="Q167" s="105" t="str">
        <f>+K167</f>
        <v>13th Year Present Value Factor (12)</v>
      </c>
      <c r="R167" s="100"/>
      <c r="S167" s="63"/>
      <c r="T167" s="100"/>
      <c r="U167" s="115">
        <f>+AD168</f>
        <v>0.62439999999999996</v>
      </c>
      <c r="V167" s="39"/>
      <c r="W167" s="39"/>
      <c r="X167" s="39"/>
      <c r="Y167" s="39"/>
      <c r="AC167" s="39"/>
      <c r="AD167" s="39"/>
      <c r="AE167" s="39"/>
      <c r="AF167" s="39"/>
      <c r="AG167" s="39"/>
      <c r="AH167" s="39"/>
    </row>
    <row r="168" spans="3:34" ht="16.899999999999999" customHeight="1" x14ac:dyDescent="0.25">
      <c r="D168" s="21">
        <v>3</v>
      </c>
      <c r="K168" s="104" t="str">
        <f t="shared" si="61"/>
        <v>Present Value of Terminal Value</v>
      </c>
      <c r="L168" s="116"/>
      <c r="M168" s="63"/>
      <c r="N168" s="117">
        <f>+N167*N166</f>
        <v>4956557.2994601671</v>
      </c>
      <c r="O168" s="101"/>
      <c r="P168" s="38"/>
      <c r="Q168" s="105" t="s">
        <v>65</v>
      </c>
      <c r="R168" s="116"/>
      <c r="S168" s="63"/>
      <c r="T168" s="78"/>
      <c r="U168" s="118">
        <f>+U167*U166</f>
        <v>1381277.6991999999</v>
      </c>
      <c r="V168" s="39"/>
      <c r="W168" s="39"/>
      <c r="X168" s="39"/>
      <c r="Y168" s="39"/>
      <c r="AB168" s="119">
        <f>+Z70</f>
        <v>0.62439999999999996</v>
      </c>
      <c r="AC168" s="39"/>
      <c r="AD168" s="120">
        <f>+AB168</f>
        <v>0.62439999999999996</v>
      </c>
      <c r="AE168" s="39"/>
      <c r="AF168" s="39"/>
      <c r="AG168" s="39"/>
      <c r="AH168" s="39"/>
    </row>
    <row r="169" spans="3:34" ht="16.899999999999999" customHeight="1" x14ac:dyDescent="0.25">
      <c r="D169" s="21">
        <v>3</v>
      </c>
      <c r="K169" s="104" t="str">
        <f t="shared" si="61"/>
        <v>Present Value Debt Free Net</v>
      </c>
      <c r="L169" s="116"/>
      <c r="M169" s="63"/>
      <c r="N169" s="100"/>
      <c r="O169" s="101"/>
      <c r="P169" s="38"/>
      <c r="Q169" s="105" t="s">
        <v>66</v>
      </c>
      <c r="R169" s="116"/>
      <c r="S169" s="63"/>
      <c r="T169" s="116"/>
      <c r="U169" s="103"/>
      <c r="V169" s="39"/>
      <c r="W169" s="39"/>
      <c r="X169" s="39"/>
      <c r="Y169" s="39"/>
      <c r="AB169" s="39"/>
      <c r="AC169" s="39"/>
      <c r="AD169" s="39"/>
      <c r="AE169" s="39"/>
      <c r="AF169" s="39"/>
      <c r="AG169" s="39"/>
      <c r="AH169" s="39"/>
    </row>
    <row r="170" spans="3:34" ht="16.899999999999999" customHeight="1" x14ac:dyDescent="0.25">
      <c r="D170" s="21">
        <v>3</v>
      </c>
      <c r="K170" s="104" t="str">
        <f t="shared" si="61"/>
        <v>Cash Flow for 13 Years</v>
      </c>
      <c r="L170" s="116"/>
      <c r="M170" s="63"/>
      <c r="N170" s="121">
        <f>+AB171</f>
        <v>1345438.4253284438</v>
      </c>
      <c r="O170" s="101"/>
      <c r="P170" s="38"/>
      <c r="Q170" s="105" t="str">
        <f>+Q$88</f>
        <v>Cash Flow for 13 Years</v>
      </c>
      <c r="R170" s="116"/>
      <c r="S170" s="63"/>
      <c r="T170" s="78"/>
      <c r="U170" s="109">
        <f>+AD171</f>
        <v>1345438.4253284438</v>
      </c>
      <c r="V170" s="39"/>
      <c r="W170" s="39"/>
      <c r="X170" s="39"/>
      <c r="Y170" s="39"/>
      <c r="AB170" s="39"/>
      <c r="AC170" s="39"/>
      <c r="AD170" s="39"/>
      <c r="AE170" s="39"/>
      <c r="AF170" s="39"/>
      <c r="AG170" s="39"/>
      <c r="AH170" s="39"/>
    </row>
    <row r="171" spans="3:34" ht="16.899999999999999" customHeight="1" x14ac:dyDescent="0.25">
      <c r="D171" s="21">
        <v>3</v>
      </c>
      <c r="K171" s="104"/>
      <c r="L171" s="116"/>
      <c r="M171" s="63"/>
      <c r="N171" s="100"/>
      <c r="O171" s="101"/>
      <c r="P171" s="38"/>
      <c r="Q171" s="105"/>
      <c r="R171" s="116"/>
      <c r="S171" s="63"/>
      <c r="T171" s="100"/>
      <c r="U171" s="103"/>
      <c r="V171" s="39"/>
      <c r="W171" s="39"/>
      <c r="X171" s="39"/>
      <c r="Y171" s="39"/>
      <c r="AB171" s="39">
        <f>+AB72</f>
        <v>1345438.4253284438</v>
      </c>
      <c r="AC171" s="39"/>
      <c r="AD171" s="39">
        <f>+AB171</f>
        <v>1345438.4253284438</v>
      </c>
      <c r="AE171" s="39"/>
      <c r="AF171" s="39"/>
      <c r="AG171" s="39"/>
      <c r="AH171" s="39"/>
    </row>
    <row r="172" spans="3:34" ht="16.899999999999999" customHeight="1" thickBot="1" x14ac:dyDescent="0.3">
      <c r="D172" s="21">
        <v>3</v>
      </c>
      <c r="K172" s="104" t="s">
        <v>67</v>
      </c>
      <c r="L172" s="116"/>
      <c r="M172" s="63"/>
      <c r="N172" s="66">
        <f>+N168+N170</f>
        <v>6301995.7247886108</v>
      </c>
      <c r="O172" s="101"/>
      <c r="P172" s="38"/>
      <c r="Q172" s="105" t="s">
        <v>67</v>
      </c>
      <c r="R172" s="116"/>
      <c r="S172" s="63"/>
      <c r="T172" s="78"/>
      <c r="U172" s="122">
        <f>+U168+U170</f>
        <v>2726716.1245284434</v>
      </c>
      <c r="V172" s="39"/>
      <c r="W172" s="39"/>
      <c r="X172" s="39"/>
      <c r="Y172" s="39"/>
      <c r="AB172" s="39"/>
      <c r="AC172" s="39"/>
      <c r="AD172" s="39"/>
      <c r="AE172" s="39"/>
      <c r="AF172" s="39"/>
      <c r="AG172" s="39"/>
      <c r="AH172" s="39"/>
    </row>
    <row r="173" spans="3:34" ht="16.899999999999999" customHeight="1" thickTop="1" thickBot="1" x14ac:dyDescent="0.3">
      <c r="D173" s="21">
        <v>3</v>
      </c>
      <c r="K173" s="123"/>
      <c r="L173" s="124"/>
      <c r="M173" s="125"/>
      <c r="N173" s="124"/>
      <c r="O173" s="126"/>
      <c r="P173" s="38"/>
      <c r="Q173" s="123"/>
      <c r="R173" s="124"/>
      <c r="S173" s="125"/>
      <c r="T173" s="124"/>
      <c r="U173" s="126"/>
      <c r="V173" s="39"/>
      <c r="W173" s="39"/>
      <c r="X173" s="39"/>
      <c r="Y173" s="39"/>
      <c r="AB173" s="39"/>
      <c r="AC173" s="39"/>
      <c r="AD173" s="39"/>
      <c r="AE173" s="39"/>
      <c r="AF173" s="39"/>
      <c r="AG173" s="39"/>
      <c r="AH173" s="39"/>
    </row>
    <row r="174" spans="3:34" ht="15" x14ac:dyDescent="0.25">
      <c r="D174" s="21">
        <v>3</v>
      </c>
      <c r="S174" s="39"/>
      <c r="T174" s="39"/>
      <c r="U174" s="39"/>
      <c r="V174" s="39"/>
      <c r="W174" s="39"/>
      <c r="X174" s="39"/>
      <c r="Y174" s="39"/>
      <c r="AB174" s="39"/>
      <c r="AC174" s="39"/>
      <c r="AD174" s="39"/>
      <c r="AE174" s="39"/>
      <c r="AF174" s="39"/>
      <c r="AG174" s="39"/>
      <c r="AH174" s="39"/>
    </row>
    <row r="175" spans="3:34" ht="15" x14ac:dyDescent="0.25">
      <c r="D175" s="21">
        <v>3</v>
      </c>
      <c r="H175" s="100"/>
      <c r="I175" s="100"/>
      <c r="J175" s="63"/>
      <c r="K175" s="38"/>
      <c r="L175" s="100"/>
      <c r="M175" s="38"/>
      <c r="N175" s="38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</row>
    <row r="176" spans="3:34" ht="15.75" x14ac:dyDescent="0.25">
      <c r="D176" s="21">
        <v>3</v>
      </c>
      <c r="G176" s="81" t="s">
        <v>56</v>
      </c>
      <c r="H176" s="100"/>
      <c r="I176" s="100"/>
      <c r="J176" s="63"/>
      <c r="K176" s="38"/>
      <c r="L176" s="100"/>
      <c r="M176" s="38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</row>
    <row r="177" spans="1:29" ht="15" x14ac:dyDescent="0.25">
      <c r="D177" s="21">
        <v>4</v>
      </c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</row>
    <row r="178" spans="1:29" ht="31.5" customHeight="1" x14ac:dyDescent="0.25">
      <c r="D178" s="21">
        <v>4</v>
      </c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</row>
    <row r="179" spans="1:29" ht="15" x14ac:dyDescent="0.25">
      <c r="D179" s="21">
        <v>4</v>
      </c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</row>
    <row r="180" spans="1:29" ht="55.5" customHeight="1" x14ac:dyDescent="0.25">
      <c r="A180" s="18" t="s">
        <v>75</v>
      </c>
      <c r="D180" s="21">
        <v>4</v>
      </c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</row>
    <row r="181" spans="1:29" ht="15" x14ac:dyDescent="0.25">
      <c r="D181" s="21">
        <v>4</v>
      </c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</row>
    <row r="182" spans="1:29" ht="15" x14ac:dyDescent="0.25">
      <c r="A182" s="142" t="s">
        <v>51</v>
      </c>
      <c r="B182" s="14">
        <f>MAX(B$20:B58)+1</f>
        <v>10</v>
      </c>
      <c r="C182" s="30">
        <f>IF(D182=0,C52,IF(ISBLANK(G182),C52,1+MAX(C$20:C52)))</f>
        <v>26</v>
      </c>
      <c r="D182" s="21">
        <v>4</v>
      </c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</row>
    <row r="183" spans="1:29" ht="15" x14ac:dyDescent="0.25">
      <c r="A183" s="143"/>
      <c r="C183" s="30">
        <f>IF(D183=0,C182,IF(ISBLANK(G183),C182,1+MAX(C$20:C182)))</f>
        <v>26</v>
      </c>
      <c r="D183" s="21">
        <v>4</v>
      </c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</row>
    <row r="184" spans="1:29" ht="15" x14ac:dyDescent="0.25">
      <c r="A184" s="142" t="s">
        <v>76</v>
      </c>
      <c r="B184" s="14">
        <f>+B$54</f>
        <v>8</v>
      </c>
      <c r="C184" s="30">
        <f>IF(D184=0,C183,IF(ISBLANK(G184),C183,1+MAX(C$182:C183)))</f>
        <v>26</v>
      </c>
      <c r="D184" s="21">
        <v>4</v>
      </c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</row>
    <row r="185" spans="1:29" ht="15" x14ac:dyDescent="0.25">
      <c r="A185" s="142"/>
      <c r="C185" s="30">
        <f>IF(D185=0,C184,IF(ISBLANK(G185),C184,1+MAX(C$182:C184)))</f>
        <v>26</v>
      </c>
      <c r="D185" s="21">
        <v>4</v>
      </c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</row>
    <row r="186" spans="1:29" ht="15" x14ac:dyDescent="0.25">
      <c r="C186" s="30">
        <f>IF(D186=0,C185,IF(ISBLANK(G186),C185,1+MAX(C$182:C185)))</f>
        <v>26</v>
      </c>
      <c r="D186" s="21">
        <v>4</v>
      </c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</row>
    <row r="187" spans="1:29" ht="15" x14ac:dyDescent="0.25">
      <c r="C187" s="30">
        <f>IF(D187=0,C186,IF(ISBLANK(G187),C186,1+MAX(C$182:C186)))</f>
        <v>26</v>
      </c>
      <c r="D187" s="21">
        <v>4</v>
      </c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</row>
    <row r="188" spans="1:29" ht="15" x14ac:dyDescent="0.25">
      <c r="C188" s="30">
        <f>IF(D188=0,C187,IF(ISBLANK(G188),C187,1+MAX(C$182:C187)))</f>
        <v>26</v>
      </c>
      <c r="D188" s="21">
        <v>4</v>
      </c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</row>
    <row r="189" spans="1:29" ht="57" customHeight="1" x14ac:dyDescent="0.25">
      <c r="C189" s="30">
        <f>IF(D189=0,C188,IF(ISBLANK(G189),C188,1+MAX(C$182:C188)))</f>
        <v>26</v>
      </c>
      <c r="D189" s="21">
        <v>4</v>
      </c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</row>
    <row r="190" spans="1:29" ht="15" x14ac:dyDescent="0.25">
      <c r="C190" s="30">
        <f>IF(D190=0,C189,IF(ISBLANK(G190),C189,1+MAX(C$182:C189)))</f>
        <v>26</v>
      </c>
      <c r="D190" s="21">
        <v>4</v>
      </c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</row>
    <row r="191" spans="1:29" ht="15" x14ac:dyDescent="0.25">
      <c r="B191" s="14">
        <f>+B$182</f>
        <v>10</v>
      </c>
      <c r="C191" s="30">
        <f>IF(D191=0,C190,IF(ISBLANK(G191),C190,1+MAX(C$182:C190)))</f>
        <v>26</v>
      </c>
      <c r="D191" s="21">
        <v>4</v>
      </c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</row>
    <row r="192" spans="1:29" ht="15" x14ac:dyDescent="0.25">
      <c r="C192" s="30">
        <f>IF(D192=0,C191,IF(ISBLANK(G192),C191,1+MAX(C$182:C191)))</f>
        <v>26</v>
      </c>
      <c r="D192" s="21">
        <v>4</v>
      </c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</row>
    <row r="193" spans="1:29" ht="15" x14ac:dyDescent="0.25">
      <c r="A193" s="142" t="s">
        <v>76</v>
      </c>
      <c r="B193" s="14">
        <f>+B$58</f>
        <v>9</v>
      </c>
      <c r="C193" s="30">
        <f>IF(D193=0,C192,IF(ISBLANK(G193),C192,1+MAX(C$182:C192)))</f>
        <v>26</v>
      </c>
      <c r="D193" s="21">
        <v>4</v>
      </c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</row>
    <row r="194" spans="1:29" ht="15" x14ac:dyDescent="0.25">
      <c r="C194" s="30">
        <f>IF(D194=0,C193,IF(ISBLANK(G194),C193,1+MAX(C$182:C193)))</f>
        <v>26</v>
      </c>
      <c r="D194" s="21">
        <v>4</v>
      </c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</row>
    <row r="195" spans="1:29" ht="15" x14ac:dyDescent="0.25">
      <c r="C195" s="30">
        <f>IF(D195=0,C194,IF(ISBLANK(G195),C194,1+MAX(C$182:C194)))</f>
        <v>26</v>
      </c>
      <c r="D195" s="21">
        <v>4</v>
      </c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</row>
    <row r="196" spans="1:29" ht="15" x14ac:dyDescent="0.25">
      <c r="D196" s="21">
        <v>0</v>
      </c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</row>
    <row r="197" spans="1:29" ht="15" x14ac:dyDescent="0.25">
      <c r="D197" s="21">
        <v>0</v>
      </c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</row>
    <row r="198" spans="1:29" ht="15" x14ac:dyDescent="0.25">
      <c r="D198" s="21">
        <v>0</v>
      </c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</row>
    <row r="199" spans="1:29" ht="15" x14ac:dyDescent="0.25">
      <c r="D199" s="21">
        <v>0</v>
      </c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</row>
    <row r="200" spans="1:29" ht="15.75" x14ac:dyDescent="0.25">
      <c r="D200" s="21">
        <v>0</v>
      </c>
      <c r="G200" s="144" t="s">
        <v>77</v>
      </c>
      <c r="H200" s="145" t="s">
        <v>73</v>
      </c>
      <c r="I200" s="145" t="s">
        <v>73</v>
      </c>
      <c r="J200" s="145" t="s">
        <v>73</v>
      </c>
      <c r="K200" s="145" t="s">
        <v>73</v>
      </c>
      <c r="L200" s="145" t="s">
        <v>73</v>
      </c>
      <c r="M200" s="145" t="s">
        <v>73</v>
      </c>
      <c r="N200" s="145" t="s">
        <v>73</v>
      </c>
      <c r="O200" s="145" t="s">
        <v>73</v>
      </c>
      <c r="P200" s="145" t="s">
        <v>73</v>
      </c>
      <c r="Q200" s="145" t="s">
        <v>73</v>
      </c>
      <c r="R200" s="145" t="s">
        <v>73</v>
      </c>
      <c r="S200" s="145" t="s">
        <v>73</v>
      </c>
      <c r="T200" s="145" t="s">
        <v>73</v>
      </c>
      <c r="U200" s="145" t="s">
        <v>73</v>
      </c>
      <c r="V200" s="145" t="s">
        <v>73</v>
      </c>
      <c r="W200" s="145" t="s">
        <v>73</v>
      </c>
      <c r="X200" s="145" t="s">
        <v>73</v>
      </c>
      <c r="Y200" s="145" t="s">
        <v>73</v>
      </c>
      <c r="Z200" s="145" t="s">
        <v>73</v>
      </c>
      <c r="AA200" s="39"/>
      <c r="AB200" s="39"/>
      <c r="AC200" s="39"/>
    </row>
    <row r="201" spans="1:29" ht="15.75" x14ac:dyDescent="0.25">
      <c r="D201" s="21">
        <v>1</v>
      </c>
      <c r="G201" s="82"/>
      <c r="H201" s="100"/>
      <c r="I201" s="100"/>
      <c r="J201" s="63"/>
      <c r="K201" s="38"/>
      <c r="L201" s="100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9"/>
      <c r="AB201" s="39"/>
      <c r="AC201" s="39"/>
    </row>
    <row r="202" spans="1:29" ht="15.75" x14ac:dyDescent="0.25">
      <c r="D202" s="21">
        <v>1</v>
      </c>
      <c r="G202" s="82"/>
      <c r="H202" s="100"/>
      <c r="I202" s="100"/>
      <c r="J202" s="63"/>
      <c r="K202" s="38"/>
      <c r="L202" s="100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9"/>
      <c r="AB202" s="39"/>
      <c r="AC202" s="39"/>
    </row>
    <row r="203" spans="1:29" ht="24" customHeight="1" x14ac:dyDescent="0.25">
      <c r="D203" s="21">
        <v>1</v>
      </c>
      <c r="G203" s="146" t="s">
        <v>78</v>
      </c>
      <c r="H203" s="147" t="s">
        <v>79</v>
      </c>
      <c r="J203" s="63"/>
      <c r="K203" s="38"/>
      <c r="L203" s="100"/>
      <c r="M203" s="38"/>
      <c r="N203" s="38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29"/>
      <c r="AB203" s="39"/>
      <c r="AC203" s="39"/>
    </row>
    <row r="204" spans="1:29" ht="30.75" customHeight="1" x14ac:dyDescent="0.25">
      <c r="D204" s="21">
        <f>IF($C$10="SUBJECT",1,0)</f>
        <v>0</v>
      </c>
      <c r="H204" s="148" t="s">
        <v>80</v>
      </c>
      <c r="I204" s="148"/>
      <c r="J204" s="148"/>
      <c r="K204" s="148"/>
      <c r="L204" s="148"/>
      <c r="M204" s="148"/>
      <c r="N204" s="14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29"/>
      <c r="AB204" s="39"/>
      <c r="AC204" s="39"/>
    </row>
    <row r="205" spans="1:29" ht="15" x14ac:dyDescent="0.25">
      <c r="D205" s="21">
        <v>0</v>
      </c>
      <c r="H205" s="150"/>
      <c r="J205" s="151"/>
      <c r="K205" s="38"/>
      <c r="L205" s="100"/>
      <c r="M205" s="38"/>
      <c r="N205" s="38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29"/>
      <c r="AB205" s="39"/>
      <c r="AC205" s="39"/>
    </row>
    <row r="206" spans="1:29" ht="15" x14ac:dyDescent="0.25">
      <c r="D206" s="21"/>
      <c r="G206" s="18" t="s">
        <v>81</v>
      </c>
      <c r="H206" s="152" t="s">
        <v>82</v>
      </c>
      <c r="J206" s="151"/>
      <c r="K206" s="38"/>
      <c r="L206" s="100"/>
      <c r="M206" s="38"/>
      <c r="N206" s="38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29"/>
      <c r="AB206" s="39"/>
      <c r="AC206" s="39"/>
    </row>
    <row r="207" spans="1:29" ht="15" x14ac:dyDescent="0.25">
      <c r="D207" s="21">
        <v>0</v>
      </c>
      <c r="G207" s="48"/>
      <c r="H207" s="150"/>
      <c r="J207" s="151"/>
      <c r="K207" s="38"/>
      <c r="L207" s="100"/>
      <c r="M207" s="38"/>
      <c r="N207" s="38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29"/>
      <c r="AB207" s="39"/>
      <c r="AC207" s="39"/>
    </row>
    <row r="208" spans="1:29" ht="24" customHeight="1" x14ac:dyDescent="0.25">
      <c r="D208" s="21">
        <v>0</v>
      </c>
      <c r="G208" s="146"/>
      <c r="H208" s="147"/>
      <c r="J208" s="63"/>
      <c r="K208" s="38"/>
      <c r="L208" s="100"/>
      <c r="M208" s="38"/>
      <c r="N208" s="38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29"/>
      <c r="AB208" s="39"/>
      <c r="AC208" s="39"/>
    </row>
    <row r="209" spans="4:29" ht="42.75" customHeight="1" x14ac:dyDescent="0.25">
      <c r="D209" s="21">
        <f>IF($C$10="IOU",1,0)</f>
        <v>0</v>
      </c>
      <c r="H209" s="148" t="s">
        <v>83</v>
      </c>
      <c r="I209" s="148"/>
      <c r="J209" s="148"/>
      <c r="K209" s="148"/>
      <c r="L209" s="148"/>
      <c r="M209" s="148"/>
      <c r="N209" s="14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29"/>
      <c r="AB209" s="39"/>
      <c r="AC209" s="39"/>
    </row>
    <row r="210" spans="4:29" ht="15" x14ac:dyDescent="0.25">
      <c r="D210" s="21">
        <v>0</v>
      </c>
      <c r="H210" s="150"/>
      <c r="J210" s="151"/>
      <c r="K210" s="38"/>
      <c r="L210" s="100"/>
      <c r="M210" s="38"/>
      <c r="N210" s="38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29"/>
      <c r="AB210" s="39"/>
      <c r="AC210" s="39"/>
    </row>
    <row r="211" spans="4:29" ht="15" x14ac:dyDescent="0.25">
      <c r="D211" s="21"/>
      <c r="G211" s="18" t="s">
        <v>81</v>
      </c>
      <c r="H211" s="152" t="s">
        <v>84</v>
      </c>
      <c r="J211" s="151"/>
      <c r="K211" s="38"/>
      <c r="L211" s="100"/>
      <c r="M211" s="38"/>
      <c r="N211" s="38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29"/>
      <c r="AB211" s="39"/>
      <c r="AC211" s="39"/>
    </row>
    <row r="212" spans="4:29" ht="15" x14ac:dyDescent="0.25">
      <c r="D212" s="21">
        <v>0</v>
      </c>
      <c r="G212" s="48"/>
      <c r="H212" s="150"/>
      <c r="J212" s="151"/>
      <c r="K212" s="38"/>
      <c r="L212" s="100"/>
      <c r="M212" s="38"/>
      <c r="N212" s="38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29"/>
      <c r="AB212" s="39"/>
      <c r="AC212" s="39"/>
    </row>
    <row r="213" spans="4:29" ht="60" customHeight="1" x14ac:dyDescent="0.25">
      <c r="D213" s="21">
        <f>IF($C$10="IOU",1,0)</f>
        <v>0</v>
      </c>
      <c r="G213" s="48"/>
      <c r="H213" s="148" t="s">
        <v>85</v>
      </c>
      <c r="I213" s="148"/>
      <c r="J213" s="148"/>
      <c r="K213" s="148"/>
      <c r="L213" s="148"/>
      <c r="M213" s="148"/>
      <c r="N213" s="149"/>
      <c r="O213" s="149"/>
      <c r="P213" s="149"/>
      <c r="Q213" s="149"/>
      <c r="R213" s="149"/>
      <c r="S213" s="149"/>
      <c r="T213" s="39"/>
      <c r="U213" s="39"/>
      <c r="V213" s="39"/>
      <c r="W213" s="39"/>
      <c r="X213" s="39"/>
      <c r="Y213" s="39"/>
      <c r="Z213" s="39"/>
      <c r="AA213" s="29"/>
      <c r="AB213" s="39"/>
      <c r="AC213" s="39"/>
    </row>
    <row r="214" spans="4:29" ht="15" x14ac:dyDescent="0.25">
      <c r="D214" s="21">
        <v>0</v>
      </c>
      <c r="G214" s="153"/>
      <c r="J214" s="63"/>
      <c r="K214" s="38"/>
      <c r="L214" s="100"/>
      <c r="M214" s="38"/>
      <c r="N214" s="38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29"/>
      <c r="AB214" s="39"/>
      <c r="AC214" s="39"/>
    </row>
    <row r="215" spans="4:29" ht="15" x14ac:dyDescent="0.25">
      <c r="D215" s="21">
        <v>0</v>
      </c>
      <c r="G215" s="153"/>
      <c r="J215" s="63"/>
      <c r="K215" s="38"/>
      <c r="L215" s="100"/>
      <c r="M215" s="38"/>
      <c r="N215" s="38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29"/>
      <c r="AB215" s="39"/>
      <c r="AC215" s="39"/>
    </row>
    <row r="216" spans="4:29" ht="45.75" customHeight="1" x14ac:dyDescent="0.25">
      <c r="D216" s="21">
        <f>IF($C$10="MUNI",1,0)</f>
        <v>1</v>
      </c>
      <c r="H216" s="148" t="s">
        <v>83</v>
      </c>
      <c r="I216" s="148"/>
      <c r="J216" s="148"/>
      <c r="K216" s="148"/>
      <c r="L216" s="148"/>
      <c r="M216" s="148"/>
      <c r="N216" s="14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29"/>
      <c r="AB216" s="39"/>
      <c r="AC216" s="39"/>
    </row>
    <row r="217" spans="4:29" ht="15" x14ac:dyDescent="0.25">
      <c r="D217" s="21">
        <v>0</v>
      </c>
      <c r="H217" s="150"/>
      <c r="J217" s="151"/>
      <c r="K217" s="38"/>
      <c r="L217" s="100"/>
      <c r="M217" s="38"/>
      <c r="N217" s="38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29"/>
      <c r="AB217" s="39"/>
      <c r="AC217" s="39"/>
    </row>
    <row r="218" spans="4:29" ht="30.75" customHeight="1" x14ac:dyDescent="0.25">
      <c r="D218" s="21"/>
      <c r="G218" s="18" t="s">
        <v>81</v>
      </c>
      <c r="H218" s="148" t="s">
        <v>86</v>
      </c>
      <c r="I218" s="148"/>
      <c r="J218" s="148"/>
      <c r="K218" s="148"/>
      <c r="L218" s="148"/>
      <c r="M218" s="148"/>
      <c r="N218" s="38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29"/>
      <c r="AB218" s="39"/>
      <c r="AC218" s="39"/>
    </row>
    <row r="219" spans="4:29" ht="15" x14ac:dyDescent="0.25">
      <c r="D219" s="21">
        <v>0</v>
      </c>
      <c r="G219" s="48"/>
      <c r="H219" s="150"/>
      <c r="J219" s="151"/>
      <c r="K219" s="38"/>
      <c r="L219" s="100"/>
      <c r="M219" s="38"/>
      <c r="N219" s="38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29"/>
      <c r="AB219" s="39"/>
      <c r="AC219" s="39"/>
    </row>
    <row r="220" spans="4:29" ht="66.75" customHeight="1" x14ac:dyDescent="0.25">
      <c r="D220" s="21">
        <f>IF($C$10="MUNI",1,0)</f>
        <v>1</v>
      </c>
      <c r="G220" s="48"/>
      <c r="H220" s="148" t="s">
        <v>87</v>
      </c>
      <c r="I220" s="148"/>
      <c r="J220" s="148"/>
      <c r="K220" s="148"/>
      <c r="L220" s="148"/>
      <c r="M220" s="148"/>
      <c r="N220" s="149"/>
      <c r="O220" s="149"/>
      <c r="P220" s="149"/>
      <c r="Q220" s="149"/>
      <c r="R220" s="149"/>
      <c r="S220" s="149"/>
      <c r="T220" s="39"/>
      <c r="U220" s="39"/>
      <c r="V220" s="39"/>
      <c r="W220" s="39"/>
      <c r="X220" s="39"/>
      <c r="Y220" s="39"/>
      <c r="Z220" s="39"/>
      <c r="AA220" s="29"/>
      <c r="AB220" s="39"/>
      <c r="AC220" s="39"/>
    </row>
    <row r="221" spans="4:29" ht="15" x14ac:dyDescent="0.25">
      <c r="D221" s="21">
        <v>0</v>
      </c>
      <c r="G221" s="48"/>
      <c r="H221" s="150"/>
      <c r="J221" s="151"/>
      <c r="K221" s="38"/>
      <c r="L221" s="100"/>
      <c r="M221" s="38"/>
      <c r="N221" s="38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29"/>
      <c r="AB221" s="39"/>
      <c r="AC221" s="39"/>
    </row>
    <row r="222" spans="4:29" ht="30" customHeight="1" x14ac:dyDescent="0.25">
      <c r="D222" s="21">
        <v>1</v>
      </c>
      <c r="G222" s="48"/>
      <c r="H222" s="154" t="s">
        <v>88</v>
      </c>
      <c r="I222" s="154"/>
      <c r="J222" s="154"/>
      <c r="K222" s="154"/>
      <c r="L222" s="154"/>
      <c r="M222" s="154"/>
      <c r="N222" s="155"/>
      <c r="O222" s="155"/>
      <c r="P222" s="155"/>
      <c r="Q222" s="155"/>
      <c r="R222" s="14"/>
      <c r="S222" s="14"/>
      <c r="T222" s="39"/>
      <c r="U222" s="39"/>
      <c r="V222" s="39"/>
      <c r="W222" s="39"/>
      <c r="X222" s="39"/>
      <c r="Y222" s="39"/>
      <c r="Z222" s="39"/>
      <c r="AA222" s="29"/>
      <c r="AB222" s="39"/>
      <c r="AC222" s="39"/>
    </row>
    <row r="223" spans="4:29" ht="15" customHeight="1" x14ac:dyDescent="0.25">
      <c r="D223" s="21"/>
      <c r="G223" s="48"/>
      <c r="H223" s="150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4"/>
      <c r="T223" s="39"/>
      <c r="U223" s="39"/>
      <c r="V223" s="39"/>
      <c r="W223" s="39"/>
      <c r="X223" s="39"/>
      <c r="Y223" s="39"/>
      <c r="Z223" s="39"/>
      <c r="AA223" s="29"/>
      <c r="AB223" s="39"/>
      <c r="AC223" s="39"/>
    </row>
    <row r="224" spans="4:29" ht="27" customHeight="1" x14ac:dyDescent="0.25">
      <c r="D224" s="156">
        <f>IF($C$10="SUBJECT",0,1)</f>
        <v>1</v>
      </c>
      <c r="G224" s="48"/>
      <c r="H224" s="154" t="s">
        <v>89</v>
      </c>
      <c r="I224" s="154"/>
      <c r="J224" s="154"/>
      <c r="K224" s="154"/>
      <c r="L224" s="154"/>
      <c r="M224" s="154"/>
      <c r="N224" s="155"/>
      <c r="O224" s="155"/>
      <c r="P224" s="155"/>
      <c r="Q224" s="155"/>
      <c r="R224" s="155"/>
      <c r="S224" s="14"/>
      <c r="T224" s="39"/>
      <c r="U224" s="39"/>
      <c r="V224" s="39"/>
      <c r="W224" s="39"/>
      <c r="X224" s="39"/>
      <c r="Y224" s="39"/>
      <c r="Z224" s="39"/>
      <c r="AA224" s="29"/>
      <c r="AB224" s="39"/>
      <c r="AC224" s="39"/>
    </row>
    <row r="225" spans="4:29" ht="29.25" customHeight="1" x14ac:dyDescent="0.25">
      <c r="D225" s="156">
        <f>IF($C$10="SUBJECT",0,1)</f>
        <v>1</v>
      </c>
      <c r="G225" s="48"/>
      <c r="H225" s="154" t="s">
        <v>90</v>
      </c>
      <c r="I225" s="154"/>
      <c r="J225" s="154"/>
      <c r="K225" s="154"/>
      <c r="L225" s="154"/>
      <c r="M225" s="154"/>
      <c r="N225" s="155"/>
      <c r="O225" s="155"/>
      <c r="P225" s="155"/>
      <c r="Q225" s="155"/>
      <c r="R225" s="155"/>
      <c r="S225" s="14"/>
      <c r="T225" s="39"/>
      <c r="U225" s="39"/>
      <c r="V225" s="39"/>
      <c r="W225" s="39"/>
      <c r="X225" s="39"/>
      <c r="Y225" s="39"/>
      <c r="Z225" s="39"/>
      <c r="AA225" s="29"/>
      <c r="AB225" s="39"/>
      <c r="AC225" s="39"/>
    </row>
    <row r="226" spans="4:29" ht="15" customHeight="1" x14ac:dyDescent="0.25">
      <c r="D226" s="156">
        <v>1</v>
      </c>
      <c r="G226" s="48"/>
      <c r="H226" s="150" t="s">
        <v>91</v>
      </c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4"/>
      <c r="T226" s="39"/>
      <c r="U226" s="39"/>
      <c r="V226" s="39"/>
      <c r="W226" s="39"/>
      <c r="X226" s="39"/>
      <c r="Y226" s="39"/>
      <c r="Z226" s="39"/>
      <c r="AA226" s="29"/>
      <c r="AB226" s="39"/>
      <c r="AC226" s="39"/>
    </row>
    <row r="227" spans="4:29" ht="15" customHeight="1" x14ac:dyDescent="0.25">
      <c r="D227" s="156"/>
      <c r="G227" s="48"/>
      <c r="H227" s="150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4"/>
      <c r="T227" s="39"/>
      <c r="U227" s="39"/>
      <c r="V227" s="39"/>
      <c r="W227" s="39"/>
      <c r="X227" s="39"/>
      <c r="Y227" s="39"/>
      <c r="Z227" s="39"/>
      <c r="AA227" s="29"/>
      <c r="AB227" s="39"/>
      <c r="AC227" s="39"/>
    </row>
    <row r="228" spans="4:29" ht="15" customHeight="1" x14ac:dyDescent="0.25">
      <c r="D228" s="156"/>
      <c r="G228" s="48"/>
      <c r="H228" s="150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4"/>
      <c r="T228" s="39"/>
      <c r="U228" s="39"/>
      <c r="V228" s="39"/>
      <c r="W228" s="39"/>
      <c r="X228" s="39"/>
      <c r="Y228" s="39"/>
      <c r="Z228" s="39"/>
      <c r="AA228" s="29"/>
      <c r="AB228" s="39"/>
      <c r="AC228" s="39"/>
    </row>
    <row r="229" spans="4:29" ht="15" customHeight="1" x14ac:dyDescent="0.25">
      <c r="D229" s="21"/>
      <c r="G229" s="48"/>
      <c r="H229" s="150"/>
      <c r="I229" s="155"/>
      <c r="J229" s="155"/>
      <c r="K229" s="155"/>
      <c r="L229" s="155"/>
      <c r="M229" s="155"/>
      <c r="N229" s="155"/>
      <c r="O229" s="155"/>
      <c r="P229" s="155"/>
      <c r="Q229" s="155"/>
      <c r="R229" s="14"/>
      <c r="S229" s="14"/>
      <c r="T229" s="39"/>
      <c r="U229" s="39"/>
      <c r="V229" s="39"/>
      <c r="W229" s="39"/>
      <c r="X229" s="39"/>
      <c r="Y229" s="39"/>
      <c r="Z229" s="39"/>
      <c r="AA229" s="29"/>
      <c r="AB229" s="39"/>
      <c r="AC229" s="39"/>
    </row>
    <row r="230" spans="4:29" ht="15" customHeight="1" x14ac:dyDescent="0.25">
      <c r="D230" s="21"/>
      <c r="G230" s="48"/>
      <c r="H230" s="150"/>
      <c r="I230" s="155"/>
      <c r="J230" s="155"/>
      <c r="K230" s="155"/>
      <c r="L230" s="155"/>
      <c r="M230" s="155"/>
      <c r="N230" s="155"/>
      <c r="O230" s="155"/>
      <c r="P230" s="155"/>
      <c r="Q230" s="155"/>
      <c r="R230" s="14"/>
      <c r="S230" s="14"/>
      <c r="T230" s="39"/>
      <c r="U230" s="39"/>
      <c r="V230" s="39"/>
      <c r="W230" s="39"/>
      <c r="X230" s="39"/>
      <c r="Y230" s="39"/>
      <c r="Z230" s="39"/>
      <c r="AA230" s="29"/>
      <c r="AB230" s="39"/>
      <c r="AC230" s="39"/>
    </row>
    <row r="231" spans="4:29" ht="15" customHeight="1" x14ac:dyDescent="0.25">
      <c r="D231" s="21"/>
      <c r="G231" s="48"/>
      <c r="H231" s="150"/>
      <c r="I231" s="155"/>
      <c r="J231" s="155"/>
      <c r="K231" s="155"/>
      <c r="L231" s="155"/>
      <c r="M231" s="155"/>
      <c r="N231" s="155"/>
      <c r="O231" s="155"/>
      <c r="P231" s="155"/>
      <c r="Q231" s="155"/>
      <c r="R231" s="14"/>
      <c r="S231" s="14"/>
      <c r="T231" s="39"/>
      <c r="U231" s="39"/>
      <c r="V231" s="39"/>
      <c r="W231" s="39"/>
      <c r="X231" s="39"/>
      <c r="Y231" s="39"/>
      <c r="Z231" s="39"/>
      <c r="AA231" s="29"/>
      <c r="AB231" s="39"/>
      <c r="AC231" s="39"/>
    </row>
    <row r="232" spans="4:29" ht="15" customHeight="1" x14ac:dyDescent="0.25">
      <c r="D232" s="21">
        <v>0</v>
      </c>
      <c r="G232" s="48"/>
      <c r="H232" s="150"/>
      <c r="I232" s="155"/>
      <c r="J232" s="155"/>
      <c r="K232" s="155"/>
      <c r="L232" s="155"/>
      <c r="M232" s="155"/>
      <c r="N232" s="155"/>
      <c r="O232" s="155"/>
      <c r="P232" s="155"/>
      <c r="Q232" s="155"/>
      <c r="R232" s="14"/>
      <c r="S232" s="14"/>
      <c r="T232" s="39"/>
      <c r="U232" s="39"/>
      <c r="V232" s="39"/>
      <c r="W232" s="39"/>
      <c r="X232" s="39"/>
      <c r="Y232" s="39"/>
      <c r="Z232" s="39"/>
      <c r="AA232" s="29"/>
      <c r="AB232" s="39"/>
      <c r="AC232" s="39"/>
    </row>
    <row r="233" spans="4:29" ht="15" customHeight="1" x14ac:dyDescent="0.25">
      <c r="D233" s="21">
        <f>IF($C$10="IOU",1,0)</f>
        <v>0</v>
      </c>
      <c r="G233" s="48"/>
      <c r="H233" s="150" t="s">
        <v>92</v>
      </c>
      <c r="I233" s="155"/>
      <c r="J233" s="155"/>
      <c r="K233" s="155"/>
      <c r="L233" s="155"/>
      <c r="M233" s="155"/>
      <c r="N233" s="155"/>
      <c r="O233" s="155"/>
      <c r="P233" s="155"/>
      <c r="Q233" s="155"/>
      <c r="R233" s="14"/>
      <c r="S233" s="14"/>
      <c r="T233" s="39"/>
      <c r="U233" s="39"/>
      <c r="V233" s="39"/>
      <c r="W233" s="39"/>
      <c r="X233" s="39"/>
      <c r="Y233" s="39"/>
      <c r="Z233" s="39"/>
      <c r="AA233" s="29"/>
      <c r="AB233" s="39"/>
      <c r="AC233" s="39"/>
    </row>
    <row r="234" spans="4:29" ht="15" x14ac:dyDescent="0.25">
      <c r="D234" s="21">
        <v>0</v>
      </c>
      <c r="G234" s="48"/>
      <c r="H234" s="150"/>
      <c r="J234" s="151"/>
      <c r="K234" s="38"/>
      <c r="L234" s="100"/>
      <c r="M234" s="38"/>
      <c r="N234" s="38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29"/>
      <c r="AB234" s="39"/>
      <c r="AC234" s="39"/>
    </row>
    <row r="235" spans="4:29" ht="15" x14ac:dyDescent="0.25">
      <c r="D235" s="21">
        <v>0</v>
      </c>
      <c r="G235" s="48"/>
      <c r="H235" s="150"/>
      <c r="J235" s="151"/>
      <c r="K235" s="38"/>
      <c r="L235" s="100"/>
      <c r="M235" s="38"/>
      <c r="N235" s="38"/>
      <c r="O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29"/>
      <c r="AB235" s="39"/>
      <c r="AC235" s="39"/>
    </row>
    <row r="236" spans="4:29" ht="15" x14ac:dyDescent="0.25">
      <c r="D236" s="21">
        <v>0</v>
      </c>
      <c r="G236" s="48"/>
      <c r="H236" s="150"/>
      <c r="J236" s="151"/>
      <c r="K236" s="38"/>
      <c r="L236" s="100"/>
      <c r="M236" s="38"/>
      <c r="N236" s="38"/>
      <c r="O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29"/>
      <c r="AB236" s="39"/>
      <c r="AC236" s="39"/>
    </row>
    <row r="237" spans="4:29" ht="15" x14ac:dyDescent="0.25">
      <c r="D237" s="21">
        <v>0</v>
      </c>
      <c r="G237" s="48"/>
      <c r="H237" s="150"/>
      <c r="J237" s="151"/>
      <c r="K237" s="38"/>
      <c r="L237" s="100"/>
      <c r="M237" s="38"/>
      <c r="N237" s="38"/>
      <c r="O237" s="39"/>
      <c r="Q237" s="39"/>
      <c r="R237" s="39"/>
      <c r="T237" s="39"/>
      <c r="U237" s="39"/>
      <c r="V237" s="39"/>
      <c r="W237" s="39"/>
      <c r="X237" s="39"/>
      <c r="Y237" s="39"/>
      <c r="Z237" s="39"/>
      <c r="AA237" s="29"/>
      <c r="AB237" s="39"/>
      <c r="AC237" s="39"/>
    </row>
    <row r="238" spans="4:29" ht="15" x14ac:dyDescent="0.25">
      <c r="D238" s="21">
        <v>0</v>
      </c>
      <c r="G238" s="48"/>
      <c r="H238" s="150"/>
      <c r="J238" s="151"/>
      <c r="K238" s="38"/>
      <c r="L238" s="100"/>
      <c r="M238" s="38"/>
      <c r="N238" s="38"/>
      <c r="O238" s="39"/>
      <c r="Q238" s="39"/>
      <c r="T238" s="39"/>
      <c r="U238" s="39"/>
      <c r="V238" s="39"/>
      <c r="W238" s="39"/>
      <c r="X238" s="39"/>
      <c r="Y238" s="39"/>
      <c r="Z238" s="39"/>
      <c r="AA238" s="29"/>
      <c r="AB238" s="39"/>
      <c r="AC238" s="39"/>
    </row>
    <row r="239" spans="4:29" ht="15" x14ac:dyDescent="0.25">
      <c r="D239" s="21">
        <v>0</v>
      </c>
      <c r="G239" s="48"/>
      <c r="H239" s="150"/>
      <c r="J239" s="151"/>
      <c r="K239" s="38"/>
      <c r="L239" s="100"/>
      <c r="M239" s="38"/>
      <c r="N239" s="38"/>
      <c r="O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29"/>
      <c r="AB239" s="39"/>
      <c r="AC239" s="39"/>
    </row>
    <row r="240" spans="4:29" ht="27" customHeight="1" x14ac:dyDescent="0.25">
      <c r="D240" s="21">
        <v>0</v>
      </c>
      <c r="G240" s="48"/>
      <c r="H240" s="154" t="s">
        <v>93</v>
      </c>
      <c r="I240" s="154"/>
      <c r="J240" s="154"/>
      <c r="K240" s="154"/>
      <c r="L240" s="154"/>
      <c r="M240" s="38"/>
      <c r="N240" s="38"/>
      <c r="O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29"/>
      <c r="AB240" s="39"/>
      <c r="AC240" s="39"/>
    </row>
    <row r="241" spans="1:29" ht="15" x14ac:dyDescent="0.25">
      <c r="D241" s="21">
        <v>0</v>
      </c>
      <c r="G241" s="48"/>
      <c r="J241" s="151"/>
      <c r="K241" s="38"/>
      <c r="L241" s="100"/>
      <c r="M241" s="38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29"/>
      <c r="AB241" s="39"/>
      <c r="AC241" s="39"/>
    </row>
    <row r="242" spans="1:29" ht="15" x14ac:dyDescent="0.25">
      <c r="D242" s="21">
        <v>0</v>
      </c>
      <c r="G242" s="48"/>
      <c r="J242" s="151"/>
      <c r="K242" s="38"/>
      <c r="L242" s="100"/>
      <c r="M242" s="38"/>
      <c r="O242" s="39"/>
      <c r="P242" s="39"/>
      <c r="Q242" s="39"/>
      <c r="R242" s="39"/>
      <c r="S242" s="157"/>
      <c r="T242" s="39"/>
      <c r="U242" s="39"/>
      <c r="V242" s="39"/>
      <c r="W242" s="39"/>
      <c r="X242" s="39"/>
      <c r="Y242" s="39"/>
      <c r="Z242" s="39"/>
      <c r="AA242" s="29"/>
      <c r="AB242" s="39"/>
      <c r="AC242" s="39"/>
    </row>
    <row r="243" spans="1:29" ht="15" x14ac:dyDescent="0.25">
      <c r="D243" s="21">
        <v>0</v>
      </c>
      <c r="G243" s="48"/>
      <c r="J243" s="151"/>
      <c r="K243" s="38"/>
      <c r="L243" s="100"/>
      <c r="M243" s="38"/>
      <c r="N243" s="38"/>
      <c r="O243" s="39"/>
      <c r="P243" s="39"/>
      <c r="Q243" s="39"/>
      <c r="R243" s="39"/>
      <c r="S243" s="157"/>
      <c r="T243" s="39"/>
      <c r="U243" s="39"/>
      <c r="V243" s="39"/>
      <c r="W243" s="39"/>
      <c r="X243" s="39"/>
      <c r="Y243" s="39"/>
      <c r="Z243" s="39"/>
      <c r="AA243" s="29"/>
      <c r="AB243" s="39"/>
      <c r="AC243" s="39"/>
    </row>
    <row r="244" spans="1:29" ht="15" x14ac:dyDescent="0.25">
      <c r="D244" s="21">
        <v>0</v>
      </c>
      <c r="G244" s="48"/>
      <c r="J244" s="151"/>
      <c r="K244" s="38"/>
      <c r="L244" s="100"/>
      <c r="M244" s="38"/>
      <c r="N244" s="38"/>
      <c r="O244" s="39"/>
      <c r="P244" s="39"/>
      <c r="Q244" s="39"/>
      <c r="R244" s="39"/>
      <c r="T244" s="39"/>
      <c r="U244" s="39"/>
      <c r="V244" s="39"/>
      <c r="W244" s="39"/>
      <c r="X244" s="39"/>
      <c r="Y244" s="39"/>
      <c r="Z244" s="39"/>
      <c r="AA244" s="29"/>
      <c r="AB244" s="39"/>
      <c r="AC244" s="39"/>
    </row>
    <row r="245" spans="1:29" ht="15" x14ac:dyDescent="0.25">
      <c r="D245" s="21">
        <v>0</v>
      </c>
      <c r="J245" s="151"/>
      <c r="K245" s="38"/>
      <c r="L245" s="100"/>
      <c r="M245" s="38"/>
      <c r="N245" s="38"/>
      <c r="O245" s="39"/>
      <c r="P245" s="39"/>
      <c r="Q245" s="39"/>
      <c r="R245" s="39"/>
      <c r="T245" s="39"/>
      <c r="U245" s="39"/>
      <c r="V245" s="39"/>
      <c r="W245" s="39"/>
      <c r="X245" s="39"/>
      <c r="Y245" s="39"/>
      <c r="Z245" s="39"/>
      <c r="AA245" s="29"/>
      <c r="AB245" s="39"/>
      <c r="AC245" s="39"/>
    </row>
    <row r="246" spans="1:29" ht="15" x14ac:dyDescent="0.25">
      <c r="A246" s="158">
        <v>2</v>
      </c>
      <c r="D246" s="21">
        <v>1</v>
      </c>
      <c r="G246" s="159" t="str">
        <f t="shared" ref="G246:G252" si="62">"("&amp;TEXT(A246,0)&amp;")"</f>
        <v>(2)</v>
      </c>
      <c r="H246" s="160" t="s">
        <v>94</v>
      </c>
      <c r="I246" s="160"/>
      <c r="J246" s="160"/>
      <c r="K246" s="160"/>
      <c r="L246" s="160"/>
      <c r="M246" s="160"/>
      <c r="N246" s="38"/>
      <c r="O246" s="39"/>
      <c r="P246" s="39"/>
      <c r="Q246" s="39"/>
      <c r="R246" s="39"/>
      <c r="S246" s="157"/>
      <c r="T246" s="39"/>
      <c r="U246" s="39"/>
      <c r="V246" s="39"/>
      <c r="W246" s="39"/>
      <c r="X246" s="39"/>
      <c r="Y246" s="39"/>
      <c r="Z246" s="39"/>
      <c r="AB246" s="39"/>
      <c r="AC246" s="39"/>
    </row>
    <row r="247" spans="1:29" ht="15" x14ac:dyDescent="0.25">
      <c r="A247" s="158">
        <v>3</v>
      </c>
      <c r="B247" s="161">
        <f>+F24</f>
        <v>5</v>
      </c>
      <c r="D247" s="21">
        <v>1</v>
      </c>
      <c r="G247" s="162" t="str">
        <f t="shared" si="62"/>
        <v>(3)</v>
      </c>
      <c r="H247" s="1" t="str">
        <f>+"Line "&amp;B247&amp;"."</f>
        <v>Line 5.</v>
      </c>
      <c r="J247" s="151"/>
      <c r="K247" s="38"/>
      <c r="L247" s="100"/>
      <c r="M247" s="38"/>
      <c r="N247" s="38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B247" s="39"/>
      <c r="AC247" s="39"/>
    </row>
    <row r="248" spans="1:29" ht="15" x14ac:dyDescent="0.25">
      <c r="A248" s="158">
        <v>4</v>
      </c>
      <c r="B248" s="161">
        <f>+F38</f>
        <v>16</v>
      </c>
      <c r="D248" s="21">
        <v>1</v>
      </c>
      <c r="G248" s="162" t="str">
        <f t="shared" si="62"/>
        <v>(4)</v>
      </c>
      <c r="H248" s="1" t="str">
        <f>+"Line "&amp;B248&amp;" + line "&amp;B248-2&amp;"."</f>
        <v>Line 16 + line 14.</v>
      </c>
      <c r="J248" s="151"/>
      <c r="K248" s="38"/>
      <c r="L248" s="100"/>
      <c r="M248" s="38"/>
      <c r="N248" s="38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B248" s="39"/>
      <c r="AC248" s="39"/>
    </row>
    <row r="249" spans="1:29" ht="15" x14ac:dyDescent="0.25">
      <c r="A249" s="158">
        <v>5</v>
      </c>
      <c r="B249" s="161">
        <f>+B248</f>
        <v>16</v>
      </c>
      <c r="D249" s="21">
        <v>1</v>
      </c>
      <c r="G249" s="162" t="str">
        <f t="shared" si="62"/>
        <v>(5)</v>
      </c>
      <c r="H249" s="1" t="str">
        <f>+"Line "&amp;B249&amp;"."</f>
        <v>Line 16.</v>
      </c>
      <c r="J249" s="151"/>
      <c r="K249" s="38"/>
      <c r="L249" s="100"/>
      <c r="M249" s="38"/>
      <c r="N249" s="38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B249" s="39"/>
      <c r="AC249" s="39"/>
    </row>
    <row r="250" spans="1:29" ht="30" customHeight="1" x14ac:dyDescent="0.25">
      <c r="A250" s="158">
        <v>6</v>
      </c>
      <c r="D250" s="21">
        <f>IF($C$10="IOU",0,1)</f>
        <v>1</v>
      </c>
      <c r="G250" s="159" t="str">
        <f t="shared" si="62"/>
        <v>(6)</v>
      </c>
      <c r="H250" s="163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0" s="163"/>
      <c r="J250" s="163"/>
      <c r="K250" s="163"/>
      <c r="L250" s="163"/>
      <c r="M250" s="163"/>
      <c r="N250" s="164"/>
      <c r="O250" s="164"/>
      <c r="P250" s="164"/>
      <c r="Q250" s="164"/>
      <c r="R250" s="39"/>
      <c r="S250" s="39"/>
      <c r="T250" s="39" t="s">
        <v>95</v>
      </c>
      <c r="U250" s="39" t="s">
        <v>95</v>
      </c>
      <c r="V250" s="39" t="s">
        <v>95</v>
      </c>
      <c r="W250" s="39" t="s">
        <v>95</v>
      </c>
      <c r="X250" s="39" t="s">
        <v>95</v>
      </c>
      <c r="Y250" s="39" t="s">
        <v>95</v>
      </c>
      <c r="Z250" s="39" t="s">
        <v>95</v>
      </c>
      <c r="AA250" s="39" t="s">
        <v>95</v>
      </c>
      <c r="AB250" s="39"/>
      <c r="AC250" s="39"/>
    </row>
    <row r="251" spans="1:29" ht="30.75" customHeight="1" x14ac:dyDescent="0.25">
      <c r="A251" s="158">
        <v>6</v>
      </c>
      <c r="D251" s="21">
        <f>IF($C$10="IOU",1,0)</f>
        <v>0</v>
      </c>
      <c r="F251" s="48"/>
      <c r="G251" s="159" t="str">
        <f t="shared" si="62"/>
        <v>(6)</v>
      </c>
      <c r="H251" s="165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1" s="165"/>
      <c r="J251" s="165"/>
      <c r="K251" s="165"/>
      <c r="L251" s="165"/>
      <c r="M251" s="165"/>
      <c r="N251" s="164"/>
      <c r="O251" s="164"/>
      <c r="P251" s="164"/>
      <c r="Q251" s="164"/>
      <c r="R251" s="39"/>
      <c r="T251" s="166" t="str">
        <f>+"reduction in cost due to the fact governmental agencies must pay prevailing wages while private companies do not. Post-2020 years are estimates at "&amp;TEXT(Q303,"0.00%")&amp;" of prior year-end GROSS Property, plant and equipment."</f>
        <v>reduction in cost due to the fact governmental agencies must pay prevailing wages while private companies do not. Post-2020 years are estimates at 1.59% of prior year-end GROSS Property, plant and equipment.</v>
      </c>
      <c r="U251" s="39"/>
      <c r="V251" s="39"/>
      <c r="W251" s="39"/>
      <c r="X251" s="39"/>
      <c r="Y251" s="39"/>
      <c r="Z251" s="39"/>
      <c r="AB251" s="39"/>
      <c r="AC251" s="39"/>
    </row>
    <row r="252" spans="1:29" ht="17.25" customHeight="1" x14ac:dyDescent="0.25">
      <c r="A252" s="158">
        <v>7</v>
      </c>
      <c r="D252" s="21">
        <v>1</v>
      </c>
      <c r="G252" s="159" t="str">
        <f t="shared" si="62"/>
        <v>(7)</v>
      </c>
      <c r="H252" s="167" t="s">
        <v>96</v>
      </c>
      <c r="I252" s="167"/>
      <c r="J252" s="167"/>
      <c r="K252" s="167"/>
      <c r="L252" s="167"/>
      <c r="M252" s="167"/>
      <c r="N252" s="167"/>
      <c r="O252" s="167"/>
      <c r="P252" s="167"/>
      <c r="Q252" s="167"/>
      <c r="R252" s="168"/>
      <c r="S252" s="168"/>
      <c r="T252" s="39" t="str">
        <f>+"Capital Expenditures - Year 2016 are from Engineers Assessment inventory post-2015 additions. Years 2017 - 2020 are from Engineers Assessment CIP @ 30%. "&amp;T251</f>
        <v>Capital Expenditures - Year 2016 are from Engineers Assessment inventory post-2015 additions. Years 2017 - 2020 are from Engineers Assessment CIP @ 30%. reduction in cost due to the fact governmental agencies must pay prevailing wages while private companies do not. Post-2020 years are estimates at 1.59% of prior year-end GROSS Property, plant and equipment.</v>
      </c>
      <c r="U252" s="39"/>
      <c r="V252" s="39"/>
      <c r="W252" s="39"/>
      <c r="X252" s="39"/>
      <c r="Y252" s="39"/>
      <c r="Z252" s="39"/>
      <c r="AB252" s="39"/>
      <c r="AC252" s="39"/>
    </row>
    <row r="253" spans="1:29" ht="15" x14ac:dyDescent="0.25">
      <c r="D253" s="21">
        <v>0</v>
      </c>
    </row>
    <row r="254" spans="1:29" ht="30.75" customHeight="1" x14ac:dyDescent="0.25">
      <c r="A254" s="39">
        <v>0</v>
      </c>
      <c r="D254" s="21">
        <v>0</v>
      </c>
      <c r="G254" s="159"/>
      <c r="H254" s="169" t="s">
        <v>97</v>
      </c>
      <c r="I254" s="169"/>
      <c r="J254" s="169"/>
      <c r="K254" s="169"/>
      <c r="L254" s="16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B254" s="39"/>
      <c r="AC254" s="39"/>
    </row>
    <row r="255" spans="1:29" ht="15" x14ac:dyDescent="0.25">
      <c r="A255" s="39">
        <v>0</v>
      </c>
      <c r="D255" s="21">
        <v>0</v>
      </c>
      <c r="G255" s="162"/>
      <c r="H255" s="1" t="s">
        <v>98</v>
      </c>
      <c r="I255" s="38"/>
      <c r="J255" s="170"/>
      <c r="K255" s="38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B255" s="39"/>
      <c r="AC255" s="39"/>
    </row>
    <row r="256" spans="1:29" ht="30" customHeight="1" x14ac:dyDescent="0.25">
      <c r="A256" s="39">
        <v>8</v>
      </c>
      <c r="D256" s="21">
        <f>IF($C$10="IOU",1,0)</f>
        <v>0</v>
      </c>
      <c r="G256" s="159" t="str">
        <f t="shared" ref="G256:G264" si="63">"("&amp;TEXT(A256,0)&amp;")"</f>
        <v>(8)</v>
      </c>
      <c r="H256" s="169" t="s">
        <v>99</v>
      </c>
      <c r="I256" s="169"/>
      <c r="J256" s="169"/>
      <c r="K256" s="169"/>
      <c r="L256" s="169"/>
      <c r="M256" s="16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B256" s="39"/>
      <c r="AC256" s="39"/>
    </row>
    <row r="257" spans="1:29" ht="30" customHeight="1" x14ac:dyDescent="0.25">
      <c r="A257" s="39">
        <v>9</v>
      </c>
      <c r="D257" s="21">
        <f>IF($C$10="IOU",1,0)</f>
        <v>0</v>
      </c>
      <c r="G257" s="159" t="str">
        <f t="shared" si="63"/>
        <v>(9)</v>
      </c>
      <c r="H257" s="169" t="s">
        <v>100</v>
      </c>
      <c r="I257" s="169"/>
      <c r="J257" s="169"/>
      <c r="K257" s="169"/>
      <c r="L257" s="169"/>
      <c r="M257" s="16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B257" s="39"/>
      <c r="AC257" s="39"/>
    </row>
    <row r="258" spans="1:29" ht="30" customHeight="1" x14ac:dyDescent="0.25">
      <c r="A258" s="39">
        <v>8</v>
      </c>
      <c r="D258" s="21">
        <f>IF($C$10="IOU",0,1)</f>
        <v>1</v>
      </c>
      <c r="G258" s="159" t="str">
        <f t="shared" si="63"/>
        <v>(8)</v>
      </c>
      <c r="H258" s="169" t="s">
        <v>101</v>
      </c>
      <c r="I258" s="169"/>
      <c r="J258" s="169"/>
      <c r="K258" s="169"/>
      <c r="L258" s="169"/>
      <c r="M258" s="16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B258" s="39"/>
      <c r="AC258" s="39"/>
    </row>
    <row r="259" spans="1:29" ht="30" customHeight="1" x14ac:dyDescent="0.25">
      <c r="A259" s="39">
        <v>9</v>
      </c>
      <c r="D259" s="21">
        <f>IF($C$10="MUNI",1,0)</f>
        <v>1</v>
      </c>
      <c r="G259" s="159" t="str">
        <f t="shared" si="63"/>
        <v>(9)</v>
      </c>
      <c r="H259" s="169" t="s">
        <v>102</v>
      </c>
      <c r="I259" s="169"/>
      <c r="J259" s="169"/>
      <c r="K259" s="169"/>
      <c r="L259" s="169"/>
      <c r="M259" s="16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B259" s="39"/>
      <c r="AC259" s="39"/>
    </row>
    <row r="260" spans="1:29" ht="15" x14ac:dyDescent="0.25">
      <c r="A260" s="39">
        <v>10</v>
      </c>
      <c r="B260" s="161">
        <f>+F52</f>
        <v>26</v>
      </c>
      <c r="D260" s="21">
        <v>1</v>
      </c>
      <c r="G260" s="162" t="str">
        <f t="shared" si="63"/>
        <v>(10)</v>
      </c>
      <c r="H260" s="1" t="str">
        <f>+"Final year shown, line "&amp;B260&amp;"."</f>
        <v>Final year shown, line 26.</v>
      </c>
      <c r="I260" s="38"/>
      <c r="J260" s="170"/>
      <c r="K260" s="38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B260" s="39"/>
      <c r="AC260" s="39"/>
    </row>
    <row r="261" spans="1:29" ht="15" x14ac:dyDescent="0.25">
      <c r="A261" s="39">
        <v>11</v>
      </c>
      <c r="B261" s="161">
        <f>IF($C$10="IOU",+F54,+F70)</f>
        <v>28</v>
      </c>
      <c r="D261" s="21">
        <f>IF($C$10="SUBJECT",0,1)</f>
        <v>1</v>
      </c>
      <c r="G261" s="162" t="str">
        <f t="shared" si="63"/>
        <v>(11)</v>
      </c>
      <c r="H261" s="1" t="str">
        <f>+"Final year shown, line "&amp;B261&amp;"."</f>
        <v>Final year shown, line 28.</v>
      </c>
      <c r="I261" s="38"/>
      <c r="J261" s="170"/>
      <c r="K261" s="38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B261" s="39"/>
      <c r="AC261" s="39"/>
    </row>
    <row r="262" spans="1:29" ht="15" x14ac:dyDescent="0.25">
      <c r="A262" s="39">
        <v>12</v>
      </c>
      <c r="B262" s="161">
        <f>IF($C$10="IOU",+F58,+F70)</f>
        <v>28</v>
      </c>
      <c r="D262" s="21">
        <f>IF($C$10="SUBJECT",0,1)</f>
        <v>1</v>
      </c>
      <c r="G262" s="162" t="str">
        <f t="shared" si="63"/>
        <v>(12)</v>
      </c>
      <c r="H262" s="1" t="str">
        <f>+"Final year shown, line "&amp;B262&amp;"."</f>
        <v>Final year shown, line 28.</v>
      </c>
      <c r="I262" s="38"/>
      <c r="J262" s="170"/>
      <c r="K262" s="38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B262" s="39"/>
      <c r="AC262" s="39"/>
    </row>
    <row r="263" spans="1:29" ht="15" x14ac:dyDescent="0.25">
      <c r="A263" s="39">
        <v>13</v>
      </c>
      <c r="B263" s="1"/>
      <c r="D263" s="21">
        <f>IF($C$10="SUBJECT",0,1)</f>
        <v>1</v>
      </c>
      <c r="G263" s="162" t="str">
        <f t="shared" si="63"/>
        <v>(13)</v>
      </c>
      <c r="H263" s="1" t="s">
        <v>103</v>
      </c>
      <c r="I263" s="38"/>
      <c r="J263" s="170"/>
      <c r="K263" s="38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B263" s="39"/>
      <c r="AC263" s="39"/>
    </row>
    <row r="264" spans="1:29" ht="15" x14ac:dyDescent="0.25">
      <c r="A264" s="39">
        <v>11</v>
      </c>
      <c r="D264" s="21"/>
      <c r="G264" s="162" t="str">
        <f t="shared" si="63"/>
        <v>(11)</v>
      </c>
      <c r="H264" s="1" t="s">
        <v>104</v>
      </c>
      <c r="I264" s="38"/>
      <c r="J264" s="170"/>
      <c r="K264" s="38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</row>
    <row r="265" spans="1:29" ht="15" x14ac:dyDescent="0.25">
      <c r="D265" s="21">
        <v>0</v>
      </c>
      <c r="G265" s="162"/>
      <c r="I265" s="38"/>
      <c r="J265" s="170"/>
      <c r="K265" s="38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</row>
    <row r="266" spans="1:29" ht="15" x14ac:dyDescent="0.25">
      <c r="B266" s="1"/>
      <c r="D266" s="21">
        <v>0</v>
      </c>
      <c r="G266" s="171"/>
      <c r="I266" s="38"/>
      <c r="J266" s="170"/>
      <c r="K266" s="38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</row>
    <row r="267" spans="1:29" ht="15" x14ac:dyDescent="0.25">
      <c r="D267" s="21">
        <v>1</v>
      </c>
      <c r="G267" s="171"/>
      <c r="H267" s="170"/>
      <c r="I267" s="38"/>
      <c r="J267" s="170"/>
      <c r="K267" s="38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</row>
    <row r="268" spans="1:29" ht="15" x14ac:dyDescent="0.25">
      <c r="D268" s="21">
        <v>1</v>
      </c>
      <c r="G268" s="172" t="s">
        <v>105</v>
      </c>
      <c r="I268" s="38"/>
      <c r="J268" s="170"/>
      <c r="K268" s="38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</row>
    <row r="269" spans="1:29" ht="15" x14ac:dyDescent="0.25">
      <c r="D269" s="21">
        <v>1</v>
      </c>
      <c r="G269" s="172"/>
      <c r="H269" s="1" t="s">
        <v>106</v>
      </c>
      <c r="I269" s="38"/>
      <c r="J269" s="170"/>
      <c r="K269" s="38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</row>
    <row r="270" spans="1:29" ht="15" x14ac:dyDescent="0.25">
      <c r="D270" s="21">
        <v>1</v>
      </c>
      <c r="G270" s="172"/>
      <c r="H270" s="1" t="s">
        <v>107</v>
      </c>
      <c r="I270" s="38"/>
      <c r="J270" s="170"/>
      <c r="K270" s="38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</row>
    <row r="271" spans="1:29" ht="15" x14ac:dyDescent="0.25">
      <c r="D271" s="21">
        <v>1</v>
      </c>
      <c r="G271" s="172"/>
      <c r="H271" s="1" t="s">
        <v>108</v>
      </c>
      <c r="I271" s="38"/>
      <c r="J271" s="170"/>
      <c r="K271" s="38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</row>
    <row r="272" spans="1:29" ht="15" x14ac:dyDescent="0.25">
      <c r="D272" s="21">
        <v>1</v>
      </c>
      <c r="G272" s="171"/>
      <c r="H272" s="1" t="s">
        <v>109</v>
      </c>
      <c r="I272" s="38"/>
      <c r="J272" s="170"/>
      <c r="K272" s="38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</row>
    <row r="273" spans="4:29" ht="15" x14ac:dyDescent="0.25">
      <c r="D273" s="21">
        <v>1</v>
      </c>
      <c r="G273" s="173"/>
      <c r="H273" s="1" t="s">
        <v>110</v>
      </c>
      <c r="I273" s="38"/>
      <c r="J273" s="38"/>
      <c r="K273" s="38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</row>
    <row r="274" spans="4:29" ht="15" x14ac:dyDescent="0.25">
      <c r="D274" s="21">
        <v>1</v>
      </c>
      <c r="G274" s="173"/>
      <c r="H274" s="1" t="s">
        <v>111</v>
      </c>
      <c r="I274" s="38"/>
      <c r="J274" s="38"/>
      <c r="K274" s="38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</row>
    <row r="275" spans="4:29" ht="15" x14ac:dyDescent="0.25">
      <c r="D275" s="21">
        <v>1</v>
      </c>
      <c r="G275" s="173"/>
      <c r="H275" s="1" t="s">
        <v>112</v>
      </c>
      <c r="I275" s="38"/>
      <c r="J275" s="38"/>
      <c r="K275" s="38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</row>
    <row r="276" spans="4:29" ht="15" x14ac:dyDescent="0.25">
      <c r="D276" s="21">
        <v>0</v>
      </c>
      <c r="G276" s="173"/>
      <c r="H276" s="1" t="s">
        <v>113</v>
      </c>
      <c r="I276" s="38"/>
      <c r="J276" s="38"/>
      <c r="K276" s="38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</row>
    <row r="277" spans="4:29" ht="15" x14ac:dyDescent="0.25">
      <c r="D277" s="21">
        <v>0</v>
      </c>
      <c r="G277" s="173"/>
      <c r="I277" s="38"/>
      <c r="J277" s="38"/>
      <c r="K277" s="38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</row>
    <row r="278" spans="4:29" ht="15" x14ac:dyDescent="0.25">
      <c r="D278" s="21">
        <v>0</v>
      </c>
      <c r="G278" s="173">
        <v>13</v>
      </c>
      <c r="H278" s="170"/>
      <c r="I278" s="38"/>
      <c r="J278" s="38"/>
      <c r="K278" s="38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</row>
    <row r="279" spans="4:29" ht="15" x14ac:dyDescent="0.25">
      <c r="D279" s="21">
        <v>0</v>
      </c>
      <c r="G279" s="173">
        <v>14</v>
      </c>
      <c r="H279" s="38"/>
      <c r="I279" s="38"/>
      <c r="J279" s="38"/>
      <c r="K279" s="38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</row>
    <row r="280" spans="4:29" ht="15" x14ac:dyDescent="0.25">
      <c r="D280" s="21">
        <v>0</v>
      </c>
      <c r="G280" s="173">
        <v>15</v>
      </c>
      <c r="H280" s="38"/>
      <c r="I280" s="38"/>
      <c r="J280" s="38"/>
      <c r="K280" s="38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</row>
    <row r="281" spans="4:29" ht="15" x14ac:dyDescent="0.25">
      <c r="D281" s="21">
        <v>0</v>
      </c>
      <c r="G281" s="173">
        <v>16</v>
      </c>
      <c r="H281" s="38"/>
      <c r="I281" s="38"/>
      <c r="J281" s="38"/>
      <c r="K281" s="38"/>
      <c r="L281" s="39"/>
      <c r="N281" s="39"/>
      <c r="R281" s="39"/>
      <c r="AA281" s="39"/>
      <c r="AB281" s="39"/>
      <c r="AC281" s="39"/>
    </row>
    <row r="282" spans="4:29" ht="15" x14ac:dyDescent="0.25">
      <c r="D282" s="21">
        <v>0</v>
      </c>
      <c r="G282" s="173">
        <v>17</v>
      </c>
      <c r="H282" s="38"/>
      <c r="I282" s="58"/>
      <c r="J282" s="58"/>
      <c r="K282" s="58"/>
      <c r="L282" s="58"/>
      <c r="M282" s="58"/>
      <c r="N282" s="58"/>
      <c r="O282" s="58"/>
      <c r="P282" s="58"/>
      <c r="R282" s="39"/>
      <c r="AA282" s="39"/>
      <c r="AB282" s="39"/>
      <c r="AC282" s="39"/>
    </row>
    <row r="283" spans="4:29" ht="15.75" thickBot="1" x14ac:dyDescent="0.3">
      <c r="D283" s="21">
        <v>0</v>
      </c>
      <c r="H283" s="38"/>
      <c r="I283" s="38"/>
      <c r="J283" s="38"/>
      <c r="K283" s="38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</row>
    <row r="284" spans="4:29" ht="13.5" thickBot="1" x14ac:dyDescent="0.25">
      <c r="G284" s="174" t="s">
        <v>114</v>
      </c>
      <c r="H284" s="175"/>
      <c r="I284" s="175"/>
      <c r="J284" s="175"/>
      <c r="K284" s="175"/>
      <c r="L284" s="175"/>
      <c r="M284" s="175"/>
      <c r="N284" s="176"/>
      <c r="O284" s="177" t="s">
        <v>114</v>
      </c>
      <c r="P284" s="88"/>
      <c r="Q284" s="88"/>
      <c r="R284" s="88"/>
      <c r="S284" s="88"/>
      <c r="T284" s="88"/>
      <c r="U284" s="88"/>
      <c r="V284" s="89"/>
      <c r="W284" s="39"/>
      <c r="X284" s="39"/>
      <c r="Y284" s="39"/>
      <c r="Z284" s="39"/>
      <c r="AA284" s="39"/>
      <c r="AB284" s="39"/>
      <c r="AC284" s="39"/>
    </row>
    <row r="285" spans="4:29" x14ac:dyDescent="0.2">
      <c r="H285" s="20">
        <f t="shared" ref="H285:Z285" si="64">+H19</f>
        <v>2013</v>
      </c>
      <c r="I285" s="20">
        <f t="shared" si="64"/>
        <v>2014</v>
      </c>
      <c r="J285" s="20">
        <f t="shared" si="64"/>
        <v>2015</v>
      </c>
      <c r="K285" s="20">
        <f t="shared" si="64"/>
        <v>2016</v>
      </c>
      <c r="L285" s="20">
        <f t="shared" si="64"/>
        <v>2017</v>
      </c>
      <c r="M285" s="20">
        <f t="shared" si="64"/>
        <v>2018</v>
      </c>
      <c r="N285" s="178">
        <f t="shared" si="64"/>
        <v>2019</v>
      </c>
      <c r="O285" s="178">
        <f t="shared" si="64"/>
        <v>2020</v>
      </c>
      <c r="P285" s="20">
        <f t="shared" si="64"/>
        <v>2021</v>
      </c>
      <c r="Q285" s="20">
        <f t="shared" si="64"/>
        <v>2022</v>
      </c>
      <c r="R285" s="20">
        <f t="shared" si="64"/>
        <v>2023</v>
      </c>
      <c r="S285" s="20">
        <f t="shared" si="64"/>
        <v>2024</v>
      </c>
      <c r="T285" s="20">
        <f t="shared" si="64"/>
        <v>2025</v>
      </c>
      <c r="U285" s="20">
        <f t="shared" si="64"/>
        <v>2026</v>
      </c>
      <c r="V285" s="20">
        <f t="shared" si="64"/>
        <v>2027</v>
      </c>
      <c r="W285" s="20">
        <f t="shared" si="64"/>
        <v>2028</v>
      </c>
      <c r="X285" s="20">
        <f t="shared" si="64"/>
        <v>2029</v>
      </c>
      <c r="Y285" s="20">
        <f t="shared" si="64"/>
        <v>2030</v>
      </c>
      <c r="Z285" s="20">
        <f t="shared" si="64"/>
        <v>2031</v>
      </c>
      <c r="AA285" s="20">
        <f t="shared" ref="AA285" si="65">+Z285+1</f>
        <v>2032</v>
      </c>
    </row>
    <row r="286" spans="4:29" x14ac:dyDescent="0.2"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spans="4:29" x14ac:dyDescent="0.2">
      <c r="G287" s="1" t="s">
        <v>115</v>
      </c>
      <c r="H287" s="179">
        <f>+H449</f>
        <v>0</v>
      </c>
      <c r="I287" s="179">
        <f t="shared" ref="I287:J287" si="66">+I449</f>
        <v>0</v>
      </c>
      <c r="J287" s="179">
        <f t="shared" si="66"/>
        <v>0</v>
      </c>
      <c r="K287" s="179"/>
      <c r="L287" s="179">
        <v>4931649</v>
      </c>
      <c r="M287" s="179">
        <f>+L287+M304-M309</f>
        <v>4931649</v>
      </c>
      <c r="N287" s="179">
        <f>+M287+N304-N309</f>
        <v>4997755</v>
      </c>
      <c r="O287" s="179">
        <f>+N287+O304-O309</f>
        <v>5064227</v>
      </c>
      <c r="P287" s="179">
        <f>+O287+P304-P309</f>
        <v>5131586</v>
      </c>
      <c r="Q287" s="179">
        <f>+P287+Q304-Q309</f>
        <v>5199842</v>
      </c>
      <c r="R287" s="179">
        <f>+Q287+R304-R309</f>
        <v>5269005</v>
      </c>
      <c r="S287" s="179">
        <f>+R287+S304-S309</f>
        <v>5339087</v>
      </c>
      <c r="T287" s="179">
        <f>+S287+T304-T309</f>
        <v>5410102</v>
      </c>
      <c r="U287" s="179">
        <f>+T287+U304-U309</f>
        <v>5483220</v>
      </c>
      <c r="V287" s="179">
        <f>+U287+V304-V309</f>
        <v>5557326</v>
      </c>
      <c r="W287" s="179">
        <f>+V287+W304-W309</f>
        <v>5632433</v>
      </c>
      <c r="X287" s="179">
        <f>+W287+X304-X309</f>
        <v>5708556</v>
      </c>
      <c r="Y287" s="179">
        <f>+X287+Y304-Y309</f>
        <v>5785707</v>
      </c>
      <c r="Z287" s="179">
        <f>+Y287+Z304-Z309</f>
        <v>5863901</v>
      </c>
      <c r="AA287" s="20"/>
    </row>
    <row r="288" spans="4:29" x14ac:dyDescent="0.2">
      <c r="G288" s="1" t="s">
        <v>116</v>
      </c>
      <c r="H288" s="179">
        <f t="shared" ref="H288:J288" si="67">+H450</f>
        <v>0</v>
      </c>
      <c r="I288" s="179">
        <f t="shared" si="67"/>
        <v>0</v>
      </c>
      <c r="J288" s="179">
        <f t="shared" si="67"/>
        <v>0</v>
      </c>
      <c r="K288" s="179"/>
      <c r="L288" s="179">
        <v>1696790</v>
      </c>
      <c r="M288" s="179">
        <f>+L288+M312-M309</f>
        <v>1778655.3733999999</v>
      </c>
      <c r="N288" s="179">
        <f>+M288+N312-N309</f>
        <v>1849307.0911999999</v>
      </c>
      <c r="O288" s="179">
        <f>+N288+O312-O309</f>
        <v>1920994.1061999998</v>
      </c>
      <c r="P288" s="179">
        <f>+O288+P312-P309</f>
        <v>1993633.9501999998</v>
      </c>
      <c r="Q288" s="179">
        <f>+P288+Q312-Q309</f>
        <v>2067239.3307999999</v>
      </c>
      <c r="R288" s="179">
        <f>+Q288+R312-R309</f>
        <v>2141824.105</v>
      </c>
      <c r="S288" s="179">
        <f>+R288+S312-S309</f>
        <v>2217400.2791999998</v>
      </c>
      <c r="T288" s="179">
        <f>+S288+T312-T309</f>
        <v>2293982.0921999998</v>
      </c>
      <c r="U288" s="179">
        <f>+T288+U312-U309</f>
        <v>2371386.5955999997</v>
      </c>
      <c r="V288" s="179">
        <f>+U288+V312-V309</f>
        <v>2449837.9693999998</v>
      </c>
      <c r="W288" s="179">
        <f>+V288+W312-W309</f>
        <v>2529348.5645999997</v>
      </c>
      <c r="X288" s="179">
        <f>+W288+X312-X309</f>
        <v>2609933.9645999996</v>
      </c>
      <c r="Y288" s="179">
        <f>+X288+Y312-Y309</f>
        <v>2691607.9851999995</v>
      </c>
      <c r="Z288" s="179">
        <f>+Y288+Z312-Z309</f>
        <v>2774386.6579999994</v>
      </c>
      <c r="AA288" s="20"/>
    </row>
    <row r="289" spans="4:27" ht="13.5" thickBot="1" x14ac:dyDescent="0.25">
      <c r="G289" s="180" t="s">
        <v>117</v>
      </c>
      <c r="H289" s="181">
        <f>+H287-H288</f>
        <v>0</v>
      </c>
      <c r="I289" s="181">
        <f t="shared" ref="I289:Z289" si="68">+I287-I288</f>
        <v>0</v>
      </c>
      <c r="J289" s="181">
        <f t="shared" si="68"/>
        <v>0</v>
      </c>
      <c r="K289" s="181"/>
      <c r="L289" s="181">
        <v>3234859</v>
      </c>
      <c r="M289" s="181">
        <f t="shared" si="68"/>
        <v>3152993.6266000001</v>
      </c>
      <c r="N289" s="181">
        <f t="shared" si="68"/>
        <v>3148447.9088000003</v>
      </c>
      <c r="O289" s="181">
        <f t="shared" si="68"/>
        <v>3143232.8938000002</v>
      </c>
      <c r="P289" s="181">
        <f t="shared" si="68"/>
        <v>3137952.0498000002</v>
      </c>
      <c r="Q289" s="181">
        <f t="shared" si="68"/>
        <v>3132602.6692000004</v>
      </c>
      <c r="R289" s="181">
        <f t="shared" si="68"/>
        <v>3127180.895</v>
      </c>
      <c r="S289" s="181">
        <f t="shared" si="68"/>
        <v>3121686.7208000002</v>
      </c>
      <c r="T289" s="181">
        <f t="shared" si="68"/>
        <v>3116119.9078000002</v>
      </c>
      <c r="U289" s="181">
        <f t="shared" si="68"/>
        <v>3111833.4044000003</v>
      </c>
      <c r="V289" s="181">
        <f t="shared" si="68"/>
        <v>3107488.0306000002</v>
      </c>
      <c r="W289" s="181">
        <f t="shared" si="68"/>
        <v>3103084.4354000003</v>
      </c>
      <c r="X289" s="181">
        <f t="shared" si="68"/>
        <v>3098622.0354000004</v>
      </c>
      <c r="Y289" s="181">
        <f t="shared" si="68"/>
        <v>3094099.0148000005</v>
      </c>
      <c r="Z289" s="181">
        <f t="shared" si="68"/>
        <v>3089514.3420000006</v>
      </c>
      <c r="AA289" s="20"/>
    </row>
    <row r="290" spans="4:27" ht="13.5" thickTop="1" x14ac:dyDescent="0.2">
      <c r="H290" s="20"/>
      <c r="I290" s="20"/>
      <c r="J290" s="20"/>
      <c r="K290" s="20"/>
      <c r="L290" s="182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182"/>
      <c r="AA290" s="20"/>
    </row>
    <row r="291" spans="4:27" ht="15" x14ac:dyDescent="0.25">
      <c r="G291" s="29" t="s">
        <v>118</v>
      </c>
      <c r="H291" s="179">
        <f>+H453</f>
        <v>0</v>
      </c>
      <c r="I291" s="179">
        <f t="shared" ref="I291:K292" si="69">+I453</f>
        <v>0</v>
      </c>
      <c r="J291" s="179">
        <f t="shared" si="69"/>
        <v>0</v>
      </c>
      <c r="K291" s="179">
        <f t="shared" si="69"/>
        <v>0</v>
      </c>
      <c r="L291" s="183">
        <f>+K291</f>
        <v>0</v>
      </c>
      <c r="M291" s="184">
        <f>+L291</f>
        <v>0</v>
      </c>
      <c r="N291" s="184">
        <f>+M291</f>
        <v>0</v>
      </c>
      <c r="O291" s="185"/>
      <c r="P291" s="185"/>
      <c r="Q291" s="185"/>
      <c r="R291" s="185"/>
      <c r="S291" s="185"/>
      <c r="T291" s="185"/>
      <c r="U291" s="185"/>
      <c r="V291" s="185"/>
      <c r="W291" s="185"/>
      <c r="X291" s="185"/>
      <c r="Y291" s="185"/>
      <c r="Z291" s="185"/>
      <c r="AA291" s="20"/>
    </row>
    <row r="292" spans="4:27" ht="15" x14ac:dyDescent="0.25">
      <c r="D292" s="186"/>
      <c r="G292" s="29" t="s">
        <v>119</v>
      </c>
      <c r="H292" s="179">
        <f>+H454</f>
        <v>0</v>
      </c>
      <c r="I292" s="179">
        <f t="shared" si="69"/>
        <v>0</v>
      </c>
      <c r="J292" s="179">
        <f t="shared" si="69"/>
        <v>0</v>
      </c>
      <c r="K292" s="179">
        <f t="shared" si="69"/>
        <v>2723127</v>
      </c>
      <c r="L292" s="183">
        <f>+K292</f>
        <v>2723127</v>
      </c>
      <c r="M292" s="183">
        <f t="shared" ref="M292:N292" si="70">+L292</f>
        <v>2723127</v>
      </c>
      <c r="N292" s="183">
        <f t="shared" si="70"/>
        <v>2723127</v>
      </c>
      <c r="O292" s="185"/>
      <c r="P292" s="185"/>
      <c r="Q292" s="185"/>
      <c r="R292" s="185"/>
      <c r="S292" s="185"/>
      <c r="T292" s="185"/>
      <c r="U292" s="185"/>
      <c r="V292" s="185"/>
      <c r="W292" s="185"/>
      <c r="X292" s="185"/>
      <c r="Y292" s="185"/>
      <c r="Z292" s="185"/>
      <c r="AA292" s="20"/>
    </row>
    <row r="293" spans="4:27" ht="13.5" thickBot="1" x14ac:dyDescent="0.25">
      <c r="G293" s="180" t="s">
        <v>120</v>
      </c>
      <c r="H293" s="181">
        <f>SUM(H291:H292)</f>
        <v>0</v>
      </c>
      <c r="I293" s="181">
        <f t="shared" ref="I293:L293" si="71">SUM(I291:I292)</f>
        <v>0</v>
      </c>
      <c r="J293" s="181">
        <f t="shared" si="71"/>
        <v>0</v>
      </c>
      <c r="K293" s="181">
        <f t="shared" si="71"/>
        <v>2723127</v>
      </c>
      <c r="L293" s="181">
        <f t="shared" si="71"/>
        <v>2723127</v>
      </c>
      <c r="M293" s="187">
        <f>SUM(M291:M292)</f>
        <v>2723127</v>
      </c>
      <c r="N293" s="187">
        <f>SUM(N291:N292)</f>
        <v>2723127</v>
      </c>
      <c r="O293" s="181"/>
      <c r="P293" s="181"/>
      <c r="Q293" s="181"/>
      <c r="R293" s="181"/>
      <c r="S293" s="181"/>
      <c r="T293" s="181"/>
      <c r="U293" s="181"/>
      <c r="V293" s="181"/>
      <c r="W293" s="181"/>
      <c r="X293" s="181"/>
      <c r="Y293" s="181"/>
      <c r="Z293" s="181"/>
      <c r="AA293" s="20"/>
    </row>
    <row r="294" spans="4:27" ht="13.5" thickTop="1" x14ac:dyDescent="0.2"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spans="4:27" x14ac:dyDescent="0.2">
      <c r="H295" s="20"/>
      <c r="I295" s="20"/>
      <c r="J295" s="20"/>
      <c r="K295" s="20"/>
      <c r="L295" s="20"/>
      <c r="M295" s="20"/>
      <c r="O295" s="178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spans="4:27" x14ac:dyDescent="0.2">
      <c r="G296" s="1" t="s">
        <v>121</v>
      </c>
      <c r="H296" s="188" t="e">
        <f>+H48/H287</f>
        <v>#DIV/0!</v>
      </c>
      <c r="I296" s="188" t="e">
        <f>+I48/I287</f>
        <v>#DIV/0!</v>
      </c>
      <c r="J296" s="188" t="e">
        <f>+J48/J287</f>
        <v>#DIV/0!</v>
      </c>
      <c r="K296" s="188">
        <f>+L296</f>
        <v>1.66E-2</v>
      </c>
      <c r="L296" s="188">
        <v>1.66E-2</v>
      </c>
      <c r="M296" s="188">
        <v>1.66E-2</v>
      </c>
      <c r="O296" s="178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spans="4:27" x14ac:dyDescent="0.2"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spans="4:27" x14ac:dyDescent="0.2"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spans="4:27" x14ac:dyDescent="0.2"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spans="4:27" ht="13.5" thickBot="1" x14ac:dyDescent="0.25">
      <c r="H300" s="20"/>
      <c r="I300" s="20"/>
      <c r="J300" s="20"/>
      <c r="K300" s="7" t="s">
        <v>122</v>
      </c>
      <c r="L300" s="166">
        <f>+L323</f>
        <v>0</v>
      </c>
      <c r="M300" s="166">
        <f t="shared" ref="M300:T300" si="72">+M323</f>
        <v>0</v>
      </c>
      <c r="N300" s="166">
        <f t="shared" si="72"/>
        <v>77772.104729999992</v>
      </c>
      <c r="O300" s="166">
        <f t="shared" si="72"/>
        <v>78201.831909999994</v>
      </c>
      <c r="P300" s="166">
        <f t="shared" si="72"/>
        <v>79246.164250000016</v>
      </c>
      <c r="Q300" s="166">
        <f t="shared" si="72"/>
        <v>80300.501799999998</v>
      </c>
      <c r="R300" s="166">
        <f t="shared" si="72"/>
        <v>81367.861569999994</v>
      </c>
      <c r="S300" s="166">
        <f t="shared" si="72"/>
        <v>82450.285489999995</v>
      </c>
      <c r="T300" s="166">
        <f t="shared" si="72"/>
        <v>83546.965490000002</v>
      </c>
      <c r="U300" s="20"/>
      <c r="V300" s="20"/>
      <c r="W300" s="20"/>
      <c r="X300" s="20"/>
      <c r="Y300" s="20"/>
      <c r="Z300" s="20"/>
      <c r="AA300" s="20"/>
    </row>
    <row r="301" spans="4:27" ht="13.5" thickBot="1" x14ac:dyDescent="0.25">
      <c r="H301" s="20"/>
      <c r="I301" s="20"/>
      <c r="J301" s="1" t="s">
        <v>123</v>
      </c>
      <c r="K301" s="189">
        <v>0</v>
      </c>
      <c r="L301" s="20"/>
      <c r="M301" s="20"/>
      <c r="N301" s="190">
        <f t="shared" ref="N301:T301" si="73">IF($C$10="IOU",1-$K301,1)</f>
        <v>1</v>
      </c>
      <c r="O301" s="190">
        <f t="shared" si="73"/>
        <v>1</v>
      </c>
      <c r="P301" s="190">
        <f t="shared" si="73"/>
        <v>1</v>
      </c>
      <c r="Q301" s="190">
        <f t="shared" si="73"/>
        <v>1</v>
      </c>
      <c r="R301" s="190">
        <f t="shared" si="73"/>
        <v>1</v>
      </c>
      <c r="S301" s="190">
        <f t="shared" si="73"/>
        <v>1</v>
      </c>
      <c r="T301" s="190">
        <f t="shared" si="73"/>
        <v>1</v>
      </c>
      <c r="U301" s="20"/>
      <c r="V301" s="20"/>
      <c r="W301" s="20"/>
      <c r="X301" s="20"/>
      <c r="Y301" s="20"/>
      <c r="Z301" s="20"/>
      <c r="AA301" s="20"/>
    </row>
    <row r="302" spans="4:27" x14ac:dyDescent="0.2"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spans="4:27" ht="18.75" x14ac:dyDescent="0.3">
      <c r="H303" s="20"/>
      <c r="I303" s="20"/>
      <c r="J303" s="20"/>
      <c r="K303" s="7" t="s">
        <v>124</v>
      </c>
      <c r="M303" s="188"/>
      <c r="N303" s="188"/>
      <c r="O303" s="188"/>
      <c r="P303" s="188"/>
      <c r="Q303" s="191">
        <v>1.5900000000000001E-2</v>
      </c>
      <c r="R303" s="188">
        <f t="shared" ref="R303:Z303" si="74">+Q303</f>
        <v>1.5900000000000001E-2</v>
      </c>
      <c r="S303" s="188">
        <f t="shared" si="74"/>
        <v>1.5900000000000001E-2</v>
      </c>
      <c r="T303" s="188">
        <f t="shared" si="74"/>
        <v>1.5900000000000001E-2</v>
      </c>
      <c r="U303" s="188">
        <f t="shared" si="74"/>
        <v>1.5900000000000001E-2</v>
      </c>
      <c r="V303" s="188">
        <f t="shared" si="74"/>
        <v>1.5900000000000001E-2</v>
      </c>
      <c r="W303" s="188">
        <f t="shared" si="74"/>
        <v>1.5900000000000001E-2</v>
      </c>
      <c r="X303" s="188">
        <f t="shared" si="74"/>
        <v>1.5900000000000001E-2</v>
      </c>
      <c r="Y303" s="188">
        <f t="shared" si="74"/>
        <v>1.5900000000000001E-2</v>
      </c>
      <c r="Z303" s="188">
        <f t="shared" si="74"/>
        <v>1.5900000000000001E-2</v>
      </c>
      <c r="AA303" s="20"/>
    </row>
    <row r="304" spans="4:27" x14ac:dyDescent="0.2">
      <c r="H304" s="20"/>
      <c r="I304" s="20"/>
      <c r="J304" s="20"/>
      <c r="K304" s="7" t="s">
        <v>125</v>
      </c>
      <c r="L304" s="166">
        <f>+L323</f>
        <v>0</v>
      </c>
      <c r="M304" s="166">
        <f t="shared" ref="M304" si="75">+M323</f>
        <v>0</v>
      </c>
      <c r="N304" s="166">
        <f>+ROUND(+N301*N300,0)</f>
        <v>77772</v>
      </c>
      <c r="O304" s="166">
        <f t="shared" ref="O304:T304" si="76">+ROUND(+O301*O300,0)</f>
        <v>78202</v>
      </c>
      <c r="P304" s="166">
        <f t="shared" si="76"/>
        <v>79246</v>
      </c>
      <c r="Q304" s="166">
        <f t="shared" si="76"/>
        <v>80301</v>
      </c>
      <c r="R304" s="166">
        <f t="shared" si="76"/>
        <v>81368</v>
      </c>
      <c r="S304" s="166">
        <f t="shared" si="76"/>
        <v>82450</v>
      </c>
      <c r="T304" s="166">
        <f t="shared" si="76"/>
        <v>83547</v>
      </c>
      <c r="U304" s="192">
        <f>ROUND(+U303*T287,0)</f>
        <v>86021</v>
      </c>
      <c r="V304" s="192">
        <f>ROUND(+V303*U287,0)</f>
        <v>87183</v>
      </c>
      <c r="W304" s="192">
        <f>ROUND(+W303*V287,0)</f>
        <v>88361</v>
      </c>
      <c r="X304" s="192">
        <f>ROUND(+X303*W287,0)</f>
        <v>89556</v>
      </c>
      <c r="Y304" s="192">
        <f>ROUND(+Y303*X287,0)</f>
        <v>90766</v>
      </c>
      <c r="Z304" s="192">
        <f>ROUND(+Z303*Y287,0)</f>
        <v>91993</v>
      </c>
      <c r="AA304" s="20"/>
    </row>
    <row r="305" spans="7:27" x14ac:dyDescent="0.2">
      <c r="H305" s="20"/>
      <c r="I305" s="20"/>
      <c r="J305" s="20"/>
      <c r="K305" s="7" t="s">
        <v>126</v>
      </c>
      <c r="L305" s="193">
        <f>+K296</f>
        <v>1.66E-2</v>
      </c>
      <c r="M305" s="193">
        <f>+M296</f>
        <v>1.66E-2</v>
      </c>
      <c r="N305" s="193">
        <f>+M296</f>
        <v>1.66E-2</v>
      </c>
      <c r="O305" s="193">
        <f t="shared" ref="O305:Z305" si="77">+N305</f>
        <v>1.66E-2</v>
      </c>
      <c r="P305" s="193">
        <f t="shared" si="77"/>
        <v>1.66E-2</v>
      </c>
      <c r="Q305" s="193">
        <f t="shared" si="77"/>
        <v>1.66E-2</v>
      </c>
      <c r="R305" s="193">
        <f t="shared" si="77"/>
        <v>1.66E-2</v>
      </c>
      <c r="S305" s="193">
        <f t="shared" si="77"/>
        <v>1.66E-2</v>
      </c>
      <c r="T305" s="193">
        <f t="shared" si="77"/>
        <v>1.66E-2</v>
      </c>
      <c r="U305" s="193">
        <f t="shared" si="77"/>
        <v>1.66E-2</v>
      </c>
      <c r="V305" s="193">
        <f t="shared" si="77"/>
        <v>1.66E-2</v>
      </c>
      <c r="W305" s="193">
        <f t="shared" si="77"/>
        <v>1.66E-2</v>
      </c>
      <c r="X305" s="193">
        <f t="shared" si="77"/>
        <v>1.66E-2</v>
      </c>
      <c r="Y305" s="193">
        <f t="shared" si="77"/>
        <v>1.66E-2</v>
      </c>
      <c r="Z305" s="193">
        <f t="shared" si="77"/>
        <v>1.66E-2</v>
      </c>
      <c r="AA305" s="20"/>
    </row>
    <row r="306" spans="7:27" x14ac:dyDescent="0.2">
      <c r="H306" s="20"/>
      <c r="I306" s="20"/>
      <c r="J306" s="20"/>
      <c r="K306" s="7" t="s">
        <v>127</v>
      </c>
      <c r="L306" s="188">
        <f>+L305*0.5</f>
        <v>8.3000000000000001E-3</v>
      </c>
      <c r="M306" s="188">
        <f>+M305*0.5</f>
        <v>8.3000000000000001E-3</v>
      </c>
      <c r="N306" s="188">
        <f>+N305*0.5</f>
        <v>8.3000000000000001E-3</v>
      </c>
      <c r="O306" s="188">
        <f t="shared" ref="O306:Z306" si="78">+O305*0.5</f>
        <v>8.3000000000000001E-3</v>
      </c>
      <c r="P306" s="188">
        <f t="shared" si="78"/>
        <v>8.3000000000000001E-3</v>
      </c>
      <c r="Q306" s="188">
        <f t="shared" si="78"/>
        <v>8.3000000000000001E-3</v>
      </c>
      <c r="R306" s="188">
        <f t="shared" si="78"/>
        <v>8.3000000000000001E-3</v>
      </c>
      <c r="S306" s="188">
        <f t="shared" si="78"/>
        <v>8.3000000000000001E-3</v>
      </c>
      <c r="T306" s="188">
        <f t="shared" si="78"/>
        <v>8.3000000000000001E-3</v>
      </c>
      <c r="U306" s="188">
        <f t="shared" si="78"/>
        <v>8.3000000000000001E-3</v>
      </c>
      <c r="V306" s="188">
        <f t="shared" si="78"/>
        <v>8.3000000000000001E-3</v>
      </c>
      <c r="W306" s="188">
        <f t="shared" si="78"/>
        <v>8.3000000000000001E-3</v>
      </c>
      <c r="X306" s="188">
        <f t="shared" si="78"/>
        <v>8.3000000000000001E-3</v>
      </c>
      <c r="Y306" s="188">
        <f t="shared" si="78"/>
        <v>8.3000000000000001E-3</v>
      </c>
      <c r="Z306" s="188">
        <f t="shared" si="78"/>
        <v>8.3000000000000001E-3</v>
      </c>
      <c r="AA306" s="20"/>
    </row>
    <row r="307" spans="7:27" x14ac:dyDescent="0.2">
      <c r="H307" s="20"/>
      <c r="K307" s="7" t="s">
        <v>128</v>
      </c>
      <c r="L307" s="192">
        <f>ROUND(+L306*L304,0)</f>
        <v>0</v>
      </c>
      <c r="M307" s="192">
        <f>ROUND(+M306*M304,0)</f>
        <v>0</v>
      </c>
      <c r="N307" s="192">
        <f>ROUND(+N306*N304,0)</f>
        <v>646</v>
      </c>
      <c r="O307" s="192">
        <f t="shared" ref="O307:Z307" si="79">ROUND(+O306*O304,0)</f>
        <v>649</v>
      </c>
      <c r="P307" s="192">
        <f t="shared" si="79"/>
        <v>658</v>
      </c>
      <c r="Q307" s="192">
        <f t="shared" si="79"/>
        <v>666</v>
      </c>
      <c r="R307" s="192">
        <f t="shared" si="79"/>
        <v>675</v>
      </c>
      <c r="S307" s="192">
        <f t="shared" si="79"/>
        <v>684</v>
      </c>
      <c r="T307" s="192">
        <f t="shared" si="79"/>
        <v>693</v>
      </c>
      <c r="U307" s="192">
        <f t="shared" si="79"/>
        <v>714</v>
      </c>
      <c r="V307" s="192">
        <f t="shared" si="79"/>
        <v>724</v>
      </c>
      <c r="W307" s="192">
        <f t="shared" si="79"/>
        <v>733</v>
      </c>
      <c r="X307" s="192">
        <f t="shared" si="79"/>
        <v>743</v>
      </c>
      <c r="Y307" s="192">
        <f t="shared" si="79"/>
        <v>753</v>
      </c>
      <c r="Z307" s="192">
        <f t="shared" si="79"/>
        <v>764</v>
      </c>
      <c r="AA307" s="20"/>
    </row>
    <row r="308" spans="7:27" x14ac:dyDescent="0.2">
      <c r="H308" s="20"/>
      <c r="K308" s="7" t="s">
        <v>129</v>
      </c>
      <c r="L308" s="194">
        <v>0.15</v>
      </c>
      <c r="M308" s="194">
        <v>0.15</v>
      </c>
      <c r="N308" s="194">
        <f>+M308</f>
        <v>0.15</v>
      </c>
      <c r="O308" s="194">
        <f t="shared" ref="O308:Z308" si="80">+N308</f>
        <v>0.15</v>
      </c>
      <c r="P308" s="194">
        <f t="shared" si="80"/>
        <v>0.15</v>
      </c>
      <c r="Q308" s="194">
        <f t="shared" si="80"/>
        <v>0.15</v>
      </c>
      <c r="R308" s="194">
        <f t="shared" si="80"/>
        <v>0.15</v>
      </c>
      <c r="S308" s="194">
        <f t="shared" si="80"/>
        <v>0.15</v>
      </c>
      <c r="T308" s="194">
        <f t="shared" si="80"/>
        <v>0.15</v>
      </c>
      <c r="U308" s="194">
        <f t="shared" si="80"/>
        <v>0.15</v>
      </c>
      <c r="V308" s="194">
        <f t="shared" si="80"/>
        <v>0.15</v>
      </c>
      <c r="W308" s="194">
        <f t="shared" si="80"/>
        <v>0.15</v>
      </c>
      <c r="X308" s="194">
        <f t="shared" si="80"/>
        <v>0.15</v>
      </c>
      <c r="Y308" s="194">
        <f t="shared" si="80"/>
        <v>0.15</v>
      </c>
      <c r="Z308" s="194">
        <f t="shared" si="80"/>
        <v>0.15</v>
      </c>
      <c r="AA308" s="20"/>
    </row>
    <row r="309" spans="7:27" x14ac:dyDescent="0.2">
      <c r="H309" s="20"/>
      <c r="K309" s="7" t="s">
        <v>130</v>
      </c>
      <c r="L309" s="192">
        <f>ROUND(+L308*L304,0)</f>
        <v>0</v>
      </c>
      <c r="M309" s="192">
        <f>ROUND(+M308*M304,0)</f>
        <v>0</v>
      </c>
      <c r="N309" s="192">
        <f t="shared" ref="N309:Z309" si="81">ROUND(+N308*N304,0)</f>
        <v>11666</v>
      </c>
      <c r="O309" s="192">
        <f t="shared" si="81"/>
        <v>11730</v>
      </c>
      <c r="P309" s="192">
        <f t="shared" si="81"/>
        <v>11887</v>
      </c>
      <c r="Q309" s="192">
        <f t="shared" si="81"/>
        <v>12045</v>
      </c>
      <c r="R309" s="192">
        <f t="shared" si="81"/>
        <v>12205</v>
      </c>
      <c r="S309" s="192">
        <f t="shared" si="81"/>
        <v>12368</v>
      </c>
      <c r="T309" s="192">
        <f t="shared" si="81"/>
        <v>12532</v>
      </c>
      <c r="U309" s="192">
        <f t="shared" si="81"/>
        <v>12903</v>
      </c>
      <c r="V309" s="192">
        <f t="shared" si="81"/>
        <v>13077</v>
      </c>
      <c r="W309" s="192">
        <f t="shared" si="81"/>
        <v>13254</v>
      </c>
      <c r="X309" s="192">
        <f t="shared" si="81"/>
        <v>13433</v>
      </c>
      <c r="Y309" s="192">
        <f t="shared" si="81"/>
        <v>13615</v>
      </c>
      <c r="Z309" s="192">
        <f t="shared" si="81"/>
        <v>13799</v>
      </c>
      <c r="AA309" s="20"/>
    </row>
    <row r="310" spans="7:27" x14ac:dyDescent="0.2">
      <c r="H310" s="20"/>
      <c r="K310" s="7" t="s">
        <v>131</v>
      </c>
      <c r="L310" s="192">
        <f>+L309*L305</f>
        <v>0</v>
      </c>
      <c r="M310" s="192">
        <f t="shared" ref="M310:Z310" si="82">+M309*M305</f>
        <v>0</v>
      </c>
      <c r="N310" s="192">
        <f t="shared" si="82"/>
        <v>193.65559999999999</v>
      </c>
      <c r="O310" s="192">
        <f t="shared" si="82"/>
        <v>194.71799999999999</v>
      </c>
      <c r="P310" s="192">
        <f t="shared" si="82"/>
        <v>197.32419999999999</v>
      </c>
      <c r="Q310" s="192">
        <f t="shared" si="82"/>
        <v>199.947</v>
      </c>
      <c r="R310" s="192">
        <f t="shared" si="82"/>
        <v>202.60300000000001</v>
      </c>
      <c r="S310" s="192">
        <f t="shared" si="82"/>
        <v>205.30879999999999</v>
      </c>
      <c r="T310" s="192">
        <f t="shared" si="82"/>
        <v>208.03120000000001</v>
      </c>
      <c r="U310" s="192">
        <f t="shared" si="82"/>
        <v>214.18979999999999</v>
      </c>
      <c r="V310" s="192">
        <f t="shared" si="82"/>
        <v>217.07820000000001</v>
      </c>
      <c r="W310" s="192">
        <f t="shared" si="82"/>
        <v>220.0164</v>
      </c>
      <c r="X310" s="192">
        <f t="shared" si="82"/>
        <v>222.98779999999999</v>
      </c>
      <c r="Y310" s="192">
        <f t="shared" si="82"/>
        <v>226.00900000000001</v>
      </c>
      <c r="Z310" s="192">
        <f t="shared" si="82"/>
        <v>229.0634</v>
      </c>
      <c r="AA310" s="20"/>
    </row>
    <row r="311" spans="7:27" x14ac:dyDescent="0.2">
      <c r="H311" s="20"/>
      <c r="K311" s="7" t="s">
        <v>132</v>
      </c>
      <c r="L311" s="192">
        <f>+K314</f>
        <v>70773</v>
      </c>
      <c r="M311" s="192">
        <f>+M305*L287</f>
        <v>81865.373399999997</v>
      </c>
      <c r="N311" s="192">
        <f>+N305*M287</f>
        <v>81865.373399999997</v>
      </c>
      <c r="O311" s="192">
        <f>+O305*N287</f>
        <v>82962.733000000007</v>
      </c>
      <c r="P311" s="192">
        <f>+P305*O287</f>
        <v>84066.1682</v>
      </c>
      <c r="Q311" s="192">
        <f>+Q305*P287</f>
        <v>85184.327600000004</v>
      </c>
      <c r="R311" s="192">
        <f>+R305*Q287</f>
        <v>86317.377200000003</v>
      </c>
      <c r="S311" s="192">
        <f>+S305*R287</f>
        <v>87465.483000000007</v>
      </c>
      <c r="T311" s="192">
        <f>+T305*S287</f>
        <v>88628.844200000007</v>
      </c>
      <c r="U311" s="192">
        <f>+U305*T287</f>
        <v>89807.693199999994</v>
      </c>
      <c r="V311" s="192">
        <f>+V305*U287</f>
        <v>91021.452000000005</v>
      </c>
      <c r="W311" s="192">
        <f>+W305*V287</f>
        <v>92251.611600000004</v>
      </c>
      <c r="X311" s="192">
        <f>+X305*W287</f>
        <v>93498.387799999997</v>
      </c>
      <c r="Y311" s="192">
        <f>+Y305*X287</f>
        <v>94762.029599999994</v>
      </c>
      <c r="Z311" s="192">
        <f>+Z305*Y287</f>
        <v>96042.736199999999</v>
      </c>
      <c r="AA311" s="20"/>
    </row>
    <row r="312" spans="7:27" ht="13.5" thickBot="1" x14ac:dyDescent="0.25">
      <c r="H312" s="20"/>
      <c r="I312" s="20"/>
      <c r="J312" s="20"/>
      <c r="K312" s="7" t="s">
        <v>133</v>
      </c>
      <c r="L312" s="181">
        <f>+L311+L307-L310</f>
        <v>70773</v>
      </c>
      <c r="M312" s="181">
        <f t="shared" ref="M312:Z312" si="83">+M311+M307-M310</f>
        <v>81865.373399999997</v>
      </c>
      <c r="N312" s="181">
        <f t="shared" si="83"/>
        <v>82317.717799999999</v>
      </c>
      <c r="O312" s="181">
        <f t="shared" si="83"/>
        <v>83417.015000000014</v>
      </c>
      <c r="P312" s="181">
        <f t="shared" si="83"/>
        <v>84526.843999999997</v>
      </c>
      <c r="Q312" s="181">
        <f t="shared" si="83"/>
        <v>85650.380600000004</v>
      </c>
      <c r="R312" s="181">
        <f t="shared" si="83"/>
        <v>86789.7742</v>
      </c>
      <c r="S312" s="181">
        <f t="shared" si="83"/>
        <v>87944.174200000009</v>
      </c>
      <c r="T312" s="181">
        <f t="shared" si="83"/>
        <v>89113.813000000009</v>
      </c>
      <c r="U312" s="181">
        <f t="shared" si="83"/>
        <v>90307.503400000001</v>
      </c>
      <c r="V312" s="181">
        <f t="shared" si="83"/>
        <v>91528.373800000001</v>
      </c>
      <c r="W312" s="181">
        <f t="shared" si="83"/>
        <v>92764.595200000011</v>
      </c>
      <c r="X312" s="181">
        <f t="shared" si="83"/>
        <v>94018.4</v>
      </c>
      <c r="Y312" s="181">
        <f t="shared" si="83"/>
        <v>95289.020599999989</v>
      </c>
      <c r="Z312" s="181">
        <f t="shared" si="83"/>
        <v>96577.6728</v>
      </c>
      <c r="AA312" s="20"/>
    </row>
    <row r="313" spans="7:27" ht="13.5" thickTop="1" x14ac:dyDescent="0.2">
      <c r="H313" s="20"/>
      <c r="I313" s="20"/>
      <c r="J313" s="20"/>
      <c r="K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20"/>
    </row>
    <row r="314" spans="7:27" x14ac:dyDescent="0.2">
      <c r="G314" s="195" t="s">
        <v>134</v>
      </c>
      <c r="H314" s="195">
        <v>0</v>
      </c>
      <c r="I314" s="195">
        <v>0</v>
      </c>
      <c r="J314" s="195">
        <v>0</v>
      </c>
      <c r="K314" s="195">
        <f>+K459</f>
        <v>70773</v>
      </c>
      <c r="L314" s="195">
        <f>+L312</f>
        <v>70773</v>
      </c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spans="7:27" x14ac:dyDescent="0.2">
      <c r="H315" s="20"/>
      <c r="I315" s="20"/>
      <c r="J315" s="20"/>
      <c r="K315" s="20"/>
      <c r="L315" s="7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spans="7:27" x14ac:dyDescent="0.2">
      <c r="H316" s="20"/>
      <c r="I316" s="20"/>
      <c r="J316" s="20"/>
      <c r="K316" s="20"/>
      <c r="L316" s="7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spans="7:27" x14ac:dyDescent="0.2">
      <c r="H317" s="20"/>
      <c r="I317" s="20"/>
      <c r="J317" s="20"/>
      <c r="K317" s="1" t="s">
        <v>117</v>
      </c>
      <c r="M317" s="7" t="s">
        <v>135</v>
      </c>
      <c r="N317" s="14">
        <v>1.5277653962955469E-3</v>
      </c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spans="7:27" x14ac:dyDescent="0.2">
      <c r="H318" s="20"/>
      <c r="I318" s="20"/>
      <c r="J318" s="20"/>
      <c r="K318" s="1" t="s">
        <v>136</v>
      </c>
      <c r="M318" s="7" t="s">
        <v>137</v>
      </c>
      <c r="N318" s="14">
        <v>5.6525344234822491E-3</v>
      </c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spans="7:27" x14ac:dyDescent="0.2">
      <c r="H319" s="20"/>
      <c r="I319" s="20"/>
      <c r="J319" s="20"/>
      <c r="K319" s="20"/>
      <c r="L319" s="7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spans="7:27" x14ac:dyDescent="0.2">
      <c r="H320" s="20"/>
      <c r="I320" s="20"/>
      <c r="J320" s="20"/>
      <c r="K320" s="20"/>
      <c r="L320" s="7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spans="7:27" x14ac:dyDescent="0.2">
      <c r="H321" s="20"/>
      <c r="I321" s="20"/>
      <c r="J321" s="20"/>
      <c r="K321" s="20"/>
      <c r="L321" s="7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spans="7:27" x14ac:dyDescent="0.2">
      <c r="H322" s="20"/>
      <c r="I322" s="20"/>
      <c r="J322" s="20"/>
      <c r="K322" s="20"/>
      <c r="L322" s="196"/>
      <c r="M322" s="196"/>
      <c r="N322" s="197"/>
      <c r="O322" s="197"/>
      <c r="P322" s="197"/>
      <c r="Q322" s="197"/>
      <c r="R322" s="197"/>
      <c r="S322" s="197"/>
      <c r="T322" s="197"/>
      <c r="U322" s="20"/>
      <c r="V322" s="20"/>
      <c r="W322" s="20"/>
      <c r="X322" s="20"/>
      <c r="Y322" s="20"/>
      <c r="Z322" s="20"/>
      <c r="AA322" s="20"/>
    </row>
    <row r="323" spans="7:27" x14ac:dyDescent="0.2">
      <c r="H323" s="20"/>
      <c r="I323" s="20"/>
      <c r="J323" s="20"/>
      <c r="K323" s="18" t="s">
        <v>138</v>
      </c>
      <c r="L323" s="39">
        <v>0</v>
      </c>
      <c r="M323" s="1">
        <f>+L323</f>
        <v>0</v>
      </c>
      <c r="N323" s="192">
        <f>+M312*0.95</f>
        <v>77772.104729999992</v>
      </c>
      <c r="O323" s="192">
        <f>+N312*0.95</f>
        <v>78201.831909999994</v>
      </c>
      <c r="P323" s="192">
        <f>+O312*0.95</f>
        <v>79246.164250000016</v>
      </c>
      <c r="Q323" s="192">
        <f>+P312*0.95</f>
        <v>80300.501799999998</v>
      </c>
      <c r="R323" s="192">
        <f t="shared" ref="R323:T323" si="84">+Q312*0.95</f>
        <v>81367.861569999994</v>
      </c>
      <c r="S323" s="192">
        <f t="shared" si="84"/>
        <v>82450.285489999995</v>
      </c>
      <c r="T323" s="192">
        <f t="shared" si="84"/>
        <v>83546.965490000002</v>
      </c>
      <c r="U323" s="20"/>
      <c r="V323" s="20"/>
      <c r="W323" s="20"/>
      <c r="X323" s="20"/>
      <c r="Y323" s="20"/>
      <c r="Z323" s="20"/>
      <c r="AA323" s="20"/>
    </row>
    <row r="324" spans="7:27" x14ac:dyDescent="0.2">
      <c r="H324" s="20"/>
      <c r="I324" s="20"/>
      <c r="J324" s="20"/>
      <c r="K324" s="20"/>
      <c r="L324" s="7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spans="7:27" x14ac:dyDescent="0.2">
      <c r="H325" s="20"/>
      <c r="I325" s="20"/>
      <c r="J325" s="20"/>
      <c r="K325" s="20"/>
      <c r="L325" s="39" t="s">
        <v>139</v>
      </c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spans="7:27" x14ac:dyDescent="0.2">
      <c r="H326" s="20"/>
      <c r="I326" s="20"/>
      <c r="J326" s="20"/>
      <c r="K326" s="20"/>
      <c r="L326" s="1" t="s">
        <v>140</v>
      </c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spans="7:27" x14ac:dyDescent="0.2">
      <c r="H327" s="20"/>
      <c r="I327" s="20"/>
      <c r="J327" s="20"/>
      <c r="K327" s="20"/>
      <c r="L327" s="7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spans="7:27" x14ac:dyDescent="0.2">
      <c r="H328" s="20"/>
      <c r="I328" s="20"/>
      <c r="J328" s="20"/>
      <c r="K328" s="20"/>
      <c r="L328" s="7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spans="7:27" ht="13.5" thickBot="1" x14ac:dyDescent="0.25">
      <c r="H329" s="20"/>
      <c r="I329" s="20"/>
      <c r="J329" s="20"/>
      <c r="K329" s="20"/>
      <c r="L329" s="178">
        <f>+L285</f>
        <v>2017</v>
      </c>
      <c r="M329" s="178">
        <f>+M285</f>
        <v>2018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spans="7:27" ht="13.5" thickBot="1" x14ac:dyDescent="0.25">
      <c r="H330" s="20"/>
      <c r="I330" s="20"/>
      <c r="J330" s="20"/>
      <c r="K330" s="20"/>
      <c r="L330" s="7"/>
      <c r="M330" s="198">
        <f>4750*M334</f>
        <v>33250</v>
      </c>
      <c r="N330" s="198">
        <f t="shared" ref="N330:Q330" si="85">4750*N334</f>
        <v>33250</v>
      </c>
      <c r="O330" s="198">
        <f t="shared" si="85"/>
        <v>33250</v>
      </c>
      <c r="P330" s="198">
        <f t="shared" si="85"/>
        <v>33250</v>
      </c>
      <c r="Q330" s="198">
        <f t="shared" si="85"/>
        <v>33250</v>
      </c>
      <c r="R330" s="199">
        <f>4750*R334</f>
        <v>33250</v>
      </c>
      <c r="S330" s="199">
        <f t="shared" ref="S330:Z330" si="86">4750*S334</f>
        <v>33250</v>
      </c>
      <c r="T330" s="199">
        <f t="shared" si="86"/>
        <v>38000</v>
      </c>
      <c r="U330" s="199">
        <f t="shared" si="86"/>
        <v>38000</v>
      </c>
      <c r="V330" s="199">
        <f t="shared" si="86"/>
        <v>38000</v>
      </c>
      <c r="W330" s="199">
        <f t="shared" si="86"/>
        <v>38000</v>
      </c>
      <c r="X330" s="199">
        <f t="shared" si="86"/>
        <v>38000</v>
      </c>
      <c r="Y330" s="199">
        <f t="shared" si="86"/>
        <v>38000</v>
      </c>
      <c r="Z330" s="199">
        <f t="shared" si="86"/>
        <v>38000</v>
      </c>
      <c r="AA330" s="20"/>
    </row>
    <row r="331" spans="7:27" x14ac:dyDescent="0.2"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spans="7:27" x14ac:dyDescent="0.2">
      <c r="G332" s="37" t="s">
        <v>141</v>
      </c>
      <c r="H332" s="38">
        <f>+H21</f>
        <v>0</v>
      </c>
      <c r="I332" s="38">
        <f>+I21</f>
        <v>0</v>
      </c>
      <c r="J332" s="38">
        <f>+J21</f>
        <v>0</v>
      </c>
      <c r="K332" s="38">
        <f>+K21</f>
        <v>1115704</v>
      </c>
      <c r="L332" s="38">
        <f>+L21</f>
        <v>1157542.9000000001</v>
      </c>
      <c r="M332" s="38">
        <f>+M21</f>
        <v>1283059.5999999999</v>
      </c>
      <c r="N332" s="38">
        <f>ROUND(+N335*N337,0)</f>
        <v>672290</v>
      </c>
      <c r="O332" s="38">
        <f>ROUND(+O335*O337,0)</f>
        <v>675510</v>
      </c>
      <c r="P332" s="38">
        <f>ROUND(+P335*P337,0)</f>
        <v>678730</v>
      </c>
      <c r="Q332" s="39">
        <f>ROUND(+Q335*Q337,0)</f>
        <v>681950</v>
      </c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spans="7:27" ht="13.5" thickBot="1" x14ac:dyDescent="0.25">
      <c r="G333" s="1" t="s">
        <v>142</v>
      </c>
      <c r="H333" s="1">
        <v>0</v>
      </c>
      <c r="I333" s="1">
        <v>0</v>
      </c>
      <c r="J333" s="1">
        <v>0</v>
      </c>
      <c r="K333" s="1">
        <f>+L333</f>
        <v>1451</v>
      </c>
      <c r="L333" s="1">
        <f>1451</f>
        <v>1451</v>
      </c>
      <c r="M333" s="1">
        <f t="shared" ref="M333:Z333" si="87">+L333+M334</f>
        <v>1458</v>
      </c>
      <c r="N333" s="1">
        <f t="shared" si="87"/>
        <v>1465</v>
      </c>
      <c r="O333" s="1">
        <f t="shared" si="87"/>
        <v>1472</v>
      </c>
      <c r="P333" s="1">
        <f t="shared" si="87"/>
        <v>1479</v>
      </c>
      <c r="Q333" s="1">
        <f t="shared" si="87"/>
        <v>1486</v>
      </c>
      <c r="R333" s="1">
        <f t="shared" si="87"/>
        <v>1493</v>
      </c>
      <c r="S333" s="1">
        <f t="shared" si="87"/>
        <v>1500</v>
      </c>
      <c r="T333" s="1">
        <f t="shared" si="87"/>
        <v>1508</v>
      </c>
      <c r="U333" s="1">
        <f t="shared" si="87"/>
        <v>1516</v>
      </c>
      <c r="V333" s="1">
        <f t="shared" si="87"/>
        <v>1524</v>
      </c>
      <c r="W333" s="1">
        <f t="shared" si="87"/>
        <v>1532</v>
      </c>
      <c r="X333" s="1">
        <f t="shared" si="87"/>
        <v>1540</v>
      </c>
      <c r="Y333" s="1">
        <f t="shared" si="87"/>
        <v>1548</v>
      </c>
      <c r="Z333" s="1">
        <f t="shared" si="87"/>
        <v>1556</v>
      </c>
      <c r="AA333" s="20"/>
    </row>
    <row r="334" spans="7:27" ht="13.5" thickBot="1" x14ac:dyDescent="0.25">
      <c r="L334" s="200">
        <v>0</v>
      </c>
      <c r="M334" s="201">
        <f>ROUND(0.005*L333,0)</f>
        <v>7</v>
      </c>
      <c r="N334" s="201">
        <f t="shared" ref="N334:Q334" si="88">ROUND(0.005*M333,0)</f>
        <v>7</v>
      </c>
      <c r="O334" s="201">
        <f t="shared" si="88"/>
        <v>7</v>
      </c>
      <c r="P334" s="201">
        <f t="shared" si="88"/>
        <v>7</v>
      </c>
      <c r="Q334" s="201">
        <f t="shared" si="88"/>
        <v>7</v>
      </c>
      <c r="R334" s="7">
        <f>ROUND(+Q333*(R344),0)</f>
        <v>7</v>
      </c>
      <c r="S334" s="7">
        <f t="shared" ref="S334:Z334" si="89">ROUND(+R333*(S344),0)</f>
        <v>7</v>
      </c>
      <c r="T334" s="7">
        <f t="shared" si="89"/>
        <v>8</v>
      </c>
      <c r="U334" s="7">
        <f t="shared" si="89"/>
        <v>8</v>
      </c>
      <c r="V334" s="7">
        <f t="shared" si="89"/>
        <v>8</v>
      </c>
      <c r="W334" s="7">
        <f t="shared" si="89"/>
        <v>8</v>
      </c>
      <c r="X334" s="7">
        <f t="shared" si="89"/>
        <v>8</v>
      </c>
      <c r="Y334" s="7">
        <f t="shared" si="89"/>
        <v>8</v>
      </c>
      <c r="Z334" s="7">
        <f t="shared" si="89"/>
        <v>8</v>
      </c>
      <c r="AA334" s="20"/>
    </row>
    <row r="335" spans="7:27" x14ac:dyDescent="0.2">
      <c r="I335" s="1">
        <f t="shared" ref="I335:Q335" si="90">AVERAGE(H333:I333)</f>
        <v>0</v>
      </c>
      <c r="J335" s="1">
        <f t="shared" si="90"/>
        <v>0</v>
      </c>
      <c r="K335" s="1">
        <f t="shared" si="90"/>
        <v>725.5</v>
      </c>
      <c r="L335" s="1">
        <f t="shared" si="90"/>
        <v>1451</v>
      </c>
      <c r="M335" s="1">
        <f t="shared" si="90"/>
        <v>1454.5</v>
      </c>
      <c r="N335" s="1">
        <f t="shared" si="90"/>
        <v>1461.5</v>
      </c>
      <c r="O335" s="1">
        <f t="shared" si="90"/>
        <v>1468.5</v>
      </c>
      <c r="P335" s="1">
        <f t="shared" si="90"/>
        <v>1475.5</v>
      </c>
      <c r="Q335" s="1">
        <f t="shared" si="90"/>
        <v>1482.5</v>
      </c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spans="7:27" x14ac:dyDescent="0.2">
      <c r="H336" s="1" t="e">
        <f>+H332/H333</f>
        <v>#DIV/0!</v>
      </c>
      <c r="I336" s="1" t="e">
        <f>+I332/I333</f>
        <v>#DIV/0!</v>
      </c>
      <c r="J336" s="1" t="e">
        <f>+J332/J333</f>
        <v>#DIV/0!</v>
      </c>
      <c r="K336" s="1">
        <f>+K332/K333</f>
        <v>768.92074431426602</v>
      </c>
      <c r="L336" s="1">
        <f>+L332/L333</f>
        <v>797.75527222605115</v>
      </c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spans="8:29" x14ac:dyDescent="0.2">
      <c r="M337" s="202">
        <v>460</v>
      </c>
      <c r="N337" s="202">
        <v>460</v>
      </c>
      <c r="O337" s="202">
        <v>460</v>
      </c>
      <c r="P337" s="202">
        <v>460</v>
      </c>
      <c r="Q337" s="202">
        <v>460</v>
      </c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spans="8:29" x14ac:dyDescent="0.2">
      <c r="I338" s="1" t="e">
        <f t="shared" ref="I338:M338" si="91">+I332/I335</f>
        <v>#DIV/0!</v>
      </c>
      <c r="J338" s="1" t="e">
        <f t="shared" si="91"/>
        <v>#DIV/0!</v>
      </c>
      <c r="K338" s="1">
        <f t="shared" si="91"/>
        <v>1537.841488628532</v>
      </c>
      <c r="L338" s="1">
        <f t="shared" si="91"/>
        <v>797.75527222605115</v>
      </c>
      <c r="M338" s="1">
        <f t="shared" si="91"/>
        <v>882.13104159504974</v>
      </c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spans="8:29" x14ac:dyDescent="0.2">
      <c r="H339" s="20"/>
      <c r="I339" s="20"/>
      <c r="J339" s="20"/>
      <c r="K339" s="20"/>
      <c r="L339" s="7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spans="8:29" x14ac:dyDescent="0.2">
      <c r="H340" s="20"/>
      <c r="I340" s="20"/>
      <c r="J340" s="20"/>
      <c r="K340" s="20"/>
      <c r="L340" s="14" t="s">
        <v>143</v>
      </c>
      <c r="M340" s="203">
        <v>1451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spans="8:29" x14ac:dyDescent="0.2">
      <c r="H341" s="20"/>
      <c r="I341" s="20"/>
      <c r="J341" s="20"/>
      <c r="K341" s="20"/>
      <c r="L341" s="14" t="s">
        <v>144</v>
      </c>
      <c r="M341" s="203">
        <v>1451</v>
      </c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spans="8:29" x14ac:dyDescent="0.2">
      <c r="H342" s="20"/>
      <c r="I342" s="20"/>
      <c r="J342" s="20"/>
      <c r="K342" s="20"/>
      <c r="L342" s="20"/>
      <c r="M342" s="204">
        <f>+M340/M341</f>
        <v>1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spans="8:29" ht="13.5" thickBot="1" x14ac:dyDescent="0.25">
      <c r="H343" s="20"/>
      <c r="I343" s="20"/>
      <c r="J343" s="20"/>
      <c r="K343" s="14">
        <f>1.742*1000000</f>
        <v>1742000</v>
      </c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182"/>
      <c r="AA343" s="20"/>
    </row>
    <row r="344" spans="8:29" ht="13.5" thickBot="1" x14ac:dyDescent="0.25">
      <c r="H344" s="20"/>
      <c r="I344" s="14" t="s">
        <v>145</v>
      </c>
      <c r="J344" s="20"/>
      <c r="L344" s="7"/>
      <c r="M344" s="205">
        <f t="shared" ref="M344:Q344" si="92">+M334</f>
        <v>7</v>
      </c>
      <c r="N344" s="205">
        <f t="shared" si="92"/>
        <v>7</v>
      </c>
      <c r="O344" s="205">
        <f t="shared" si="92"/>
        <v>7</v>
      </c>
      <c r="P344" s="205">
        <f t="shared" si="92"/>
        <v>7</v>
      </c>
      <c r="Q344" s="205">
        <f t="shared" si="92"/>
        <v>7</v>
      </c>
      <c r="R344" s="188">
        <v>5.0000000000000001E-3</v>
      </c>
      <c r="S344" s="188">
        <f t="shared" ref="S344:Z344" si="93">+R344</f>
        <v>5.0000000000000001E-3</v>
      </c>
      <c r="T344" s="188">
        <f t="shared" si="93"/>
        <v>5.0000000000000001E-3</v>
      </c>
      <c r="U344" s="188">
        <f t="shared" si="93"/>
        <v>5.0000000000000001E-3</v>
      </c>
      <c r="V344" s="188">
        <f t="shared" si="93"/>
        <v>5.0000000000000001E-3</v>
      </c>
      <c r="W344" s="188">
        <f t="shared" si="93"/>
        <v>5.0000000000000001E-3</v>
      </c>
      <c r="X344" s="188">
        <f t="shared" si="93"/>
        <v>5.0000000000000001E-3</v>
      </c>
      <c r="Y344" s="188">
        <f t="shared" si="93"/>
        <v>5.0000000000000001E-3</v>
      </c>
      <c r="Z344" s="188">
        <f t="shared" si="93"/>
        <v>5.0000000000000001E-3</v>
      </c>
      <c r="AA344" s="20"/>
    </row>
    <row r="345" spans="8:29" ht="13.5" thickBot="1" x14ac:dyDescent="0.25">
      <c r="H345" s="20"/>
      <c r="I345" s="7" t="s">
        <v>146</v>
      </c>
      <c r="J345" s="206">
        <v>0</v>
      </c>
      <c r="K345" s="207">
        <f>(100000*2343)/K346</f>
        <v>161474.84493452791</v>
      </c>
      <c r="L345" s="208">
        <f>+L346*K350</f>
        <v>161474.84493452791</v>
      </c>
      <c r="M345" s="208">
        <f>+M346*L350</f>
        <v>162253.84142973239</v>
      </c>
      <c r="N345" s="208">
        <f t="shared" ref="N345:Z345" si="94">+N346*M350</f>
        <v>163032.83792493687</v>
      </c>
      <c r="O345" s="208">
        <f t="shared" si="94"/>
        <v>163811.83442014136</v>
      </c>
      <c r="P345" s="208">
        <f t="shared" si="94"/>
        <v>164590.83091534584</v>
      </c>
      <c r="Q345" s="208">
        <f t="shared" si="94"/>
        <v>165369.82741055032</v>
      </c>
      <c r="R345" s="208">
        <f t="shared" si="94"/>
        <v>166196.67654760307</v>
      </c>
      <c r="S345" s="208">
        <f t="shared" si="94"/>
        <v>167027.65993034106</v>
      </c>
      <c r="T345" s="208">
        <f t="shared" si="94"/>
        <v>167862.79822999274</v>
      </c>
      <c r="U345" s="208">
        <f t="shared" si="94"/>
        <v>168702.11222114271</v>
      </c>
      <c r="V345" s="208">
        <f t="shared" si="94"/>
        <v>169545.62278224839</v>
      </c>
      <c r="W345" s="208">
        <f t="shared" si="94"/>
        <v>170393.35089615959</v>
      </c>
      <c r="X345" s="208">
        <f t="shared" si="94"/>
        <v>171245.31765064038</v>
      </c>
      <c r="Y345" s="208">
        <f t="shared" si="94"/>
        <v>172101.54423889355</v>
      </c>
      <c r="Z345" s="208">
        <f t="shared" si="94"/>
        <v>172962.05196008799</v>
      </c>
      <c r="AA345" s="20"/>
    </row>
    <row r="346" spans="8:29" ht="13.5" thickBot="1" x14ac:dyDescent="0.25">
      <c r="H346" s="20"/>
      <c r="I346" s="14" t="s">
        <v>147</v>
      </c>
      <c r="J346" s="208">
        <v>1451</v>
      </c>
      <c r="K346" s="208">
        <v>1451</v>
      </c>
      <c r="L346" s="208">
        <v>1451</v>
      </c>
      <c r="M346" s="209">
        <f>+L346+($M342*M344)</f>
        <v>1458</v>
      </c>
      <c r="N346" s="209">
        <f t="shared" ref="N346:P346" si="95">+M346+($M342*N344)</f>
        <v>1465</v>
      </c>
      <c r="O346" s="209">
        <f t="shared" si="95"/>
        <v>1472</v>
      </c>
      <c r="P346" s="209">
        <f t="shared" si="95"/>
        <v>1479</v>
      </c>
      <c r="Q346" s="209">
        <f>+P346+($M342*Q344)</f>
        <v>1486</v>
      </c>
      <c r="R346" s="208">
        <f t="shared" ref="R346:Z346" si="96">+Q346*(1+R344)</f>
        <v>1493.4299999999998</v>
      </c>
      <c r="S346" s="208">
        <f t="shared" si="96"/>
        <v>1500.8971499999998</v>
      </c>
      <c r="T346" s="208">
        <f t="shared" si="96"/>
        <v>1508.4016357499995</v>
      </c>
      <c r="U346" s="208">
        <f t="shared" si="96"/>
        <v>1515.9436439287495</v>
      </c>
      <c r="V346" s="208">
        <f t="shared" si="96"/>
        <v>1523.5233621483931</v>
      </c>
      <c r="W346" s="208">
        <f t="shared" si="96"/>
        <v>1531.1409789591348</v>
      </c>
      <c r="X346" s="208">
        <f t="shared" si="96"/>
        <v>1538.7966838539303</v>
      </c>
      <c r="Y346" s="208">
        <f t="shared" si="96"/>
        <v>1546.4906672731997</v>
      </c>
      <c r="Z346" s="208">
        <f t="shared" si="96"/>
        <v>1554.2231206095655</v>
      </c>
      <c r="AA346" s="20"/>
    </row>
    <row r="347" spans="8:29" x14ac:dyDescent="0.2">
      <c r="H347" s="20"/>
      <c r="I347" s="153" t="s">
        <v>148</v>
      </c>
      <c r="J347" s="38">
        <f>+J24-0</f>
        <v>0</v>
      </c>
      <c r="K347" s="38">
        <f>+K24-0</f>
        <v>1151216</v>
      </c>
      <c r="L347" s="38">
        <f>+L24-0</f>
        <v>1193054.9000000001</v>
      </c>
      <c r="M347" s="38">
        <f>+M24-0</f>
        <v>1318571.5999999999</v>
      </c>
      <c r="N347" s="38">
        <f>+N24-0</f>
        <v>1357249</v>
      </c>
      <c r="O347" s="38">
        <f>+O24-0</f>
        <v>1396004</v>
      </c>
      <c r="P347" s="38">
        <f>+P24-0</f>
        <v>1632141</v>
      </c>
      <c r="Q347" s="38">
        <f>+Q24-0</f>
        <v>1639715</v>
      </c>
      <c r="R347" s="38">
        <f>+R24-0</f>
        <v>1647523</v>
      </c>
      <c r="S347" s="38">
        <f>+S24-0</f>
        <v>1717146</v>
      </c>
      <c r="T347" s="38">
        <f>+T24-0</f>
        <v>1725554</v>
      </c>
      <c r="U347" s="38">
        <f>+U24-0</f>
        <v>1734004</v>
      </c>
      <c r="V347" s="38">
        <f>+V24-0</f>
        <v>1810775</v>
      </c>
      <c r="W347" s="38">
        <f>+W24-0</f>
        <v>1819652</v>
      </c>
      <c r="X347" s="38">
        <f>+X24-0</f>
        <v>1828573</v>
      </c>
      <c r="Y347" s="38">
        <f>+Y24-0</f>
        <v>1907817</v>
      </c>
      <c r="Z347" s="38">
        <f>+Z24-0</f>
        <v>1917179</v>
      </c>
      <c r="AA347" s="20"/>
    </row>
    <row r="348" spans="8:29" x14ac:dyDescent="0.2">
      <c r="H348" s="20"/>
      <c r="I348" s="20"/>
      <c r="J348" s="20"/>
      <c r="K348" s="14"/>
      <c r="L348" s="7"/>
      <c r="M348" s="20"/>
      <c r="N348" s="20"/>
      <c r="O348" s="20"/>
      <c r="P348" s="20"/>
      <c r="Q348" s="210">
        <f>+Q349/P349</f>
        <v>0.99990803803985129</v>
      </c>
      <c r="R348" s="20"/>
      <c r="S348" s="20"/>
      <c r="T348" s="210">
        <f>+T349/S349</f>
        <v>0.99989701180264001</v>
      </c>
      <c r="U348" s="20"/>
      <c r="V348" s="20"/>
      <c r="W348" s="20"/>
      <c r="X348" s="20"/>
      <c r="Y348" s="20"/>
      <c r="Z348" s="20"/>
      <c r="AA348" s="20"/>
    </row>
    <row r="349" spans="8:29" x14ac:dyDescent="0.2">
      <c r="H349" s="20"/>
      <c r="I349" s="14" t="s">
        <v>149</v>
      </c>
      <c r="J349" s="207">
        <f>+J347/J346</f>
        <v>0</v>
      </c>
      <c r="K349" s="207">
        <f>+K347/K346</f>
        <v>793.39490006891799</v>
      </c>
      <c r="L349" s="207">
        <f>+L347/L346</f>
        <v>822.22942798070301</v>
      </c>
      <c r="M349" s="207">
        <f>+M347/M346</f>
        <v>904.3700960219478</v>
      </c>
      <c r="N349" s="207">
        <f t="shared" ref="N349:Z349" si="97">+N347/N346</f>
        <v>926.44982935153587</v>
      </c>
      <c r="O349" s="207">
        <f t="shared" si="97"/>
        <v>948.37228260869563</v>
      </c>
      <c r="P349" s="207">
        <f t="shared" si="97"/>
        <v>1103.5436105476674</v>
      </c>
      <c r="Q349" s="207">
        <f t="shared" si="97"/>
        <v>1103.4421265141318</v>
      </c>
      <c r="R349" s="207">
        <f t="shared" si="97"/>
        <v>1103.1805976845251</v>
      </c>
      <c r="S349" s="207">
        <f t="shared" si="97"/>
        <v>1144.0797259159299</v>
      </c>
      <c r="T349" s="207">
        <f t="shared" si="97"/>
        <v>1143.9618992073217</v>
      </c>
      <c r="U349" s="207">
        <f t="shared" si="97"/>
        <v>1143.8446323150386</v>
      </c>
      <c r="V349" s="207">
        <f t="shared" si="97"/>
        <v>1188.5442947501242</v>
      </c>
      <c r="W349" s="207">
        <f t="shared" si="97"/>
        <v>1188.4287763214293</v>
      </c>
      <c r="X349" s="207">
        <f t="shared" si="97"/>
        <v>1188.3135824157889</v>
      </c>
      <c r="Y349" s="207">
        <f t="shared" si="97"/>
        <v>1233.6427502429726</v>
      </c>
      <c r="Z349" s="207">
        <f t="shared" si="97"/>
        <v>1233.5288122905311</v>
      </c>
      <c r="AA349" s="20"/>
    </row>
    <row r="350" spans="8:29" x14ac:dyDescent="0.2">
      <c r="H350" s="20"/>
      <c r="I350" s="14" t="s">
        <v>150</v>
      </c>
      <c r="J350" s="206">
        <f>+J345/J346</f>
        <v>0</v>
      </c>
      <c r="K350" s="206">
        <f>+K345/K346</f>
        <v>111.28521360063949</v>
      </c>
      <c r="L350" s="206">
        <f>+L345/L346</f>
        <v>111.28521360063949</v>
      </c>
      <c r="M350" s="206">
        <f>+M345/M346</f>
        <v>111.28521360063949</v>
      </c>
      <c r="N350" s="206">
        <f t="shared" ref="N350:Z350" si="98">+N345/N346</f>
        <v>111.28521360063951</v>
      </c>
      <c r="O350" s="206">
        <f t="shared" si="98"/>
        <v>111.28521360063951</v>
      </c>
      <c r="P350" s="206">
        <f t="shared" si="98"/>
        <v>111.28521360063951</v>
      </c>
      <c r="Q350" s="206">
        <f t="shared" si="98"/>
        <v>111.28521360063952</v>
      </c>
      <c r="R350" s="206">
        <f t="shared" si="98"/>
        <v>111.28521360063952</v>
      </c>
      <c r="S350" s="206">
        <f t="shared" si="98"/>
        <v>111.28521360063951</v>
      </c>
      <c r="T350" s="206">
        <f t="shared" si="98"/>
        <v>111.28521360063952</v>
      </c>
      <c r="U350" s="206">
        <f t="shared" si="98"/>
        <v>111.28521360063952</v>
      </c>
      <c r="V350" s="206">
        <f t="shared" si="98"/>
        <v>111.28521360063951</v>
      </c>
      <c r="W350" s="206">
        <f t="shared" si="98"/>
        <v>111.28521360063951</v>
      </c>
      <c r="X350" s="206">
        <f t="shared" si="98"/>
        <v>111.28521360063951</v>
      </c>
      <c r="Y350" s="206">
        <f t="shared" si="98"/>
        <v>111.28521360063951</v>
      </c>
      <c r="Z350" s="206">
        <f t="shared" si="98"/>
        <v>111.28521360063951</v>
      </c>
      <c r="AA350" s="20"/>
      <c r="AC350" s="211"/>
    </row>
    <row r="351" spans="8:29" x14ac:dyDescent="0.2">
      <c r="H351" s="20"/>
      <c r="I351" s="14"/>
      <c r="J351" s="20"/>
      <c r="L351" s="7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spans="8:29" x14ac:dyDescent="0.2">
      <c r="H352" s="20"/>
      <c r="I352" s="14" t="s">
        <v>151</v>
      </c>
      <c r="J352" s="207" t="e">
        <f>+J347/J333</f>
        <v>#DIV/0!</v>
      </c>
      <c r="K352" s="207">
        <f t="shared" ref="K352:Z352" si="99">+K347/K333</f>
        <v>793.39490006891799</v>
      </c>
      <c r="L352" s="207">
        <f t="shared" si="99"/>
        <v>822.22942798070301</v>
      </c>
      <c r="M352" s="207">
        <f t="shared" si="99"/>
        <v>904.3700960219478</v>
      </c>
      <c r="N352" s="207">
        <f t="shared" si="99"/>
        <v>926.44982935153587</v>
      </c>
      <c r="O352" s="207">
        <f t="shared" si="99"/>
        <v>948.37228260869563</v>
      </c>
      <c r="P352" s="207">
        <f t="shared" si="99"/>
        <v>1103.5436105476674</v>
      </c>
      <c r="Q352" s="207">
        <f t="shared" si="99"/>
        <v>1103.4421265141318</v>
      </c>
      <c r="R352" s="207">
        <f t="shared" si="99"/>
        <v>1103.4983255190891</v>
      </c>
      <c r="S352" s="207">
        <f t="shared" si="99"/>
        <v>1144.7639999999999</v>
      </c>
      <c r="T352" s="207">
        <f t="shared" si="99"/>
        <v>1144.2665782493368</v>
      </c>
      <c r="U352" s="207">
        <f t="shared" si="99"/>
        <v>1143.8021108179419</v>
      </c>
      <c r="V352" s="207">
        <f t="shared" si="99"/>
        <v>1188.1725721784776</v>
      </c>
      <c r="W352" s="207">
        <f t="shared" si="99"/>
        <v>1187.7624020887729</v>
      </c>
      <c r="X352" s="207">
        <f t="shared" si="99"/>
        <v>1187.385064935065</v>
      </c>
      <c r="Y352" s="207">
        <f t="shared" si="99"/>
        <v>1232.4399224806202</v>
      </c>
      <c r="Z352" s="207">
        <f t="shared" si="99"/>
        <v>1232.1201799485862</v>
      </c>
      <c r="AA352" s="20"/>
    </row>
    <row r="353" spans="7:29" x14ac:dyDescent="0.2">
      <c r="H353" s="20"/>
      <c r="I353" s="14" t="s">
        <v>152</v>
      </c>
      <c r="J353" s="206" t="e">
        <f>+J345/J333</f>
        <v>#DIV/0!</v>
      </c>
      <c r="K353" s="206">
        <f t="shared" ref="K353:Z353" si="100">+K345/K333</f>
        <v>111.28521360063949</v>
      </c>
      <c r="L353" s="206">
        <f t="shared" si="100"/>
        <v>111.28521360063949</v>
      </c>
      <c r="M353" s="206">
        <f t="shared" si="100"/>
        <v>111.28521360063949</v>
      </c>
      <c r="N353" s="206">
        <f t="shared" si="100"/>
        <v>111.28521360063951</v>
      </c>
      <c r="O353" s="206">
        <f t="shared" si="100"/>
        <v>111.28521360063951</v>
      </c>
      <c r="P353" s="206">
        <f t="shared" si="100"/>
        <v>111.28521360063951</v>
      </c>
      <c r="Q353" s="206">
        <f t="shared" si="100"/>
        <v>111.28521360063952</v>
      </c>
      <c r="R353" s="206">
        <f t="shared" si="100"/>
        <v>111.31726493476428</v>
      </c>
      <c r="S353" s="206">
        <f t="shared" si="100"/>
        <v>111.35177328689404</v>
      </c>
      <c r="T353" s="206">
        <f t="shared" si="100"/>
        <v>111.31485293766097</v>
      </c>
      <c r="U353" s="206">
        <f t="shared" si="100"/>
        <v>111.2810766630229</v>
      </c>
      <c r="V353" s="206">
        <f t="shared" si="100"/>
        <v>111.25040864976928</v>
      </c>
      <c r="W353" s="206">
        <f t="shared" si="100"/>
        <v>111.22281390088746</v>
      </c>
      <c r="X353" s="206">
        <f t="shared" si="100"/>
        <v>111.19825821470155</v>
      </c>
      <c r="Y353" s="206">
        <f t="shared" si="100"/>
        <v>111.17670816465991</v>
      </c>
      <c r="Z353" s="206">
        <f t="shared" si="100"/>
        <v>111.15813107974807</v>
      </c>
      <c r="AA353" s="20"/>
    </row>
    <row r="354" spans="7:29" x14ac:dyDescent="0.2">
      <c r="H354" s="20"/>
      <c r="I354" s="14"/>
      <c r="J354" s="20"/>
      <c r="L354" s="7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spans="7:29" x14ac:dyDescent="0.2">
      <c r="H355" s="20"/>
      <c r="I355" s="14" t="s">
        <v>153</v>
      </c>
      <c r="J355" s="20"/>
      <c r="L355" s="7"/>
      <c r="M355" s="192">
        <f>+M346*L349</f>
        <v>1198810.505995865</v>
      </c>
      <c r="N355" s="192">
        <f>AVERAGE(M346:N346)*M349</f>
        <v>1321736.8953360766</v>
      </c>
      <c r="O355" s="192">
        <f t="shared" ref="O355:Z355" si="101">AVERAGE(N346:O346)*N349</f>
        <v>1360491.5744027304</v>
      </c>
      <c r="P355" s="192">
        <f t="shared" si="101"/>
        <v>1399323.3029891304</v>
      </c>
      <c r="Q355" s="192">
        <f t="shared" si="101"/>
        <v>1636003.4026369168</v>
      </c>
      <c r="R355" s="192">
        <f t="shared" si="101"/>
        <v>1643814.2874999999</v>
      </c>
      <c r="S355" s="192">
        <f t="shared" si="101"/>
        <v>1651641.8075000001</v>
      </c>
      <c r="T355" s="192">
        <f t="shared" si="101"/>
        <v>1721438.865</v>
      </c>
      <c r="U355" s="192">
        <f t="shared" si="101"/>
        <v>1729867.885</v>
      </c>
      <c r="V355" s="192">
        <f t="shared" si="101"/>
        <v>1738339.01</v>
      </c>
      <c r="W355" s="192">
        <f t="shared" si="101"/>
        <v>1815301.9374999998</v>
      </c>
      <c r="X355" s="192">
        <f t="shared" si="101"/>
        <v>1824201.1299999997</v>
      </c>
      <c r="Y355" s="192">
        <f t="shared" si="101"/>
        <v>1833144.4324999999</v>
      </c>
      <c r="Z355" s="192">
        <f t="shared" si="101"/>
        <v>1912586.5425</v>
      </c>
      <c r="AA355" s="20"/>
    </row>
    <row r="356" spans="7:29" x14ac:dyDescent="0.2">
      <c r="H356" s="20"/>
      <c r="I356" s="14"/>
      <c r="J356" s="20"/>
      <c r="L356" s="212"/>
      <c r="M356" s="192"/>
      <c r="N356" s="192"/>
      <c r="O356" s="192"/>
      <c r="P356" s="192"/>
      <c r="Q356" s="192"/>
      <c r="R356" s="192"/>
      <c r="S356" s="192"/>
      <c r="T356" s="192"/>
      <c r="U356" s="192"/>
      <c r="V356" s="192"/>
      <c r="W356" s="192"/>
      <c r="X356" s="192"/>
      <c r="Y356" s="192"/>
      <c r="Z356" s="192"/>
      <c r="AA356" s="20"/>
    </row>
    <row r="357" spans="7:29" x14ac:dyDescent="0.2">
      <c r="H357" s="20"/>
      <c r="I357" s="14"/>
      <c r="J357" s="20"/>
      <c r="L357" s="7"/>
      <c r="M357" s="192"/>
      <c r="N357" s="192"/>
      <c r="O357" s="192"/>
      <c r="P357" s="192"/>
      <c r="Q357" s="195" t="s">
        <v>154</v>
      </c>
      <c r="R357" s="192"/>
      <c r="S357" s="192"/>
      <c r="T357" s="192"/>
      <c r="U357" s="192"/>
      <c r="V357" s="192"/>
      <c r="W357" s="192"/>
      <c r="X357" s="192"/>
      <c r="Y357" s="192"/>
      <c r="Z357" s="192"/>
      <c r="AA357" s="20"/>
    </row>
    <row r="358" spans="7:29" x14ac:dyDescent="0.2">
      <c r="H358" s="20"/>
      <c r="I358" s="20"/>
      <c r="J358" s="20"/>
      <c r="K358" s="14"/>
      <c r="L358" s="7"/>
      <c r="M358" s="213">
        <f>+M285</f>
        <v>2018</v>
      </c>
      <c r="N358" s="213">
        <f>+N285</f>
        <v>2019</v>
      </c>
      <c r="O358" s="213">
        <f>+O285</f>
        <v>2020</v>
      </c>
      <c r="P358" s="213">
        <f>+P285</f>
        <v>2021</v>
      </c>
      <c r="Q358" s="213">
        <f>+Q285</f>
        <v>2022</v>
      </c>
      <c r="R358" s="213">
        <f>+R285</f>
        <v>2023</v>
      </c>
      <c r="S358" s="213">
        <f>+S285</f>
        <v>2024</v>
      </c>
      <c r="T358" s="213">
        <f>+T285</f>
        <v>2025</v>
      </c>
      <c r="U358" s="213">
        <f>+U285</f>
        <v>2026</v>
      </c>
      <c r="V358" s="213">
        <f>+V285</f>
        <v>2027</v>
      </c>
      <c r="W358" s="213">
        <f>+W285</f>
        <v>2028</v>
      </c>
      <c r="X358" s="213">
        <f>+X285</f>
        <v>2029</v>
      </c>
      <c r="Y358" s="213">
        <f>+Y285</f>
        <v>2030</v>
      </c>
      <c r="Z358" s="213">
        <f>+Z285</f>
        <v>2031</v>
      </c>
      <c r="AA358" s="20"/>
    </row>
    <row r="359" spans="7:29" ht="13.5" thickBot="1" x14ac:dyDescent="0.25">
      <c r="H359" s="20"/>
      <c r="I359" s="20"/>
      <c r="J359" s="20"/>
      <c r="K359" s="14"/>
      <c r="M359" s="1" t="s">
        <v>155</v>
      </c>
      <c r="N359" s="214"/>
      <c r="O359" s="214"/>
      <c r="P359" s="97">
        <v>0.16800000000000001</v>
      </c>
      <c r="Q359" s="97"/>
      <c r="R359" s="97"/>
      <c r="S359" s="97">
        <v>3.7999999999999999E-2</v>
      </c>
      <c r="T359" s="97"/>
      <c r="U359" s="97"/>
      <c r="V359" s="97">
        <v>0.04</v>
      </c>
      <c r="W359" s="97"/>
      <c r="X359" s="97"/>
      <c r="Y359" s="97">
        <v>3.9E-2</v>
      </c>
      <c r="Z359" s="214"/>
    </row>
    <row r="360" spans="7:29" ht="13.5" thickBot="1" x14ac:dyDescent="0.25">
      <c r="H360" s="20"/>
      <c r="I360" s="20"/>
      <c r="J360" s="20"/>
      <c r="K360" s="20"/>
      <c r="L360" s="215">
        <f>+L349</f>
        <v>822.22942798070301</v>
      </c>
      <c r="M360" s="215">
        <f>+M349</f>
        <v>904.3700960219478</v>
      </c>
      <c r="N360" s="215">
        <f>+N349</f>
        <v>926.44982935153587</v>
      </c>
      <c r="O360" s="216">
        <f>N360*(1+O359)</f>
        <v>926.44982935153587</v>
      </c>
      <c r="P360" s="217">
        <f t="shared" ref="P360:Z360" si="102">O360*(1+P359)</f>
        <v>1082.0934006825939</v>
      </c>
      <c r="Q360" s="217">
        <f t="shared" si="102"/>
        <v>1082.0934006825939</v>
      </c>
      <c r="R360" s="217">
        <f t="shared" si="102"/>
        <v>1082.0934006825939</v>
      </c>
      <c r="S360" s="217">
        <f t="shared" si="102"/>
        <v>1123.2129499085324</v>
      </c>
      <c r="T360" s="217">
        <f t="shared" si="102"/>
        <v>1123.2129499085324</v>
      </c>
      <c r="U360" s="217">
        <f t="shared" si="102"/>
        <v>1123.2129499085324</v>
      </c>
      <c r="V360" s="217">
        <f t="shared" si="102"/>
        <v>1168.1414679048737</v>
      </c>
      <c r="W360" s="217">
        <f t="shared" si="102"/>
        <v>1168.1414679048737</v>
      </c>
      <c r="X360" s="218">
        <f t="shared" si="102"/>
        <v>1168.1414679048737</v>
      </c>
      <c r="Y360" s="219">
        <f t="shared" si="102"/>
        <v>1213.6989851531637</v>
      </c>
      <c r="Z360" s="219">
        <f t="shared" si="102"/>
        <v>1213.6989851531637</v>
      </c>
      <c r="AA360" s="220">
        <f>1.04^10</f>
        <v>1.4802442849183446</v>
      </c>
      <c r="AB360" s="215">
        <f>+AA360*M360</f>
        <v>1338.6886660875427</v>
      </c>
      <c r="AC360" s="221">
        <f>+AB360-X360</f>
        <v>170.54719818266904</v>
      </c>
    </row>
    <row r="361" spans="7:29" x14ac:dyDescent="0.2">
      <c r="H361" s="20"/>
      <c r="I361" s="20"/>
      <c r="J361" s="20"/>
      <c r="K361" s="20"/>
      <c r="L361" s="7"/>
      <c r="M361" s="20"/>
      <c r="N361" s="20"/>
      <c r="O361" s="222">
        <f>+O360-N360</f>
        <v>0</v>
      </c>
      <c r="P361" s="222">
        <f>+P360-O360</f>
        <v>155.64357133105807</v>
      </c>
      <c r="Q361" s="222">
        <f>+Q360-P360</f>
        <v>0</v>
      </c>
      <c r="R361" s="222">
        <f t="shared" ref="R361:Z361" si="103">+R360-Q360</f>
        <v>0</v>
      </c>
      <c r="S361" s="222">
        <f t="shared" si="103"/>
        <v>41.119549225938499</v>
      </c>
      <c r="T361" s="222">
        <f t="shared" si="103"/>
        <v>0</v>
      </c>
      <c r="U361" s="222">
        <f t="shared" si="103"/>
        <v>0</v>
      </c>
      <c r="V361" s="222">
        <f t="shared" si="103"/>
        <v>44.92851799634127</v>
      </c>
      <c r="W361" s="222">
        <f t="shared" si="103"/>
        <v>0</v>
      </c>
      <c r="X361" s="222">
        <f t="shared" si="103"/>
        <v>0</v>
      </c>
      <c r="Y361" s="222">
        <f t="shared" si="103"/>
        <v>45.557517248289969</v>
      </c>
      <c r="Z361" s="222">
        <f t="shared" si="103"/>
        <v>0</v>
      </c>
      <c r="AA361" s="20"/>
    </row>
    <row r="362" spans="7:29" x14ac:dyDescent="0.2">
      <c r="H362" s="20"/>
      <c r="I362" s="20"/>
      <c r="J362" s="20"/>
      <c r="K362" s="20"/>
      <c r="L362" s="7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spans="7:29" ht="15" x14ac:dyDescent="0.25">
      <c r="G363" s="223"/>
      <c r="H363" s="224"/>
      <c r="J363" s="224"/>
      <c r="K363" s="224"/>
      <c r="L363" s="225"/>
      <c r="M363" s="225">
        <f>(((+M346-L346)/2)*L349)</f>
        <v>2877.8029979324606</v>
      </c>
      <c r="N363" s="225">
        <f>(((+N346-M346)/2)*M349)</f>
        <v>3165.2953360768174</v>
      </c>
      <c r="O363" s="225">
        <f>(((+O346-N346)/2)*N349)</f>
        <v>3242.5744027303754</v>
      </c>
      <c r="P363" s="225">
        <f>(((+P346-O346)/2)*P360)+(O346*P360)</f>
        <v>1596628.8127071674</v>
      </c>
      <c r="Q363" s="225">
        <f>(((+Q346-P346)/2)*P349)</f>
        <v>3862.4026369168359</v>
      </c>
      <c r="R363" s="225">
        <f>(((+R346-Q346)/2)*Q349)</f>
        <v>4099.2874999999094</v>
      </c>
      <c r="S363" s="225">
        <f>(((+S346-R346)/2)*R349)</f>
        <v>4118.8074999999717</v>
      </c>
      <c r="T363" s="225">
        <f>(((+T346-S346)/2)*S349)</f>
        <v>4292.864999999847</v>
      </c>
      <c r="U363" s="225">
        <f>(((+U346-T346)/2)*T349)</f>
        <v>4313.8849999999666</v>
      </c>
      <c r="V363" s="225">
        <f>(((+V346-U346)/2)*U349)</f>
        <v>4335.009999999922</v>
      </c>
      <c r="W363" s="225">
        <f>(((+W346-V346)/2)*V349)</f>
        <v>4526.9374999998809</v>
      </c>
      <c r="X363" s="225">
        <f>(((+X346-W346)/2)*W349)</f>
        <v>4549.1299999998737</v>
      </c>
      <c r="Y363" s="225">
        <f>(((+Y346-X346)/2)*X349)</f>
        <v>4571.4324999998762</v>
      </c>
      <c r="Z363" s="225">
        <f>(((+Z346-Y346)/2)*Y349)</f>
        <v>4769.542499999865</v>
      </c>
      <c r="AA363" s="20"/>
    </row>
    <row r="364" spans="7:29" ht="15" x14ac:dyDescent="0.25">
      <c r="G364" s="223"/>
      <c r="H364" s="224"/>
      <c r="J364" s="224"/>
      <c r="K364" s="224"/>
      <c r="L364" s="225"/>
      <c r="M364" s="225"/>
      <c r="N364" s="225"/>
      <c r="O364" s="225"/>
      <c r="P364" s="225"/>
      <c r="Q364" s="225"/>
      <c r="R364" s="225"/>
      <c r="S364" s="225"/>
      <c r="T364" s="225"/>
      <c r="U364" s="225"/>
      <c r="V364" s="225"/>
      <c r="W364" s="225"/>
      <c r="X364" s="225"/>
      <c r="Y364" s="225"/>
      <c r="Z364" s="225"/>
      <c r="AA364" s="20"/>
    </row>
    <row r="365" spans="7:29" ht="15" x14ac:dyDescent="0.25">
      <c r="G365" s="223"/>
      <c r="H365" s="224"/>
      <c r="J365" s="224"/>
      <c r="K365" s="224"/>
      <c r="L365" s="225"/>
      <c r="M365" s="225">
        <f>+ROUND((L360*(L346+((M346-L346)/2))),0)</f>
        <v>1195933</v>
      </c>
      <c r="N365" s="225">
        <f>+ROUND((M360*(M346+((N346-M346)/2))),0)</f>
        <v>1321737</v>
      </c>
      <c r="O365" s="225">
        <f>+ROUND((N360*(N346+((O346-N346)/2))),0)</f>
        <v>1360492</v>
      </c>
      <c r="P365" s="225">
        <f>+ROUND((O360*(O346+((P346-O346)/2))),0)</f>
        <v>1366977</v>
      </c>
      <c r="Q365" s="225">
        <f>+ROUND((P360*(P346+((Q346-P346)/2))),0)</f>
        <v>1604203</v>
      </c>
      <c r="R365" s="225">
        <f>+ROUND((Q360*(Q346+((R346-Q346)/2))),0)</f>
        <v>1612011</v>
      </c>
      <c r="S365" s="225">
        <f>+ROUND((R360*(R346+((S346-R346)/2))),0)</f>
        <v>1620071</v>
      </c>
      <c r="T365" s="225">
        <f>+ROUND((S360*(S346+((T346-S346)/2))),0)</f>
        <v>1690042</v>
      </c>
      <c r="U365" s="225">
        <f>+ROUND((T360*(T346+((U346-T346)/2))),0)</f>
        <v>1698492</v>
      </c>
      <c r="V365" s="225">
        <f>+ROUND((U360*(U346+((V346-U346)/2))),0)</f>
        <v>1706984</v>
      </c>
      <c r="W365" s="225">
        <f>+ROUND((V360*(V346+((W346-V346)/2))),0)</f>
        <v>1784140</v>
      </c>
      <c r="X365" s="225">
        <f>+ROUND((W360*(W346+((X346-W346)/2))),0)</f>
        <v>1793061</v>
      </c>
      <c r="Y365" s="225">
        <f>+ROUND((X360*(X346+((Y346-X346)/2))),0)</f>
        <v>1802026</v>
      </c>
      <c r="Z365" s="225">
        <f>+ROUND((Y360*(Y346+((Z346-Y346)/2))),0)</f>
        <v>1881667</v>
      </c>
      <c r="AA365" s="20"/>
    </row>
    <row r="366" spans="7:29" ht="15" x14ac:dyDescent="0.25">
      <c r="G366" s="223"/>
      <c r="H366" s="224"/>
      <c r="J366" s="224"/>
      <c r="K366" s="224"/>
      <c r="L366" s="225"/>
      <c r="M366" s="225">
        <f>+ROUND((+M361*(L346+((M346-L346)/2))),0)</f>
        <v>0</v>
      </c>
      <c r="N366" s="225">
        <f>+ROUND((+N361*(M346+((N346-M346)/2))),0)</f>
        <v>0</v>
      </c>
      <c r="O366" s="225">
        <f>+ROUND((+O361*(N346+((O346-N346)/2))),0)</f>
        <v>0</v>
      </c>
      <c r="P366" s="225">
        <f>+ROUND((+P361*(O346+((P346-O346)/2))),0)</f>
        <v>229652</v>
      </c>
      <c r="Q366" s="225">
        <f>+ROUND((+Q361*(P346+((Q346-P346)/2))),0)</f>
        <v>0</v>
      </c>
      <c r="R366" s="225">
        <f>+ROUND((+R361*(Q346+((R346-Q346)/2))),0)</f>
        <v>0</v>
      </c>
      <c r="S366" s="225">
        <f>+ROUND((+S361*(R346+((S346-R346)/2))),0)</f>
        <v>61563</v>
      </c>
      <c r="T366" s="225">
        <f>+ROUND((+T361*(S346+((T346-S346)/2))),0)</f>
        <v>0</v>
      </c>
      <c r="U366" s="225">
        <f>+ROUND((+U361*(T346+((U346-T346)/2))),0)</f>
        <v>0</v>
      </c>
      <c r="V366" s="225">
        <f>+ROUND((+V361*(U346+((V346-U346)/2))),0)</f>
        <v>68279</v>
      </c>
      <c r="W366" s="225">
        <f>+ROUND((+W361*(V346+((W346-V346)/2))),0)</f>
        <v>0</v>
      </c>
      <c r="X366" s="225">
        <f>+ROUND((+X361*(W346+((X346-W346)/2))),0)</f>
        <v>0</v>
      </c>
      <c r="Y366" s="225">
        <f>+ROUND((+Y361*(X346+((Y346-X346)/2))),0)</f>
        <v>70279</v>
      </c>
      <c r="Z366" s="225">
        <f>+ROUND((+Z361*(Y346+((Z346-Y346)/2))),0)</f>
        <v>0</v>
      </c>
      <c r="AA366" s="20"/>
    </row>
    <row r="367" spans="7:29" ht="15" x14ac:dyDescent="0.25">
      <c r="G367" s="223"/>
      <c r="H367" s="224"/>
      <c r="J367" s="224"/>
      <c r="K367" s="224"/>
      <c r="L367" s="224"/>
      <c r="M367" s="224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spans="7:29" ht="15.75" thickBot="1" x14ac:dyDescent="0.3">
      <c r="G368" s="224"/>
      <c r="H368" s="224"/>
      <c r="I368" s="224"/>
      <c r="J368" s="224"/>
      <c r="K368" s="224"/>
      <c r="L368" s="225"/>
      <c r="M368" s="225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spans="8:27" ht="15" x14ac:dyDescent="0.25">
      <c r="H369" s="226"/>
      <c r="I369" s="227"/>
      <c r="J369" s="228"/>
      <c r="K369" s="228"/>
      <c r="L369" s="228"/>
      <c r="M369" s="227"/>
      <c r="N369" s="227"/>
      <c r="O369" s="227"/>
      <c r="P369" s="227"/>
      <c r="Q369" s="227"/>
      <c r="R369" s="229"/>
      <c r="S369" s="229"/>
      <c r="T369" s="229"/>
      <c r="U369" s="229"/>
      <c r="V369" s="229"/>
      <c r="W369" s="229"/>
      <c r="X369" s="229"/>
      <c r="Y369" s="229"/>
      <c r="Z369" s="230"/>
      <c r="AA369" s="20"/>
    </row>
    <row r="370" spans="8:27" ht="15" x14ac:dyDescent="0.25">
      <c r="H370" s="231" t="s">
        <v>156</v>
      </c>
      <c r="I370" s="26"/>
      <c r="J370" s="26"/>
      <c r="K370" s="232"/>
      <c r="L370" s="232"/>
      <c r="M370" s="26"/>
      <c r="N370" s="26"/>
      <c r="O370" s="26"/>
      <c r="P370" s="26"/>
      <c r="Q370" s="26"/>
      <c r="R370" s="233"/>
      <c r="S370" s="233"/>
      <c r="T370" s="233"/>
      <c r="U370" s="233"/>
      <c r="V370" s="233"/>
      <c r="W370" s="233"/>
      <c r="X370" s="233"/>
      <c r="Y370" s="233"/>
      <c r="Z370" s="234"/>
      <c r="AA370" s="20"/>
    </row>
    <row r="371" spans="8:27" ht="15" x14ac:dyDescent="0.25">
      <c r="H371" s="231" t="s">
        <v>157</v>
      </c>
      <c r="I371" s="235" t="s">
        <v>135</v>
      </c>
      <c r="J371" s="236">
        <v>1.4319999999999999E-3</v>
      </c>
      <c r="K371" s="233"/>
      <c r="L371" s="237"/>
      <c r="M371" s="238">
        <f>ROUND(+$J371*L289,0)</f>
        <v>4632</v>
      </c>
      <c r="N371" s="238">
        <f>ROUND(+$J371*M289,0)</f>
        <v>4515</v>
      </c>
      <c r="O371" s="238">
        <f>ROUND(+$J371*N289,0)</f>
        <v>4509</v>
      </c>
      <c r="P371" s="238">
        <f>ROUND(+$J371*O289,0)</f>
        <v>4501</v>
      </c>
      <c r="Q371" s="238">
        <f>ROUND(+$J371*P289,0)</f>
        <v>4494</v>
      </c>
      <c r="R371" s="238">
        <f>ROUND(+$J371*Q289,0)</f>
        <v>4486</v>
      </c>
      <c r="S371" s="238">
        <f>ROUND(+$J371*R289,0)</f>
        <v>4478</v>
      </c>
      <c r="T371" s="238">
        <f>ROUND(+$J371*S289,0)</f>
        <v>4470</v>
      </c>
      <c r="U371" s="238">
        <f>ROUND(+$J371*T289,0)</f>
        <v>4462</v>
      </c>
      <c r="V371" s="238">
        <f>ROUND(+$J371*U289,0)</f>
        <v>4456</v>
      </c>
      <c r="W371" s="238">
        <f>ROUND(+$J371*V289,0)</f>
        <v>4450</v>
      </c>
      <c r="X371" s="238">
        <f>ROUND(+$J371*W289,0)</f>
        <v>4444</v>
      </c>
      <c r="Y371" s="238">
        <f>ROUND(+$J371*X289,0)</f>
        <v>4437</v>
      </c>
      <c r="Z371" s="239">
        <f>ROUND(+$J371*Y289,0)</f>
        <v>4431</v>
      </c>
      <c r="AA371" s="20"/>
    </row>
    <row r="372" spans="8:27" ht="15" x14ac:dyDescent="0.25">
      <c r="H372" s="231" t="s">
        <v>158</v>
      </c>
      <c r="I372" s="235" t="s">
        <v>159</v>
      </c>
      <c r="J372" s="236">
        <v>5.6899999999999997E-3</v>
      </c>
      <c r="K372" s="233"/>
      <c r="L372" s="237"/>
      <c r="M372" s="238">
        <f>ROUND(+$J372*L24,0)</f>
        <v>6788</v>
      </c>
      <c r="N372" s="238">
        <f>ROUND(+$J372*M24,0)</f>
        <v>7503</v>
      </c>
      <c r="O372" s="238">
        <f>ROUND(+$J372*N24,0)</f>
        <v>7723</v>
      </c>
      <c r="P372" s="238">
        <f>ROUND(+$J372*O24,0)</f>
        <v>7943</v>
      </c>
      <c r="Q372" s="238">
        <f>ROUND(+$J372*P24,0)</f>
        <v>9287</v>
      </c>
      <c r="R372" s="238">
        <f>ROUND(+$J372*Q24,0)</f>
        <v>9330</v>
      </c>
      <c r="S372" s="238">
        <f>ROUND(+$J372*R24,0)</f>
        <v>9374</v>
      </c>
      <c r="T372" s="238">
        <f>ROUND(+$J372*S24,0)</f>
        <v>9771</v>
      </c>
      <c r="U372" s="238">
        <f>ROUND(+$J372*T24,0)</f>
        <v>9818</v>
      </c>
      <c r="V372" s="238">
        <f>ROUND(+$J372*U24,0)</f>
        <v>9866</v>
      </c>
      <c r="W372" s="238">
        <f>ROUND(+$J372*V24,0)</f>
        <v>10303</v>
      </c>
      <c r="X372" s="238">
        <f>ROUND(+$J372*W24,0)</f>
        <v>10354</v>
      </c>
      <c r="Y372" s="238">
        <f>ROUND(+$J372*X24,0)</f>
        <v>10405</v>
      </c>
      <c r="Z372" s="239">
        <f>ROUND(+$J372*Y24,0)</f>
        <v>10855</v>
      </c>
      <c r="AA372" s="20"/>
    </row>
    <row r="373" spans="8:27" ht="15.75" thickBot="1" x14ac:dyDescent="0.3">
      <c r="H373" s="240"/>
      <c r="I373" s="233"/>
      <c r="J373" s="233"/>
      <c r="K373" s="233"/>
      <c r="L373" s="237"/>
      <c r="M373" s="241">
        <f>SUM(M371:M372)</f>
        <v>11420</v>
      </c>
      <c r="N373" s="241">
        <f t="shared" ref="N373:Z373" si="104">SUM(N371:N372)</f>
        <v>12018</v>
      </c>
      <c r="O373" s="241">
        <f t="shared" si="104"/>
        <v>12232</v>
      </c>
      <c r="P373" s="241">
        <f t="shared" si="104"/>
        <v>12444</v>
      </c>
      <c r="Q373" s="241">
        <f t="shared" si="104"/>
        <v>13781</v>
      </c>
      <c r="R373" s="241">
        <f t="shared" si="104"/>
        <v>13816</v>
      </c>
      <c r="S373" s="241">
        <f t="shared" si="104"/>
        <v>13852</v>
      </c>
      <c r="T373" s="241">
        <f t="shared" si="104"/>
        <v>14241</v>
      </c>
      <c r="U373" s="241">
        <f t="shared" si="104"/>
        <v>14280</v>
      </c>
      <c r="V373" s="241">
        <f t="shared" si="104"/>
        <v>14322</v>
      </c>
      <c r="W373" s="241">
        <f t="shared" si="104"/>
        <v>14753</v>
      </c>
      <c r="X373" s="241">
        <f t="shared" si="104"/>
        <v>14798</v>
      </c>
      <c r="Y373" s="241">
        <f t="shared" si="104"/>
        <v>14842</v>
      </c>
      <c r="Z373" s="242">
        <f t="shared" si="104"/>
        <v>15286</v>
      </c>
      <c r="AA373" s="20"/>
    </row>
    <row r="374" spans="8:27" ht="13.5" thickTop="1" x14ac:dyDescent="0.2">
      <c r="H374" s="240"/>
      <c r="I374" s="233"/>
      <c r="J374" s="233"/>
      <c r="K374" s="233"/>
      <c r="L374" s="237"/>
      <c r="M374" s="233"/>
      <c r="N374" s="233"/>
      <c r="O374" s="233"/>
      <c r="P374" s="233"/>
      <c r="Q374" s="233"/>
      <c r="R374" s="233"/>
      <c r="S374" s="233"/>
      <c r="T374" s="233"/>
      <c r="U374" s="233"/>
      <c r="V374" s="233"/>
      <c r="W374" s="233"/>
      <c r="X374" s="233"/>
      <c r="Y374" s="233"/>
      <c r="Z374" s="234"/>
      <c r="AA374" s="20"/>
    </row>
    <row r="375" spans="8:27" ht="13.5" thickBot="1" x14ac:dyDescent="0.25">
      <c r="H375" s="243"/>
      <c r="I375" s="244"/>
      <c r="J375" s="244"/>
      <c r="K375" s="244"/>
      <c r="L375" s="245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6"/>
      <c r="AA375" s="20"/>
    </row>
    <row r="376" spans="8:27" ht="15" x14ac:dyDescent="0.25">
      <c r="H376" s="20"/>
      <c r="I376" s="20"/>
      <c r="J376" s="224"/>
      <c r="K376" s="20"/>
      <c r="L376" s="7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spans="8:27" ht="15" x14ac:dyDescent="0.25">
      <c r="H377" s="20"/>
      <c r="I377" s="20"/>
      <c r="J377" s="224"/>
      <c r="K377" s="20"/>
      <c r="L377" s="7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spans="8:27" ht="15" x14ac:dyDescent="0.25">
      <c r="H378" s="20"/>
      <c r="I378" s="20"/>
      <c r="J378" s="224"/>
      <c r="K378" s="20"/>
      <c r="L378" s="7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spans="8:27" ht="15" x14ac:dyDescent="0.25">
      <c r="H379" s="20"/>
      <c r="I379" s="20"/>
      <c r="J379" s="224"/>
      <c r="K379" s="20"/>
      <c r="L379" s="7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spans="8:27" x14ac:dyDescent="0.2">
      <c r="H380" s="20"/>
      <c r="I380" s="20"/>
      <c r="J380" s="235"/>
      <c r="K380" s="20"/>
      <c r="L380" s="7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spans="8:27" x14ac:dyDescent="0.2">
      <c r="H381" s="20"/>
      <c r="I381" s="20"/>
      <c r="J381" s="20"/>
      <c r="K381" s="20"/>
      <c r="L381" s="7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spans="8:27" x14ac:dyDescent="0.2">
      <c r="H382" s="20"/>
      <c r="I382" s="20"/>
      <c r="J382" s="20"/>
      <c r="K382" s="20"/>
      <c r="L382" s="7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spans="8:27" x14ac:dyDescent="0.2">
      <c r="H383" s="20"/>
      <c r="I383" s="20"/>
      <c r="J383" s="20"/>
      <c r="K383" s="1" t="s">
        <v>14</v>
      </c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spans="8:27" ht="15" x14ac:dyDescent="0.25">
      <c r="H384" s="20"/>
      <c r="I384" s="20"/>
      <c r="J384" s="20"/>
      <c r="K384" s="29" t="s">
        <v>160</v>
      </c>
      <c r="L384" s="186">
        <f>+L293</f>
        <v>2723127</v>
      </c>
      <c r="M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spans="8:27" ht="15" x14ac:dyDescent="0.25">
      <c r="H385" s="20"/>
      <c r="I385" s="20"/>
      <c r="J385" s="20"/>
      <c r="K385" s="29" t="s">
        <v>161</v>
      </c>
      <c r="L385" s="39">
        <f>+L287</f>
        <v>4931649</v>
      </c>
      <c r="M385" s="20"/>
      <c r="N385" s="39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spans="8:27" ht="15" x14ac:dyDescent="0.25">
      <c r="H386" s="20"/>
      <c r="I386" s="20"/>
      <c r="J386" s="20"/>
      <c r="K386" s="29" t="s">
        <v>162</v>
      </c>
      <c r="L386" s="39">
        <f>+L289</f>
        <v>3234859</v>
      </c>
      <c r="M386" s="20"/>
      <c r="N386" s="39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spans="8:27" ht="15" x14ac:dyDescent="0.25">
      <c r="H387" s="20"/>
      <c r="I387" s="20"/>
      <c r="J387" s="20"/>
      <c r="K387" s="29" t="s">
        <v>45</v>
      </c>
      <c r="L387" s="39">
        <f>+L40</f>
        <v>1193054.9000000001</v>
      </c>
      <c r="M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spans="8:27" ht="15" x14ac:dyDescent="0.25">
      <c r="H388" s="20"/>
      <c r="I388" s="20"/>
      <c r="J388" s="20"/>
      <c r="K388" s="29" t="s">
        <v>5</v>
      </c>
      <c r="L388" s="39">
        <f>+L41</f>
        <v>-173563.5399999998</v>
      </c>
      <c r="M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spans="8:27" ht="15" x14ac:dyDescent="0.25">
      <c r="H389" s="20"/>
      <c r="I389" s="20"/>
      <c r="J389" s="20"/>
      <c r="K389" s="29" t="s">
        <v>3</v>
      </c>
      <c r="L389" s="39">
        <f>+L42</f>
        <v>-244336.5399999998</v>
      </c>
      <c r="M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spans="8:27" ht="15" x14ac:dyDescent="0.25">
      <c r="H390" s="20"/>
      <c r="I390" s="20"/>
      <c r="J390" s="20"/>
      <c r="K390" s="29" t="s">
        <v>147</v>
      </c>
      <c r="L390" s="186">
        <f>+L346</f>
        <v>1451</v>
      </c>
      <c r="M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spans="8:27" ht="15" x14ac:dyDescent="0.25">
      <c r="H391" s="20"/>
      <c r="I391" s="20"/>
      <c r="J391" s="20"/>
      <c r="K391" s="29" t="s">
        <v>163</v>
      </c>
      <c r="L391" s="186">
        <v>4218</v>
      </c>
      <c r="M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spans="8:27" x14ac:dyDescent="0.2">
      <c r="H392" s="20"/>
      <c r="I392" s="20"/>
      <c r="J392" s="20"/>
      <c r="K392" s="20"/>
      <c r="L392" s="7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spans="8:27" x14ac:dyDescent="0.2">
      <c r="H393" s="20"/>
      <c r="I393" s="20"/>
      <c r="J393" s="20"/>
      <c r="K393" s="20"/>
      <c r="L393" s="7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spans="8:27" x14ac:dyDescent="0.2">
      <c r="H394" s="20"/>
      <c r="I394" s="20"/>
      <c r="J394" s="20"/>
      <c r="K394" s="20"/>
      <c r="L394" s="7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spans="8:27" x14ac:dyDescent="0.2">
      <c r="H395" s="20"/>
      <c r="I395" s="20"/>
      <c r="J395" s="20"/>
      <c r="K395" s="20"/>
      <c r="L395" s="7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spans="8:27" x14ac:dyDescent="0.2">
      <c r="H396" s="20"/>
      <c r="I396" s="20"/>
      <c r="J396" s="20"/>
      <c r="K396" s="20"/>
      <c r="L396" s="7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spans="8:27" x14ac:dyDescent="0.2">
      <c r="H397" s="20"/>
      <c r="I397" s="1" t="s">
        <v>164</v>
      </c>
      <c r="J397" s="186">
        <f>+J287</f>
        <v>0</v>
      </c>
      <c r="K397" s="186">
        <f>+K287</f>
        <v>0</v>
      </c>
      <c r="L397" s="186">
        <f>+L287</f>
        <v>4931649</v>
      </c>
      <c r="M397" s="186">
        <f>+M287</f>
        <v>4931649</v>
      </c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spans="8:27" x14ac:dyDescent="0.2">
      <c r="H398" s="20"/>
      <c r="I398" s="1" t="s">
        <v>165</v>
      </c>
      <c r="J398" s="186">
        <f>+J289</f>
        <v>0</v>
      </c>
      <c r="K398" s="186">
        <f>+K289</f>
        <v>0</v>
      </c>
      <c r="L398" s="186">
        <f>+L289</f>
        <v>3234859</v>
      </c>
      <c r="M398" s="186">
        <f>+M289</f>
        <v>3152993.6266000001</v>
      </c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spans="8:27" x14ac:dyDescent="0.2">
      <c r="H399" s="20"/>
      <c r="I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spans="8:27" x14ac:dyDescent="0.2">
      <c r="I400" s="1" t="s">
        <v>166</v>
      </c>
      <c r="J400" s="186">
        <f>+J346</f>
        <v>1451</v>
      </c>
      <c r="K400" s="186">
        <f>+K346</f>
        <v>1451</v>
      </c>
      <c r="L400" s="186">
        <f>+L346</f>
        <v>1451</v>
      </c>
      <c r="M400" s="186">
        <f>+M346</f>
        <v>1458</v>
      </c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spans="5:27" x14ac:dyDescent="0.2">
      <c r="W401" s="20"/>
      <c r="X401" s="20"/>
      <c r="Y401" s="20"/>
      <c r="Z401" s="20"/>
      <c r="AA401" s="20"/>
    </row>
    <row r="402" spans="5:27" x14ac:dyDescent="0.2">
      <c r="W402" s="20"/>
      <c r="X402" s="20"/>
      <c r="Y402" s="20"/>
      <c r="Z402" s="20"/>
      <c r="AA402" s="20"/>
    </row>
    <row r="403" spans="5:27" ht="15" x14ac:dyDescent="0.25">
      <c r="E403" s="55"/>
      <c r="F403" s="55"/>
      <c r="G403" s="55"/>
      <c r="H403" s="247">
        <f>+H19</f>
        <v>2013</v>
      </c>
      <c r="I403" s="247">
        <f>+I19</f>
        <v>2014</v>
      </c>
      <c r="J403" s="247">
        <f>+J19</f>
        <v>2015</v>
      </c>
      <c r="K403" s="247">
        <f>+K19</f>
        <v>2016</v>
      </c>
      <c r="L403" s="247">
        <f>+L19</f>
        <v>2017</v>
      </c>
      <c r="M403" s="247">
        <f>+M19</f>
        <v>2018</v>
      </c>
      <c r="N403" s="55"/>
      <c r="O403" s="55"/>
      <c r="P403" s="55"/>
      <c r="Q403" s="55"/>
      <c r="R403" s="55"/>
      <c r="S403" s="55"/>
      <c r="T403" s="55"/>
      <c r="U403" s="55"/>
      <c r="V403" s="55"/>
      <c r="W403" s="20"/>
      <c r="X403" s="20"/>
      <c r="Y403" s="20"/>
      <c r="Z403" s="20"/>
      <c r="AA403" s="20"/>
    </row>
    <row r="404" spans="5:27" ht="15" x14ac:dyDescent="0.25">
      <c r="E404" s="55"/>
      <c r="F404" s="55"/>
      <c r="G404" s="55"/>
      <c r="J404" s="55"/>
      <c r="K404" s="55"/>
      <c r="L404" s="55"/>
      <c r="M404" s="55"/>
      <c r="N404" s="55"/>
      <c r="O404" s="248"/>
      <c r="P404" s="55"/>
      <c r="Q404" s="55"/>
      <c r="R404" s="55"/>
      <c r="S404" s="55"/>
      <c r="T404" s="55"/>
      <c r="U404" s="55"/>
      <c r="V404" s="55"/>
      <c r="W404" s="20"/>
      <c r="X404" s="20"/>
      <c r="Y404" s="20"/>
      <c r="Z404" s="20"/>
      <c r="AA404" s="20"/>
    </row>
    <row r="405" spans="5:27" ht="15" x14ac:dyDescent="0.25">
      <c r="E405" s="55"/>
      <c r="F405" s="55"/>
      <c r="G405" s="55"/>
      <c r="J405" s="55"/>
      <c r="K405" s="55"/>
      <c r="L405" s="55"/>
      <c r="M405" s="55"/>
      <c r="N405" s="55"/>
      <c r="O405" s="248"/>
      <c r="P405" s="55"/>
      <c r="Q405" s="55"/>
      <c r="R405" s="55"/>
      <c r="S405" s="55"/>
      <c r="T405" s="55"/>
      <c r="U405" s="55"/>
      <c r="V405" s="55"/>
      <c r="W405" s="20"/>
      <c r="X405" s="20"/>
      <c r="Y405" s="20"/>
      <c r="Z405" s="20"/>
      <c r="AA405" s="20"/>
    </row>
    <row r="406" spans="5:27" ht="15" x14ac:dyDescent="0.25">
      <c r="E406" s="55"/>
      <c r="F406" s="55"/>
      <c r="G406" s="55" t="s">
        <v>31</v>
      </c>
      <c r="H406" s="1">
        <v>0</v>
      </c>
      <c r="I406" s="1">
        <v>0</v>
      </c>
      <c r="J406" s="1">
        <v>0</v>
      </c>
      <c r="K406" s="249">
        <f>+K415</f>
        <v>109158</v>
      </c>
      <c r="L406" s="249">
        <f>+K406*(1+$AC$28)</f>
        <v>111341.16</v>
      </c>
      <c r="M406" s="249">
        <f t="shared" ref="M406:M408" si="105">+L406*(1+$AC$28)</f>
        <v>113567.9832</v>
      </c>
      <c r="N406" s="55"/>
      <c r="O406" s="250"/>
      <c r="P406" s="55">
        <v>0.15</v>
      </c>
      <c r="Q406" s="55"/>
      <c r="R406" s="55" t="s">
        <v>31</v>
      </c>
      <c r="S406" s="51" t="s">
        <v>32</v>
      </c>
      <c r="T406" s="52"/>
      <c r="U406" s="53" t="s">
        <v>33</v>
      </c>
      <c r="V406" s="54">
        <v>0.15</v>
      </c>
      <c r="W406" s="55">
        <v>0.15</v>
      </c>
      <c r="X406" s="20"/>
      <c r="Y406" s="20"/>
      <c r="Z406" s="20"/>
      <c r="AA406" s="20"/>
    </row>
    <row r="407" spans="5:27" ht="15" x14ac:dyDescent="0.25">
      <c r="E407" s="55"/>
      <c r="F407" s="55"/>
      <c r="G407" s="55" t="s">
        <v>34</v>
      </c>
      <c r="H407" s="1">
        <v>0</v>
      </c>
      <c r="I407" s="1">
        <v>0</v>
      </c>
      <c r="J407" s="1">
        <v>0</v>
      </c>
      <c r="K407" s="249">
        <f>+K424</f>
        <v>136840</v>
      </c>
      <c r="L407" s="249">
        <f t="shared" ref="L407:L408" si="106">+K407*(1+$AC$28)</f>
        <v>139576.79999999999</v>
      </c>
      <c r="M407" s="249">
        <f t="shared" si="105"/>
        <v>142368.33599999998</v>
      </c>
      <c r="N407" s="55"/>
      <c r="O407" s="250"/>
      <c r="P407" s="55">
        <v>0.5</v>
      </c>
      <c r="Q407" s="251"/>
      <c r="R407" s="55" t="s">
        <v>34</v>
      </c>
      <c r="S407" s="51" t="s">
        <v>35</v>
      </c>
      <c r="T407" s="52"/>
      <c r="U407" s="53" t="s">
        <v>36</v>
      </c>
      <c r="V407" s="54">
        <v>0.5</v>
      </c>
      <c r="W407" s="55">
        <v>0.5</v>
      </c>
      <c r="X407" s="20"/>
      <c r="Y407" s="20"/>
      <c r="Z407" s="20"/>
      <c r="AA407" s="20"/>
    </row>
    <row r="408" spans="5:27" ht="15" x14ac:dyDescent="0.25">
      <c r="G408" s="55" t="s">
        <v>37</v>
      </c>
      <c r="H408" s="1">
        <v>0</v>
      </c>
      <c r="I408" s="1">
        <v>0</v>
      </c>
      <c r="J408" s="1">
        <v>0</v>
      </c>
      <c r="K408" s="249">
        <f>+K419</f>
        <v>22587</v>
      </c>
      <c r="L408" s="249">
        <f t="shared" si="106"/>
        <v>23038.74</v>
      </c>
      <c r="M408" s="249">
        <f t="shared" si="105"/>
        <v>23499.514800000001</v>
      </c>
      <c r="Q408" s="55"/>
      <c r="R408" s="55" t="s">
        <v>37</v>
      </c>
      <c r="S408" s="51" t="s">
        <v>38</v>
      </c>
      <c r="T408" s="52"/>
      <c r="U408" s="53" t="s">
        <v>39</v>
      </c>
      <c r="V408" s="54">
        <v>0.1</v>
      </c>
      <c r="W408" s="55">
        <v>0.1</v>
      </c>
      <c r="X408" s="20"/>
      <c r="Y408" s="20"/>
      <c r="Z408" s="20"/>
      <c r="AA408" s="20"/>
    </row>
    <row r="409" spans="5:27" ht="15" x14ac:dyDescent="0.25">
      <c r="G409" s="55"/>
      <c r="H409" s="55"/>
      <c r="I409" s="55"/>
      <c r="J409" s="55"/>
      <c r="K409" s="55"/>
      <c r="M409" s="55"/>
      <c r="P409" s="58"/>
      <c r="Q409" s="55"/>
      <c r="R409" s="55"/>
      <c r="S409" s="55"/>
      <c r="T409" s="55"/>
      <c r="U409" s="55"/>
      <c r="V409" s="55"/>
      <c r="W409" s="20"/>
      <c r="X409" s="20"/>
      <c r="Y409" s="20"/>
      <c r="Z409" s="20"/>
      <c r="AA409" s="20"/>
    </row>
    <row r="410" spans="5:27" ht="15" x14ac:dyDescent="0.25">
      <c r="G410" s="55"/>
      <c r="H410" s="55"/>
      <c r="I410" s="55"/>
      <c r="J410" s="55"/>
      <c r="K410" s="55"/>
      <c r="M410" s="55"/>
      <c r="P410" s="58"/>
      <c r="Q410" s="55"/>
      <c r="R410" s="55"/>
      <c r="S410" s="55"/>
      <c r="T410" s="55"/>
      <c r="U410" s="55"/>
      <c r="V410" s="55"/>
      <c r="W410" s="20"/>
      <c r="X410" s="20"/>
      <c r="Y410" s="20"/>
      <c r="Z410" s="20"/>
      <c r="AA410" s="20"/>
    </row>
    <row r="411" spans="5:27" ht="15" x14ac:dyDescent="0.25">
      <c r="G411" s="55"/>
      <c r="H411" s="55"/>
      <c r="I411" s="55"/>
      <c r="J411" s="55"/>
      <c r="K411" s="55"/>
      <c r="L411" s="55"/>
      <c r="M411" s="55"/>
      <c r="P411" s="58"/>
      <c r="Q411" s="55"/>
      <c r="R411" s="55"/>
      <c r="S411" s="55"/>
      <c r="T411" s="55"/>
      <c r="U411" s="55"/>
      <c r="V411" s="55"/>
      <c r="W411" s="20"/>
      <c r="X411" s="20"/>
      <c r="Y411" s="20"/>
      <c r="Z411" s="20"/>
      <c r="AA411" s="20"/>
    </row>
    <row r="412" spans="5:27" ht="15" x14ac:dyDescent="0.25">
      <c r="G412" s="252" t="s">
        <v>167</v>
      </c>
      <c r="H412" s="253"/>
      <c r="I412" s="253"/>
      <c r="J412" s="253"/>
      <c r="K412" s="253"/>
      <c r="L412" s="254"/>
      <c r="M412" s="253"/>
      <c r="N412" s="255"/>
      <c r="P412" s="58"/>
      <c r="Q412" s="55"/>
      <c r="R412" s="55"/>
      <c r="S412" s="55"/>
      <c r="T412" s="55"/>
      <c r="U412" s="55"/>
      <c r="V412" s="55"/>
      <c r="W412" s="20"/>
      <c r="X412" s="20"/>
      <c r="Y412" s="20"/>
      <c r="Z412" s="20"/>
      <c r="AA412" s="20"/>
    </row>
    <row r="413" spans="5:27" ht="15" x14ac:dyDescent="0.25">
      <c r="G413" s="256"/>
      <c r="H413" s="55"/>
      <c r="I413" s="55"/>
      <c r="J413" s="55"/>
      <c r="K413" s="55"/>
      <c r="L413" s="55"/>
      <c r="M413" s="55"/>
      <c r="N413" s="257"/>
      <c r="P413" s="58"/>
      <c r="Q413" s="55"/>
      <c r="R413" s="55"/>
      <c r="S413" s="55"/>
      <c r="T413" s="55"/>
      <c r="U413" s="55"/>
      <c r="V413" s="55"/>
      <c r="W413" s="20"/>
      <c r="X413" s="20"/>
      <c r="Y413" s="20"/>
      <c r="Z413" s="20"/>
      <c r="AA413" s="20"/>
    </row>
    <row r="414" spans="5:27" ht="15" x14ac:dyDescent="0.25">
      <c r="G414" s="258"/>
      <c r="H414" s="26"/>
      <c r="I414" s="26"/>
      <c r="J414" s="26"/>
      <c r="K414" s="26"/>
      <c r="L414" s="26"/>
      <c r="M414" s="26"/>
      <c r="N414" s="257"/>
      <c r="P414" s="58"/>
      <c r="Q414" s="55"/>
      <c r="R414" s="55"/>
      <c r="S414" s="55"/>
      <c r="T414" s="55"/>
      <c r="U414" s="55"/>
      <c r="V414" s="55"/>
      <c r="W414" s="20"/>
      <c r="X414" s="20"/>
      <c r="Y414" s="20"/>
      <c r="Z414" s="20"/>
      <c r="AA414" s="20"/>
    </row>
    <row r="415" spans="5:27" ht="15" x14ac:dyDescent="0.25">
      <c r="G415" s="259" t="s">
        <v>168</v>
      </c>
      <c r="H415" s="260" t="s">
        <v>169</v>
      </c>
      <c r="I415" s="26"/>
      <c r="J415" s="260"/>
      <c r="K415" s="261">
        <v>109158</v>
      </c>
      <c r="L415" s="26"/>
      <c r="M415" s="26"/>
      <c r="N415" s="257"/>
      <c r="P415" s="58"/>
      <c r="Q415" s="55"/>
      <c r="R415" s="55"/>
      <c r="S415" s="55"/>
      <c r="T415" s="55"/>
      <c r="U415" s="55"/>
      <c r="V415" s="55"/>
      <c r="W415" s="20"/>
      <c r="X415" s="20"/>
      <c r="Y415" s="20"/>
      <c r="Z415" s="20"/>
      <c r="AA415" s="20"/>
    </row>
    <row r="416" spans="5:27" ht="15" x14ac:dyDescent="0.25">
      <c r="G416" s="259"/>
      <c r="H416" s="260"/>
      <c r="I416" s="26"/>
      <c r="J416" s="260"/>
      <c r="K416" s="261"/>
      <c r="L416" s="26"/>
      <c r="M416" s="26"/>
      <c r="N416" s="257"/>
      <c r="P416" s="58"/>
      <c r="Q416" s="55"/>
      <c r="R416" s="55"/>
      <c r="S416" s="55"/>
      <c r="T416" s="55"/>
      <c r="U416" s="55"/>
      <c r="V416" s="55"/>
      <c r="W416" s="20"/>
      <c r="X416" s="20"/>
      <c r="Y416" s="20"/>
      <c r="Z416" s="20"/>
      <c r="AA416" s="20"/>
    </row>
    <row r="417" spans="7:27" ht="15" x14ac:dyDescent="0.25">
      <c r="G417" s="259" t="s">
        <v>170</v>
      </c>
      <c r="H417" s="260" t="s">
        <v>171</v>
      </c>
      <c r="I417" s="26"/>
      <c r="J417" s="260"/>
      <c r="K417" s="261">
        <v>7119</v>
      </c>
      <c r="L417" s="26"/>
      <c r="M417" s="26"/>
      <c r="N417" s="257"/>
      <c r="P417" s="58"/>
      <c r="Q417" s="55"/>
      <c r="R417" s="55"/>
      <c r="S417" s="55"/>
      <c r="T417" s="55"/>
      <c r="U417" s="55"/>
      <c r="V417" s="55"/>
      <c r="W417" s="20"/>
      <c r="X417" s="20"/>
      <c r="Y417" s="20"/>
      <c r="Z417" s="20"/>
      <c r="AA417" s="20"/>
    </row>
    <row r="418" spans="7:27" ht="15" x14ac:dyDescent="0.25">
      <c r="G418" s="259" t="s">
        <v>170</v>
      </c>
      <c r="H418" s="260" t="s">
        <v>38</v>
      </c>
      <c r="I418" s="26"/>
      <c r="J418" s="260"/>
      <c r="K418" s="261">
        <v>15468</v>
      </c>
      <c r="L418" s="26"/>
      <c r="M418" s="26"/>
      <c r="N418" s="257"/>
      <c r="P418" s="58"/>
      <c r="Q418" s="55"/>
      <c r="R418" s="55"/>
      <c r="S418" s="55"/>
      <c r="T418" s="55"/>
      <c r="U418" s="55"/>
      <c r="V418" s="55"/>
      <c r="W418" s="20"/>
      <c r="X418" s="20"/>
      <c r="Y418" s="20"/>
      <c r="Z418" s="20"/>
      <c r="AA418" s="20"/>
    </row>
    <row r="419" spans="7:27" ht="15.75" thickBot="1" x14ac:dyDescent="0.3">
      <c r="G419" s="259"/>
      <c r="H419" s="260"/>
      <c r="I419" s="26"/>
      <c r="J419" s="260"/>
      <c r="K419" s="262">
        <v>22587</v>
      </c>
      <c r="L419" s="26"/>
      <c r="M419" s="26"/>
      <c r="N419" s="257"/>
      <c r="P419" s="58"/>
      <c r="Q419" s="55"/>
      <c r="R419" s="55"/>
      <c r="S419" s="55"/>
      <c r="T419" s="55"/>
      <c r="U419" s="55"/>
      <c r="V419" s="55"/>
      <c r="W419" s="20"/>
      <c r="X419" s="20"/>
      <c r="Y419" s="20"/>
      <c r="Z419" s="20"/>
      <c r="AA419" s="20"/>
    </row>
    <row r="420" spans="7:27" ht="15.75" thickTop="1" x14ac:dyDescent="0.25">
      <c r="G420" s="259"/>
      <c r="H420" s="260"/>
      <c r="I420" s="26"/>
      <c r="J420" s="260"/>
      <c r="K420" s="261"/>
      <c r="L420" s="26"/>
      <c r="M420" s="26"/>
      <c r="N420" s="257"/>
      <c r="P420" s="58"/>
      <c r="Q420" s="55"/>
      <c r="R420" s="55"/>
      <c r="S420" s="55"/>
      <c r="T420" s="55"/>
      <c r="U420" s="55"/>
      <c r="V420" s="55"/>
      <c r="W420" s="20"/>
      <c r="X420" s="20"/>
      <c r="Y420" s="20"/>
      <c r="Z420" s="20"/>
      <c r="AA420" s="20"/>
    </row>
    <row r="421" spans="7:27" ht="15" x14ac:dyDescent="0.25">
      <c r="G421" s="259" t="s">
        <v>172</v>
      </c>
      <c r="H421" s="260" t="s">
        <v>173</v>
      </c>
      <c r="I421" s="26"/>
      <c r="J421" s="260"/>
      <c r="K421" s="261">
        <v>113945</v>
      </c>
      <c r="L421" s="26"/>
      <c r="M421" s="26"/>
      <c r="N421" s="257"/>
      <c r="P421" s="58"/>
      <c r="Q421" s="55"/>
      <c r="R421" s="55"/>
      <c r="S421" s="55"/>
      <c r="T421" s="55"/>
      <c r="U421" s="55"/>
      <c r="V421" s="55"/>
      <c r="W421" s="20"/>
      <c r="X421" s="20"/>
      <c r="Y421" s="20"/>
      <c r="Z421" s="20"/>
      <c r="AA421" s="20"/>
    </row>
    <row r="422" spans="7:27" ht="15" x14ac:dyDescent="0.25">
      <c r="G422" s="259" t="s">
        <v>172</v>
      </c>
      <c r="H422" s="260" t="s">
        <v>174</v>
      </c>
      <c r="I422" s="26"/>
      <c r="J422" s="260"/>
      <c r="K422" s="261">
        <v>11424</v>
      </c>
      <c r="L422" s="26"/>
      <c r="M422" s="26"/>
      <c r="N422" s="257"/>
      <c r="P422" s="58"/>
      <c r="Q422" s="55"/>
      <c r="R422" s="55"/>
      <c r="S422" s="55"/>
      <c r="T422" s="55"/>
      <c r="U422" s="55"/>
      <c r="V422" s="55"/>
      <c r="W422" s="20"/>
      <c r="X422" s="20"/>
      <c r="Y422" s="20"/>
      <c r="Z422" s="20"/>
      <c r="AA422" s="20"/>
    </row>
    <row r="423" spans="7:27" ht="15" x14ac:dyDescent="0.25">
      <c r="G423" s="259" t="s">
        <v>172</v>
      </c>
      <c r="H423" s="260" t="s">
        <v>175</v>
      </c>
      <c r="I423" s="26"/>
      <c r="J423" s="260"/>
      <c r="K423" s="261">
        <v>11471</v>
      </c>
      <c r="L423" s="26"/>
      <c r="M423" s="26"/>
      <c r="N423" s="257"/>
      <c r="P423" s="58"/>
      <c r="Q423" s="55"/>
      <c r="R423" s="55"/>
      <c r="S423" s="55"/>
      <c r="T423" s="55"/>
      <c r="U423" s="55"/>
      <c r="V423" s="55"/>
      <c r="W423" s="20"/>
      <c r="X423" s="20"/>
      <c r="Y423" s="20"/>
      <c r="Z423" s="20"/>
      <c r="AA423" s="20"/>
    </row>
    <row r="424" spans="7:27" ht="15.75" thickBot="1" x14ac:dyDescent="0.3">
      <c r="G424" s="259"/>
      <c r="H424" s="260"/>
      <c r="I424" s="26"/>
      <c r="J424" s="26"/>
      <c r="K424" s="263">
        <v>136840</v>
      </c>
      <c r="L424" s="26"/>
      <c r="M424" s="26"/>
      <c r="N424" s="257"/>
      <c r="P424" s="58"/>
      <c r="Q424" s="55"/>
      <c r="R424" s="55"/>
      <c r="S424" s="55"/>
      <c r="T424" s="55"/>
      <c r="U424" s="55"/>
      <c r="V424" s="55"/>
      <c r="W424" s="20"/>
      <c r="X424" s="20"/>
      <c r="Y424" s="20"/>
      <c r="Z424" s="20"/>
      <c r="AA424" s="20"/>
    </row>
    <row r="425" spans="7:27" ht="15.75" thickTop="1" x14ac:dyDescent="0.25">
      <c r="G425" s="264"/>
      <c r="H425" s="265"/>
      <c r="I425" s="265"/>
      <c r="J425" s="265"/>
      <c r="K425" s="265"/>
      <c r="L425" s="265"/>
      <c r="M425" s="265"/>
      <c r="N425" s="266"/>
      <c r="P425" s="58"/>
      <c r="Q425" s="55"/>
      <c r="R425" s="55"/>
      <c r="S425" s="55"/>
      <c r="T425" s="55"/>
      <c r="U425" s="55"/>
      <c r="V425" s="55"/>
      <c r="W425" s="20"/>
      <c r="X425" s="20"/>
      <c r="Y425" s="20"/>
      <c r="Z425" s="20"/>
      <c r="AA425" s="20"/>
    </row>
    <row r="426" spans="7:27" ht="15" x14ac:dyDescent="0.25">
      <c r="P426" s="58"/>
      <c r="Q426" s="55"/>
      <c r="R426" s="55"/>
      <c r="S426" s="55"/>
      <c r="T426" s="55"/>
      <c r="U426" s="55"/>
      <c r="V426" s="55"/>
      <c r="W426" s="20"/>
      <c r="X426" s="20"/>
      <c r="Y426" s="20"/>
      <c r="Z426" s="20"/>
      <c r="AA426" s="20"/>
    </row>
    <row r="427" spans="7:27" ht="15" x14ac:dyDescent="0.25">
      <c r="P427" s="58"/>
      <c r="Q427" s="55"/>
      <c r="R427" s="55"/>
      <c r="S427" s="55"/>
      <c r="T427" s="55"/>
      <c r="U427" s="55"/>
      <c r="V427" s="55"/>
      <c r="W427" s="20"/>
      <c r="X427" s="20"/>
      <c r="Y427" s="20"/>
      <c r="Z427" s="20"/>
      <c r="AA427" s="20"/>
    </row>
    <row r="428" spans="7:27" ht="15" x14ac:dyDescent="0.25">
      <c r="P428" s="58"/>
      <c r="Q428" s="55"/>
      <c r="R428" s="55"/>
      <c r="S428" s="55"/>
      <c r="T428" s="55"/>
      <c r="U428" s="55"/>
      <c r="V428" s="55"/>
      <c r="W428" s="20"/>
      <c r="X428" s="20"/>
      <c r="Y428" s="20"/>
      <c r="Z428" s="20"/>
      <c r="AA428" s="20"/>
    </row>
    <row r="429" spans="7:27" ht="15" x14ac:dyDescent="0.25">
      <c r="P429" s="58"/>
      <c r="Q429" s="55"/>
      <c r="R429" s="55"/>
      <c r="S429" s="55"/>
      <c r="T429" s="55"/>
      <c r="U429" s="55"/>
      <c r="V429" s="55"/>
      <c r="W429" s="20"/>
      <c r="X429" s="20"/>
      <c r="Y429" s="20"/>
      <c r="Z429" s="20"/>
      <c r="AA429" s="20"/>
    </row>
    <row r="430" spans="7:27" ht="15" x14ac:dyDescent="0.25">
      <c r="P430" s="58"/>
      <c r="Q430" s="55"/>
      <c r="R430" s="55"/>
      <c r="S430" s="55"/>
      <c r="T430" s="55"/>
      <c r="U430" s="55"/>
      <c r="V430" s="55"/>
      <c r="W430" s="20"/>
      <c r="X430" s="20"/>
      <c r="Y430" s="20"/>
      <c r="Z430" s="20"/>
      <c r="AA430" s="20"/>
    </row>
    <row r="431" spans="7:27" ht="15" x14ac:dyDescent="0.25">
      <c r="P431" s="58"/>
      <c r="Q431" s="55"/>
      <c r="R431" s="55"/>
      <c r="S431" s="55"/>
      <c r="T431" s="55"/>
      <c r="U431" s="55"/>
      <c r="V431" s="55"/>
      <c r="W431" s="20"/>
      <c r="X431" s="20"/>
      <c r="Y431" s="20"/>
      <c r="Z431" s="20"/>
      <c r="AA431" s="20"/>
    </row>
    <row r="432" spans="7:27" ht="15" x14ac:dyDescent="0.25">
      <c r="P432" s="58"/>
      <c r="Q432" s="55"/>
      <c r="R432" s="55"/>
      <c r="S432" s="55"/>
      <c r="T432" s="55"/>
      <c r="U432" s="55"/>
      <c r="V432" s="55"/>
      <c r="W432" s="20"/>
      <c r="X432" s="20"/>
      <c r="Y432" s="20"/>
      <c r="Z432" s="20"/>
      <c r="AA432" s="20"/>
    </row>
    <row r="433" spans="5:27" ht="15" x14ac:dyDescent="0.25">
      <c r="P433" s="58"/>
      <c r="Q433" s="55"/>
      <c r="R433" s="55"/>
      <c r="S433" s="55"/>
      <c r="T433" s="55"/>
      <c r="U433" s="55"/>
      <c r="V433" s="55"/>
      <c r="W433" s="20"/>
      <c r="X433" s="20"/>
      <c r="Y433" s="20"/>
      <c r="Z433" s="20"/>
      <c r="AA433" s="20"/>
    </row>
    <row r="434" spans="5:27" ht="15" x14ac:dyDescent="0.25">
      <c r="P434" s="58"/>
      <c r="Q434" s="55"/>
      <c r="R434" s="55"/>
      <c r="S434" s="55"/>
      <c r="T434" s="55"/>
      <c r="U434" s="55"/>
      <c r="V434" s="55"/>
      <c r="W434" s="20"/>
      <c r="X434" s="20"/>
      <c r="Y434" s="20"/>
      <c r="Z434" s="20"/>
      <c r="AA434" s="20"/>
    </row>
    <row r="435" spans="5:27" ht="15" x14ac:dyDescent="0.25">
      <c r="P435" s="58"/>
      <c r="Q435" s="55"/>
      <c r="R435" s="55"/>
      <c r="S435" s="55"/>
      <c r="T435" s="55"/>
      <c r="U435" s="55"/>
      <c r="V435" s="55"/>
      <c r="W435" s="20"/>
      <c r="X435" s="20"/>
      <c r="Y435" s="20"/>
      <c r="Z435" s="20"/>
      <c r="AA435" s="20"/>
    </row>
    <row r="436" spans="5:27" ht="15" x14ac:dyDescent="0.25">
      <c r="P436" s="58"/>
      <c r="Q436" s="55"/>
      <c r="R436" s="55"/>
      <c r="S436" s="55"/>
      <c r="T436" s="55"/>
      <c r="U436" s="55"/>
      <c r="V436" s="55"/>
      <c r="W436" s="20"/>
      <c r="X436" s="20"/>
      <c r="Y436" s="20"/>
      <c r="Z436" s="20"/>
      <c r="AA436" s="20"/>
    </row>
    <row r="437" spans="5:27" ht="15" x14ac:dyDescent="0.25">
      <c r="P437" s="58"/>
      <c r="Q437" s="55"/>
      <c r="R437" s="55"/>
      <c r="S437" s="55"/>
      <c r="T437" s="55"/>
      <c r="U437" s="55"/>
      <c r="V437" s="55"/>
      <c r="W437" s="20"/>
      <c r="X437" s="20"/>
      <c r="Y437" s="20"/>
      <c r="Z437" s="20"/>
      <c r="AA437" s="20"/>
    </row>
    <row r="438" spans="5:27" ht="15" x14ac:dyDescent="0.25">
      <c r="J438" s="260"/>
      <c r="P438" s="58"/>
      <c r="Q438" s="55"/>
      <c r="R438" s="55"/>
      <c r="S438" s="55"/>
      <c r="T438" s="55"/>
      <c r="U438" s="55"/>
      <c r="V438" s="55"/>
      <c r="W438" s="20"/>
      <c r="X438" s="20"/>
      <c r="Y438" s="20"/>
      <c r="Z438" s="20"/>
      <c r="AA438" s="20"/>
    </row>
    <row r="439" spans="5:27" ht="15" x14ac:dyDescent="0.25">
      <c r="J439" s="260"/>
      <c r="P439" s="58"/>
      <c r="Q439" s="55"/>
      <c r="R439" s="55"/>
      <c r="S439" s="55"/>
      <c r="T439" s="55"/>
      <c r="U439" s="55"/>
      <c r="V439" s="55"/>
      <c r="W439" s="20"/>
      <c r="X439" s="20"/>
      <c r="Y439" s="20"/>
      <c r="Z439" s="20"/>
      <c r="AA439" s="20"/>
    </row>
    <row r="440" spans="5:27" ht="15" x14ac:dyDescent="0.25">
      <c r="F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20"/>
      <c r="X440" s="20"/>
      <c r="Y440" s="20"/>
      <c r="Z440" s="20"/>
      <c r="AA440" s="20"/>
    </row>
    <row r="441" spans="5:27" ht="15" x14ac:dyDescent="0.25">
      <c r="F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20"/>
      <c r="X441" s="20"/>
      <c r="Y441" s="20"/>
      <c r="Z441" s="20"/>
      <c r="AA441" s="20"/>
    </row>
    <row r="442" spans="5:27" ht="15" x14ac:dyDescent="0.25">
      <c r="F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20"/>
      <c r="X442" s="20"/>
      <c r="Y442" s="20"/>
      <c r="Z442" s="20"/>
      <c r="AA442" s="20"/>
    </row>
    <row r="443" spans="5:27" ht="15" x14ac:dyDescent="0.25">
      <c r="E443" s="55"/>
      <c r="F443" s="55"/>
      <c r="G443" s="55"/>
      <c r="J443" s="55"/>
      <c r="K443" s="267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20"/>
      <c r="X443" s="20"/>
      <c r="Y443" s="20"/>
      <c r="Z443" s="20"/>
      <c r="AA443" s="20"/>
    </row>
    <row r="444" spans="5:27" x14ac:dyDescent="0.2">
      <c r="G444" s="1" t="s">
        <v>176</v>
      </c>
      <c r="H444" s="1">
        <v>0</v>
      </c>
      <c r="I444" s="1">
        <v>0</v>
      </c>
      <c r="J444" s="1">
        <v>0</v>
      </c>
      <c r="K444" s="1">
        <v>65544</v>
      </c>
      <c r="L444" s="7"/>
      <c r="M444" s="20"/>
      <c r="N444" s="20"/>
      <c r="O444" s="20"/>
      <c r="P444" s="20"/>
      <c r="Q444" s="20"/>
      <c r="W444" s="20"/>
      <c r="X444" s="20"/>
      <c r="Y444" s="20"/>
      <c r="Z444" s="20"/>
      <c r="AA444" s="20"/>
    </row>
    <row r="445" spans="5:27" ht="15" x14ac:dyDescent="0.2">
      <c r="E445" s="268" t="s">
        <v>177</v>
      </c>
      <c r="F445" s="268"/>
      <c r="G445" s="268"/>
      <c r="H445" s="268"/>
      <c r="I445" s="268"/>
      <c r="J445" s="268"/>
      <c r="K445" s="268"/>
      <c r="L445" s="269">
        <v>6842383</v>
      </c>
      <c r="M445" s="269">
        <v>4742081</v>
      </c>
      <c r="N445" s="269">
        <v>11782781</v>
      </c>
      <c r="O445" s="269">
        <v>6795581</v>
      </c>
      <c r="P445" s="269">
        <v>4482781</v>
      </c>
      <c r="Q445" s="269">
        <v>4482781</v>
      </c>
      <c r="R445" s="269">
        <v>4482781</v>
      </c>
      <c r="S445" s="269">
        <v>4482781</v>
      </c>
      <c r="T445" s="269">
        <v>4482783</v>
      </c>
      <c r="U445" s="270"/>
      <c r="W445" s="20"/>
      <c r="X445" s="20"/>
      <c r="Y445" s="20"/>
      <c r="Z445" s="20"/>
      <c r="AA445" s="20"/>
    </row>
    <row r="446" spans="5:27" ht="15.75" thickBot="1" x14ac:dyDescent="0.25">
      <c r="E446" s="260"/>
      <c r="F446" s="260"/>
      <c r="G446" s="260"/>
      <c r="H446" s="260"/>
      <c r="I446" s="260"/>
      <c r="J446" s="260"/>
      <c r="K446" s="260"/>
      <c r="L446" s="260"/>
      <c r="M446" s="260"/>
      <c r="N446" s="260"/>
      <c r="O446" s="260"/>
      <c r="P446" s="20"/>
      <c r="Q446" s="20"/>
      <c r="W446" s="20"/>
      <c r="X446" s="20"/>
      <c r="Y446" s="20"/>
      <c r="Z446" s="20"/>
      <c r="AA446" s="20"/>
    </row>
    <row r="447" spans="5:27" ht="15" x14ac:dyDescent="0.25">
      <c r="E447" s="260"/>
      <c r="F447" s="260"/>
      <c r="H447" s="271">
        <v>2013</v>
      </c>
      <c r="I447" s="271">
        <v>2014</v>
      </c>
      <c r="J447" s="271">
        <v>2015</v>
      </c>
      <c r="K447" s="272">
        <v>2016</v>
      </c>
      <c r="L447" s="272">
        <v>2017</v>
      </c>
      <c r="M447" s="260"/>
      <c r="N447" s="260"/>
      <c r="O447" s="273" t="s">
        <v>178</v>
      </c>
      <c r="P447" s="20" t="s">
        <v>179</v>
      </c>
      <c r="Q447" s="20" t="s">
        <v>180</v>
      </c>
      <c r="W447" s="20"/>
      <c r="X447" s="20"/>
      <c r="Y447" s="20"/>
      <c r="Z447" s="20"/>
      <c r="AA447" s="20"/>
    </row>
    <row r="448" spans="5:27" ht="15" x14ac:dyDescent="0.2">
      <c r="E448" s="260"/>
      <c r="F448" s="260"/>
      <c r="H448" s="20"/>
      <c r="I448" s="20"/>
      <c r="J448" s="20"/>
      <c r="K448" s="20"/>
      <c r="L448" s="260"/>
      <c r="M448" s="260"/>
      <c r="N448" s="260"/>
      <c r="O448" s="274"/>
      <c r="P448" s="20"/>
      <c r="Q448" s="20"/>
      <c r="W448" s="20"/>
      <c r="X448" s="20"/>
      <c r="Y448" s="20"/>
      <c r="Z448" s="20"/>
      <c r="AA448" s="20"/>
    </row>
    <row r="449" spans="5:27" ht="15" x14ac:dyDescent="0.2">
      <c r="E449" s="260"/>
      <c r="F449" s="260"/>
      <c r="G449" s="1" t="s">
        <v>115</v>
      </c>
      <c r="H449" s="179">
        <v>0</v>
      </c>
      <c r="I449" s="179">
        <v>0</v>
      </c>
      <c r="J449" s="179">
        <v>0</v>
      </c>
      <c r="K449" s="275">
        <v>2670112</v>
      </c>
      <c r="L449" s="275">
        <f>+O449</f>
        <v>4931649</v>
      </c>
      <c r="M449" s="260"/>
      <c r="N449" s="260"/>
      <c r="O449" s="276">
        <v>4931649</v>
      </c>
      <c r="P449" s="275">
        <v>0</v>
      </c>
      <c r="Q449" s="20"/>
      <c r="W449" s="20"/>
      <c r="X449" s="20"/>
      <c r="Y449" s="20"/>
      <c r="Z449" s="20"/>
      <c r="AA449" s="20"/>
    </row>
    <row r="450" spans="5:27" ht="15" x14ac:dyDescent="0.2">
      <c r="E450" s="260"/>
      <c r="F450" s="260"/>
      <c r="G450" s="1" t="s">
        <v>116</v>
      </c>
      <c r="H450" s="179">
        <v>0</v>
      </c>
      <c r="I450" s="179">
        <v>0</v>
      </c>
      <c r="J450" s="179">
        <v>0</v>
      </c>
      <c r="K450" s="275">
        <v>1259243</v>
      </c>
      <c r="L450" s="275">
        <f>+O450</f>
        <v>1696790</v>
      </c>
      <c r="M450" s="260"/>
      <c r="N450" s="260"/>
      <c r="O450" s="276">
        <v>1696790</v>
      </c>
      <c r="P450" s="275">
        <v>0</v>
      </c>
      <c r="Q450" s="20"/>
      <c r="W450" s="20"/>
      <c r="X450" s="20"/>
      <c r="Y450" s="20"/>
      <c r="Z450" s="20"/>
      <c r="AA450" s="20"/>
    </row>
    <row r="451" spans="5:27" ht="15.75" thickBot="1" x14ac:dyDescent="0.4">
      <c r="E451" s="260"/>
      <c r="F451" s="260"/>
      <c r="G451" s="180" t="s">
        <v>117</v>
      </c>
      <c r="H451" s="181">
        <v>0</v>
      </c>
      <c r="I451" s="181">
        <v>0</v>
      </c>
      <c r="J451" s="181">
        <v>0</v>
      </c>
      <c r="K451" s="181">
        <f>+K449-K450</f>
        <v>1410869</v>
      </c>
      <c r="L451" s="181">
        <f>+L449-L450</f>
        <v>3234859</v>
      </c>
      <c r="M451" s="260"/>
      <c r="N451" s="260"/>
      <c r="O451" s="277">
        <f>+O449-O450</f>
        <v>3234859</v>
      </c>
      <c r="P451" s="181">
        <f>+P449-P450</f>
        <v>0</v>
      </c>
      <c r="Q451" s="278">
        <f>+O451-P451</f>
        <v>3234859</v>
      </c>
      <c r="W451" s="20"/>
      <c r="X451" s="20"/>
      <c r="Y451" s="20"/>
      <c r="Z451" s="20"/>
      <c r="AA451" s="20"/>
    </row>
    <row r="452" spans="5:27" ht="15.75" thickTop="1" x14ac:dyDescent="0.2">
      <c r="E452" s="260"/>
      <c r="F452" s="260"/>
      <c r="H452" s="20"/>
      <c r="I452" s="20"/>
      <c r="J452" s="20"/>
      <c r="K452" s="20"/>
      <c r="L452" s="20"/>
      <c r="M452" s="260"/>
      <c r="N452" s="260"/>
      <c r="O452" s="279"/>
      <c r="P452" s="20"/>
      <c r="Q452" s="20"/>
      <c r="W452" s="20"/>
      <c r="X452" s="20"/>
      <c r="Y452" s="20"/>
      <c r="Z452" s="20"/>
      <c r="AA452" s="20"/>
    </row>
    <row r="453" spans="5:27" ht="15" x14ac:dyDescent="0.25">
      <c r="E453" s="260"/>
      <c r="F453" s="260"/>
      <c r="G453" s="29" t="s">
        <v>118</v>
      </c>
      <c r="H453" s="179">
        <v>0</v>
      </c>
      <c r="I453" s="179">
        <v>0</v>
      </c>
      <c r="J453" s="179">
        <v>0</v>
      </c>
      <c r="K453" s="179">
        <v>0</v>
      </c>
      <c r="L453" s="179">
        <f>+K453</f>
        <v>0</v>
      </c>
      <c r="M453" s="260"/>
      <c r="N453" s="260"/>
      <c r="O453" s="276">
        <v>81927</v>
      </c>
      <c r="P453" s="20"/>
      <c r="Q453" s="20"/>
      <c r="W453" s="20"/>
      <c r="X453" s="20"/>
      <c r="Y453" s="20"/>
      <c r="Z453" s="20"/>
      <c r="AA453" s="20"/>
    </row>
    <row r="454" spans="5:27" ht="15.75" thickBot="1" x14ac:dyDescent="0.3">
      <c r="E454" s="260"/>
      <c r="F454" s="260"/>
      <c r="G454" s="29" t="s">
        <v>119</v>
      </c>
      <c r="H454" s="179">
        <v>0</v>
      </c>
      <c r="I454" s="179">
        <v>0</v>
      </c>
      <c r="J454" s="179">
        <v>0</v>
      </c>
      <c r="K454" s="179">
        <v>2723127</v>
      </c>
      <c r="L454" s="179">
        <v>0</v>
      </c>
      <c r="M454" s="260"/>
      <c r="N454" s="260"/>
      <c r="O454" s="280"/>
      <c r="P454" s="20"/>
      <c r="Q454" s="20"/>
      <c r="W454" s="20"/>
      <c r="X454" s="20"/>
      <c r="Y454" s="20"/>
      <c r="Z454" s="20"/>
      <c r="AA454" s="20"/>
    </row>
    <row r="455" spans="5:27" ht="15.75" thickBot="1" x14ac:dyDescent="0.25">
      <c r="E455" s="260"/>
      <c r="F455" s="260"/>
      <c r="G455" s="180" t="s">
        <v>120</v>
      </c>
      <c r="H455" s="181">
        <v>0</v>
      </c>
      <c r="I455" s="181">
        <v>0</v>
      </c>
      <c r="J455" s="181">
        <v>0</v>
      </c>
      <c r="K455" s="181">
        <f>SUM(K453:K454)</f>
        <v>2723127</v>
      </c>
      <c r="L455" s="181">
        <f>SUM(L453:L454)</f>
        <v>0</v>
      </c>
      <c r="M455" s="260"/>
      <c r="N455" s="260"/>
      <c r="O455" s="260"/>
      <c r="P455" s="20"/>
      <c r="Q455" s="20"/>
      <c r="W455" s="20"/>
      <c r="X455" s="20"/>
      <c r="Y455" s="20"/>
      <c r="Z455" s="20"/>
      <c r="AA455" s="20"/>
    </row>
    <row r="456" spans="5:27" ht="15.75" thickTop="1" x14ac:dyDescent="0.2">
      <c r="E456" s="260"/>
      <c r="F456" s="260"/>
      <c r="G456" s="260"/>
      <c r="H456" s="260"/>
      <c r="I456" s="260"/>
      <c r="J456" s="260"/>
      <c r="K456" s="260"/>
      <c r="L456" s="260"/>
      <c r="M456" s="260"/>
      <c r="N456" s="260"/>
      <c r="O456" s="260"/>
      <c r="P456" s="20"/>
      <c r="Q456" s="20"/>
      <c r="W456" s="20"/>
      <c r="X456" s="20"/>
      <c r="Y456" s="20"/>
      <c r="Z456" s="20"/>
      <c r="AA456" s="20"/>
    </row>
    <row r="457" spans="5:27" ht="15" x14ac:dyDescent="0.2">
      <c r="E457" s="235" t="s">
        <v>181</v>
      </c>
      <c r="F457" s="260"/>
      <c r="G457" s="260"/>
      <c r="H457" s="281">
        <v>0</v>
      </c>
      <c r="I457" s="281">
        <v>0</v>
      </c>
      <c r="J457" s="281">
        <v>0</v>
      </c>
      <c r="K457" s="281">
        <f>+K459/K449</f>
        <v>2.65056297263935E-2</v>
      </c>
      <c r="L457" s="281">
        <f>+O453/O449</f>
        <v>1.6612496144798625E-2</v>
      </c>
      <c r="M457" s="260"/>
      <c r="N457" s="260"/>
      <c r="O457" s="260"/>
      <c r="P457" s="20"/>
      <c r="Q457" s="20"/>
      <c r="W457" s="20"/>
      <c r="X457" s="20"/>
      <c r="Y457" s="20"/>
      <c r="Z457" s="20"/>
      <c r="AA457" s="20"/>
    </row>
    <row r="458" spans="5:27" ht="15" x14ac:dyDescent="0.2">
      <c r="E458" s="260"/>
      <c r="F458" s="260"/>
      <c r="G458" s="260"/>
      <c r="H458" s="260"/>
      <c r="I458" s="260"/>
      <c r="J458" s="260"/>
      <c r="K458" s="260"/>
      <c r="L458" s="260"/>
      <c r="M458" s="260"/>
      <c r="N458" s="260"/>
      <c r="O458" s="260"/>
      <c r="P458" s="20"/>
      <c r="Q458" s="20"/>
      <c r="W458" s="20"/>
      <c r="X458" s="20"/>
      <c r="Y458" s="20"/>
      <c r="Z458" s="20"/>
      <c r="AA458" s="20"/>
    </row>
    <row r="459" spans="5:27" ht="15" x14ac:dyDescent="0.2">
      <c r="E459" s="260" t="s">
        <v>134</v>
      </c>
      <c r="F459" s="260"/>
      <c r="G459" s="260"/>
      <c r="H459" s="270">
        <v>0</v>
      </c>
      <c r="I459" s="270">
        <v>0</v>
      </c>
      <c r="J459" s="270">
        <v>0</v>
      </c>
      <c r="K459" s="270">
        <v>70773</v>
      </c>
      <c r="L459" s="282">
        <f>+O453</f>
        <v>81927</v>
      </c>
      <c r="M459" s="260"/>
      <c r="N459" s="260"/>
      <c r="O459" s="260"/>
      <c r="P459" s="20"/>
      <c r="Q459" s="20"/>
      <c r="W459" s="20"/>
      <c r="X459" s="20"/>
      <c r="Y459" s="20"/>
      <c r="Z459" s="20"/>
      <c r="AA459" s="20"/>
    </row>
    <row r="460" spans="5:27" ht="15" x14ac:dyDescent="0.2">
      <c r="E460" s="260"/>
      <c r="F460" s="260"/>
      <c r="G460" s="260"/>
      <c r="H460" s="260"/>
      <c r="I460" s="260"/>
      <c r="J460" s="260"/>
      <c r="K460" s="260"/>
      <c r="L460" s="260"/>
      <c r="M460" s="260"/>
      <c r="N460" s="260"/>
      <c r="O460" s="260"/>
      <c r="P460" s="20"/>
      <c r="Q460" s="20"/>
      <c r="W460" s="20"/>
      <c r="X460" s="20"/>
      <c r="Y460" s="20"/>
      <c r="Z460" s="20"/>
      <c r="AA460" s="20"/>
    </row>
    <row r="461" spans="5:27" ht="15" x14ac:dyDescent="0.2">
      <c r="E461" s="260"/>
      <c r="F461" s="260"/>
      <c r="G461" s="260"/>
      <c r="H461" s="260"/>
      <c r="I461" s="260"/>
      <c r="J461" s="260"/>
      <c r="K461" s="260"/>
      <c r="L461" s="260"/>
      <c r="M461" s="275"/>
      <c r="N461" s="260"/>
      <c r="O461" s="260"/>
      <c r="P461" s="20"/>
      <c r="Q461" s="20"/>
      <c r="W461" s="20"/>
      <c r="X461" s="20"/>
      <c r="Y461" s="20"/>
      <c r="Z461" s="20"/>
      <c r="AA461" s="20"/>
    </row>
  </sheetData>
  <mergeCells count="19">
    <mergeCell ref="H259:M259"/>
    <mergeCell ref="H251:M251"/>
    <mergeCell ref="H252:Q252"/>
    <mergeCell ref="H254:L254"/>
    <mergeCell ref="H256:M256"/>
    <mergeCell ref="H257:M257"/>
    <mergeCell ref="H258:M258"/>
    <mergeCell ref="H222:M222"/>
    <mergeCell ref="H224:M224"/>
    <mergeCell ref="H225:M225"/>
    <mergeCell ref="H240:L240"/>
    <mergeCell ref="H246:M246"/>
    <mergeCell ref="H250:M250"/>
    <mergeCell ref="H204:M204"/>
    <mergeCell ref="H209:M209"/>
    <mergeCell ref="H213:M213"/>
    <mergeCell ref="H216:M216"/>
    <mergeCell ref="H218:M218"/>
    <mergeCell ref="H220:M2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2018-06-20T20:49:34Z</dcterms:created>
  <dcterms:modified xsi:type="dcterms:W3CDTF">2018-06-20T20:50:09Z</dcterms:modified>
</cp:coreProperties>
</file>