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L455" i="1"/>
  <c r="K455" i="1"/>
  <c r="L453" i="1"/>
  <c r="P451" i="1"/>
  <c r="O451" i="1"/>
  <c r="Q451" i="1" s="1"/>
  <c r="K451" i="1"/>
  <c r="L450" i="1"/>
  <c r="L449" i="1"/>
  <c r="K408" i="1"/>
  <c r="L408" i="1" s="1"/>
  <c r="M408" i="1" s="1"/>
  <c r="K407" i="1"/>
  <c r="L407" i="1" s="1"/>
  <c r="M407" i="1" s="1"/>
  <c r="M406" i="1"/>
  <c r="L406" i="1"/>
  <c r="K406" i="1"/>
  <c r="H403" i="1"/>
  <c r="L400" i="1"/>
  <c r="K400" i="1"/>
  <c r="J400" i="1"/>
  <c r="L398" i="1"/>
  <c r="K398" i="1"/>
  <c r="L397" i="1"/>
  <c r="K397" i="1"/>
  <c r="L390" i="1"/>
  <c r="L386" i="1"/>
  <c r="L385" i="1"/>
  <c r="M371" i="1"/>
  <c r="AA360" i="1"/>
  <c r="J353" i="1"/>
  <c r="J350" i="1"/>
  <c r="K345" i="1"/>
  <c r="K353" i="1" s="1"/>
  <c r="U344" i="1"/>
  <c r="V344" i="1" s="1"/>
  <c r="W344" i="1" s="1"/>
  <c r="X344" i="1" s="1"/>
  <c r="Y344" i="1" s="1"/>
  <c r="Z344" i="1" s="1"/>
  <c r="S344" i="1"/>
  <c r="T344" i="1" s="1"/>
  <c r="K343" i="1"/>
  <c r="M342" i="1"/>
  <c r="K336" i="1"/>
  <c r="J335" i="1"/>
  <c r="I335" i="1"/>
  <c r="L333" i="1"/>
  <c r="M334" i="1" s="1"/>
  <c r="K333" i="1"/>
  <c r="K332" i="1"/>
  <c r="J332" i="1"/>
  <c r="I332" i="1"/>
  <c r="H332" i="1"/>
  <c r="H336" i="1" s="1"/>
  <c r="M323" i="1"/>
  <c r="K314" i="1"/>
  <c r="L311" i="1"/>
  <c r="M309" i="1"/>
  <c r="M310" i="1" s="1"/>
  <c r="P308" i="1"/>
  <c r="N308" i="1"/>
  <c r="O308" i="1" s="1"/>
  <c r="N306" i="1"/>
  <c r="L306" i="1"/>
  <c r="L307" i="1" s="1"/>
  <c r="O305" i="1"/>
  <c r="N305" i="1"/>
  <c r="N311" i="1" s="1"/>
  <c r="M305" i="1"/>
  <c r="M311" i="1" s="1"/>
  <c r="M304" i="1"/>
  <c r="L304" i="1"/>
  <c r="L309" i="1" s="1"/>
  <c r="S303" i="1"/>
  <c r="T303" i="1" s="1"/>
  <c r="U303" i="1" s="1"/>
  <c r="R303" i="1"/>
  <c r="T301" i="1"/>
  <c r="S301" i="1"/>
  <c r="R301" i="1"/>
  <c r="Q301" i="1"/>
  <c r="P301" i="1"/>
  <c r="O301" i="1"/>
  <c r="N301" i="1"/>
  <c r="M300" i="1"/>
  <c r="L300" i="1"/>
  <c r="K296" i="1"/>
  <c r="L305" i="1" s="1"/>
  <c r="J293" i="1"/>
  <c r="M292" i="1"/>
  <c r="N292" i="1" s="1"/>
  <c r="L292" i="1"/>
  <c r="K292" i="1"/>
  <c r="J292" i="1"/>
  <c r="I292" i="1"/>
  <c r="H292" i="1"/>
  <c r="L291" i="1"/>
  <c r="K291" i="1"/>
  <c r="K293" i="1" s="1"/>
  <c r="J291" i="1"/>
  <c r="I291" i="1"/>
  <c r="I293" i="1" s="1"/>
  <c r="H291" i="1"/>
  <c r="H293" i="1" s="1"/>
  <c r="I289" i="1"/>
  <c r="J288" i="1"/>
  <c r="I288" i="1"/>
  <c r="H288" i="1"/>
  <c r="M287" i="1"/>
  <c r="J287" i="1"/>
  <c r="J397" i="1" s="1"/>
  <c r="I287" i="1"/>
  <c r="H287" i="1"/>
  <c r="H289" i="1" s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G252" i="1"/>
  <c r="T251" i="1"/>
  <c r="T252" i="1" s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K168" i="1"/>
  <c r="AE166" i="1"/>
  <c r="T165" i="1" s="1"/>
  <c r="K153" i="1"/>
  <c r="K152" i="1"/>
  <c r="AD145" i="1"/>
  <c r="Q144" i="1" s="1"/>
  <c r="Q120" i="1"/>
  <c r="K169" i="1" s="1"/>
  <c r="K120" i="1"/>
  <c r="Q119" i="1"/>
  <c r="K119" i="1"/>
  <c r="AE84" i="1"/>
  <c r="AE83" i="1"/>
  <c r="AE99" i="1" s="1"/>
  <c r="T98" i="1" s="1"/>
  <c r="T82" i="1"/>
  <c r="D77" i="1"/>
  <c r="D76" i="1"/>
  <c r="F75" i="1"/>
  <c r="D75" i="1"/>
  <c r="D74" i="1"/>
  <c r="F73" i="1"/>
  <c r="D73" i="1"/>
  <c r="D72" i="1"/>
  <c r="F71" i="1"/>
  <c r="D71" i="1"/>
  <c r="AC70" i="1"/>
  <c r="AB145" i="1" s="1"/>
  <c r="K144" i="1" s="1"/>
  <c r="D70" i="1"/>
  <c r="F69" i="1"/>
  <c r="D69" i="1"/>
  <c r="D68" i="1"/>
  <c r="F67" i="1"/>
  <c r="D67" i="1"/>
  <c r="D66" i="1"/>
  <c r="F65" i="1"/>
  <c r="D65" i="1"/>
  <c r="D64" i="1"/>
  <c r="F63" i="1"/>
  <c r="D63" i="1"/>
  <c r="D62" i="1"/>
  <c r="F61" i="1"/>
  <c r="D61" i="1"/>
  <c r="D60" i="1"/>
  <c r="F59" i="1"/>
  <c r="D59" i="1"/>
  <c r="AC58" i="1"/>
  <c r="N58" i="1"/>
  <c r="D58" i="1"/>
  <c r="N57" i="1"/>
  <c r="N61" i="1" s="1"/>
  <c r="N65" i="1" s="1"/>
  <c r="N69" i="1" s="1"/>
  <c r="N73" i="1" s="1"/>
  <c r="F57" i="1"/>
  <c r="D57" i="1"/>
  <c r="D56" i="1"/>
  <c r="F55" i="1"/>
  <c r="D55" i="1"/>
  <c r="AC54" i="1"/>
  <c r="D54" i="1"/>
  <c r="O53" i="1"/>
  <c r="N53" i="1"/>
  <c r="D53" i="1"/>
  <c r="F51" i="1"/>
  <c r="M49" i="1"/>
  <c r="L49" i="1"/>
  <c r="K49" i="1"/>
  <c r="J49" i="1"/>
  <c r="I49" i="1"/>
  <c r="H49" i="1"/>
  <c r="F46" i="1"/>
  <c r="F43" i="1"/>
  <c r="K40" i="1"/>
  <c r="K50" i="1" s="1"/>
  <c r="F39" i="1"/>
  <c r="F37" i="1"/>
  <c r="K35" i="1"/>
  <c r="K36" i="1" s="1"/>
  <c r="J35" i="1"/>
  <c r="J48" i="1" s="1"/>
  <c r="J296" i="1" s="1"/>
  <c r="I35" i="1"/>
  <c r="I48" i="1" s="1"/>
  <c r="I296" i="1" s="1"/>
  <c r="H35" i="1"/>
  <c r="B35" i="1"/>
  <c r="K34" i="1"/>
  <c r="J34" i="1"/>
  <c r="I34" i="1"/>
  <c r="H34" i="1"/>
  <c r="D33" i="1"/>
  <c r="D32" i="1"/>
  <c r="D31" i="1"/>
  <c r="AC30" i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D30" i="1"/>
  <c r="D29" i="1"/>
  <c r="L28" i="1"/>
  <c r="M28" i="1" s="1"/>
  <c r="G27" i="1"/>
  <c r="F26" i="1"/>
  <c r="AA24" i="1"/>
  <c r="L24" i="1"/>
  <c r="K24" i="1"/>
  <c r="J24" i="1"/>
  <c r="I24" i="1"/>
  <c r="H24" i="1"/>
  <c r="H40" i="1" s="1"/>
  <c r="H50" i="1" s="1"/>
  <c r="D23" i="1"/>
  <c r="M22" i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L22" i="1"/>
  <c r="M21" i="1"/>
  <c r="M332" i="1" s="1"/>
  <c r="L21" i="1"/>
  <c r="L332" i="1" s="1"/>
  <c r="G20" i="1"/>
  <c r="J19" i="1"/>
  <c r="I19" i="1"/>
  <c r="F19" i="1"/>
  <c r="O18" i="1"/>
  <c r="N18" i="1"/>
  <c r="M18" i="1"/>
  <c r="F18" i="1"/>
  <c r="C18" i="1"/>
  <c r="U14" i="1"/>
  <c r="M14" i="1"/>
  <c r="U13" i="1"/>
  <c r="D13" i="1"/>
  <c r="U12" i="1"/>
  <c r="M12" i="1"/>
  <c r="U11" i="1"/>
  <c r="U10" i="1"/>
  <c r="H9" i="1"/>
  <c r="L6" i="1"/>
  <c r="L5" i="1"/>
  <c r="L4" i="1"/>
  <c r="J403" i="1" l="1"/>
  <c r="J285" i="1"/>
  <c r="K19" i="1"/>
  <c r="N28" i="1"/>
  <c r="M34" i="1"/>
  <c r="AC62" i="1"/>
  <c r="B40" i="1"/>
  <c r="G40" i="1" s="1"/>
  <c r="M344" i="1"/>
  <c r="M346" i="1" s="1"/>
  <c r="M330" i="1"/>
  <c r="M333" i="1"/>
  <c r="C19" i="1"/>
  <c r="C20" i="1" s="1"/>
  <c r="I38" i="1"/>
  <c r="M24" i="1"/>
  <c r="AC31" i="1"/>
  <c r="L34" i="1"/>
  <c r="I36" i="1"/>
  <c r="O57" i="1"/>
  <c r="P53" i="1"/>
  <c r="AC66" i="1"/>
  <c r="L338" i="1"/>
  <c r="L336" i="1"/>
  <c r="J347" i="1"/>
  <c r="J40" i="1"/>
  <c r="J50" i="1" s="1"/>
  <c r="J36" i="1"/>
  <c r="H38" i="1"/>
  <c r="K48" i="1"/>
  <c r="O54" i="1"/>
  <c r="L347" i="1"/>
  <c r="M372" i="1"/>
  <c r="L40" i="1"/>
  <c r="H48" i="1"/>
  <c r="H296" i="1" s="1"/>
  <c r="H36" i="1"/>
  <c r="B41" i="1"/>
  <c r="G41" i="1" s="1"/>
  <c r="P54" i="1"/>
  <c r="AB79" i="1"/>
  <c r="N54" i="1"/>
  <c r="I403" i="1"/>
  <c r="I285" i="1"/>
  <c r="K347" i="1"/>
  <c r="K38" i="1"/>
  <c r="G35" i="1"/>
  <c r="J38" i="1"/>
  <c r="I40" i="1"/>
  <c r="I50" i="1" s="1"/>
  <c r="N70" i="1"/>
  <c r="AC74" i="1"/>
  <c r="AB95" i="1"/>
  <c r="L293" i="1"/>
  <c r="L384" i="1" s="1"/>
  <c r="M291" i="1"/>
  <c r="AE165" i="1"/>
  <c r="T164" i="1" s="1"/>
  <c r="AE132" i="1"/>
  <c r="T131" i="1" s="1"/>
  <c r="AE116" i="1"/>
  <c r="AE149" i="1"/>
  <c r="T148" i="1" s="1"/>
  <c r="AE150" i="1"/>
  <c r="T149" i="1" s="1"/>
  <c r="AE133" i="1"/>
  <c r="T132" i="1" s="1"/>
  <c r="AE117" i="1"/>
  <c r="AE100" i="1"/>
  <c r="T99" i="1" s="1"/>
  <c r="N149" i="1"/>
  <c r="V303" i="1"/>
  <c r="T83" i="1"/>
  <c r="L310" i="1"/>
  <c r="L312" i="1" s="1"/>
  <c r="O306" i="1"/>
  <c r="P305" i="1"/>
  <c r="M397" i="1"/>
  <c r="Q308" i="1"/>
  <c r="J289" i="1"/>
  <c r="J398" i="1" s="1"/>
  <c r="M306" i="1"/>
  <c r="M307" i="1" s="1"/>
  <c r="M312" i="1" s="1"/>
  <c r="M373" i="1"/>
  <c r="L451" i="1"/>
  <c r="I338" i="1"/>
  <c r="I336" i="1"/>
  <c r="J338" i="1"/>
  <c r="J336" i="1"/>
  <c r="L335" i="1"/>
  <c r="K335" i="1"/>
  <c r="K338" i="1" s="1"/>
  <c r="K350" i="1"/>
  <c r="L345" i="1" s="1"/>
  <c r="L314" i="1" l="1"/>
  <c r="L35" i="1"/>
  <c r="M400" i="1"/>
  <c r="M366" i="1"/>
  <c r="N323" i="1"/>
  <c r="N300" i="1" s="1"/>
  <c r="N304" i="1" s="1"/>
  <c r="M288" i="1"/>
  <c r="M35" i="1"/>
  <c r="K403" i="1"/>
  <c r="K285" i="1"/>
  <c r="L19" i="1"/>
  <c r="L350" i="1"/>
  <c r="M345" i="1" s="1"/>
  <c r="L353" i="1"/>
  <c r="AB161" i="1"/>
  <c r="N74" i="1"/>
  <c r="K352" i="1"/>
  <c r="K349" i="1"/>
  <c r="K78" i="1"/>
  <c r="AD79" i="1"/>
  <c r="Q78" i="1" s="1"/>
  <c r="N83" i="1"/>
  <c r="L387" i="1"/>
  <c r="L50" i="1"/>
  <c r="J349" i="1"/>
  <c r="J352" i="1"/>
  <c r="Q53" i="1"/>
  <c r="P18" i="1"/>
  <c r="P57" i="1"/>
  <c r="N31" i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I41" i="1"/>
  <c r="I42" i="1"/>
  <c r="I44" i="1" s="1"/>
  <c r="I47" i="1" s="1"/>
  <c r="I52" i="1" s="1"/>
  <c r="N99" i="1"/>
  <c r="K94" i="1"/>
  <c r="AD95" i="1"/>
  <c r="Q94" i="1" s="1"/>
  <c r="J42" i="1"/>
  <c r="J44" i="1" s="1"/>
  <c r="J47" i="1" s="1"/>
  <c r="J52" i="1" s="1"/>
  <c r="J41" i="1"/>
  <c r="R308" i="1"/>
  <c r="Q305" i="1"/>
  <c r="P306" i="1"/>
  <c r="M293" i="1"/>
  <c r="N291" i="1"/>
  <c r="N293" i="1" s="1"/>
  <c r="H42" i="1"/>
  <c r="H44" i="1" s="1"/>
  <c r="H47" i="1" s="1"/>
  <c r="H52" i="1" s="1"/>
  <c r="H41" i="1"/>
  <c r="O58" i="1"/>
  <c r="O61" i="1"/>
  <c r="O65" i="1" s="1"/>
  <c r="O69" i="1" s="1"/>
  <c r="N334" i="1"/>
  <c r="N335" i="1"/>
  <c r="N332" i="1" s="1"/>
  <c r="N333" i="1"/>
  <c r="M335" i="1"/>
  <c r="M338" i="1" s="1"/>
  <c r="AB112" i="1"/>
  <c r="N62" i="1"/>
  <c r="O62" i="1"/>
  <c r="K41" i="1"/>
  <c r="K42" i="1"/>
  <c r="K44" i="1" s="1"/>
  <c r="K47" i="1" s="1"/>
  <c r="K52" i="1" s="1"/>
  <c r="M347" i="1"/>
  <c r="N372" i="1"/>
  <c r="M40" i="1"/>
  <c r="M50" i="1" s="1"/>
  <c r="O28" i="1"/>
  <c r="W303" i="1"/>
  <c r="L352" i="1"/>
  <c r="L349" i="1"/>
  <c r="L360" i="1" s="1"/>
  <c r="M365" i="1" s="1"/>
  <c r="AB128" i="1"/>
  <c r="O66" i="1"/>
  <c r="N66" i="1"/>
  <c r="C21" i="1"/>
  <c r="F21" i="1" s="1"/>
  <c r="B42" i="1"/>
  <c r="M350" i="1" l="1"/>
  <c r="M353" i="1"/>
  <c r="P61" i="1"/>
  <c r="P58" i="1"/>
  <c r="N49" i="1"/>
  <c r="N309" i="1"/>
  <c r="N310" i="1" s="1"/>
  <c r="N307" i="1"/>
  <c r="M363" i="1"/>
  <c r="P28" i="1"/>
  <c r="N344" i="1"/>
  <c r="N346" i="1" s="1"/>
  <c r="N330" i="1"/>
  <c r="S308" i="1"/>
  <c r="K160" i="1"/>
  <c r="N165" i="1"/>
  <c r="AD161" i="1"/>
  <c r="Q160" i="1" s="1"/>
  <c r="M355" i="1"/>
  <c r="M349" i="1"/>
  <c r="M352" i="1"/>
  <c r="O73" i="1"/>
  <c r="O74" i="1" s="1"/>
  <c r="O70" i="1"/>
  <c r="R53" i="1"/>
  <c r="Q57" i="1"/>
  <c r="Q18" i="1"/>
  <c r="Q54" i="1"/>
  <c r="L403" i="1"/>
  <c r="L285" i="1"/>
  <c r="L329" i="1" s="1"/>
  <c r="M19" i="1"/>
  <c r="M48" i="1"/>
  <c r="M36" i="1"/>
  <c r="M38" i="1" s="1"/>
  <c r="L48" i="1"/>
  <c r="L36" i="1"/>
  <c r="L38" i="1" s="1"/>
  <c r="G42" i="1"/>
  <c r="B50" i="1"/>
  <c r="G50" i="1" s="1"/>
  <c r="B49" i="1"/>
  <c r="G49" i="1" s="1"/>
  <c r="AD128" i="1"/>
  <c r="Q127" i="1" s="1"/>
  <c r="T116" i="1"/>
  <c r="Q111" i="1"/>
  <c r="X303" i="1"/>
  <c r="AD112" i="1"/>
  <c r="N116" i="1"/>
  <c r="K111" i="1"/>
  <c r="O334" i="1"/>
  <c r="R305" i="1"/>
  <c r="Q306" i="1"/>
  <c r="M289" i="1"/>
  <c r="C22" i="1"/>
  <c r="F22" i="1" l="1"/>
  <c r="C23" i="1"/>
  <c r="F23" i="1" s="1"/>
  <c r="R306" i="1"/>
  <c r="S305" i="1"/>
  <c r="M41" i="1"/>
  <c r="M42" i="1"/>
  <c r="M44" i="1" s="1"/>
  <c r="M47" i="1" s="1"/>
  <c r="M52" i="1" s="1"/>
  <c r="S53" i="1"/>
  <c r="R57" i="1"/>
  <c r="R18" i="1"/>
  <c r="R54" i="1"/>
  <c r="N363" i="1"/>
  <c r="N345" i="1"/>
  <c r="N366" i="1"/>
  <c r="N23" i="1" s="1"/>
  <c r="N25" i="1" s="1"/>
  <c r="Y303" i="1"/>
  <c r="Q58" i="1"/>
  <c r="Q61" i="1"/>
  <c r="O344" i="1"/>
  <c r="O346" i="1" s="1"/>
  <c r="O330" i="1"/>
  <c r="O333" i="1"/>
  <c r="L42" i="1"/>
  <c r="L41" i="1"/>
  <c r="L388" i="1" s="1"/>
  <c r="T308" i="1"/>
  <c r="N312" i="1"/>
  <c r="M398" i="1"/>
  <c r="N371" i="1"/>
  <c r="N373" i="1" s="1"/>
  <c r="N33" i="1" s="1"/>
  <c r="N34" i="1" s="1"/>
  <c r="B54" i="1"/>
  <c r="B58" i="1" s="1"/>
  <c r="M403" i="1"/>
  <c r="M285" i="1"/>
  <c r="N19" i="1"/>
  <c r="N355" i="1"/>
  <c r="M360" i="1"/>
  <c r="Q28" i="1"/>
  <c r="N287" i="1"/>
  <c r="P65" i="1"/>
  <c r="P62" i="1"/>
  <c r="B193" i="1" l="1"/>
  <c r="B74" i="1"/>
  <c r="G74" i="1" s="1"/>
  <c r="G58" i="1"/>
  <c r="B100" i="1"/>
  <c r="K99" i="1" s="1"/>
  <c r="Q116" i="1" s="1"/>
  <c r="K165" i="1" s="1"/>
  <c r="B66" i="1"/>
  <c r="G66" i="1" s="1"/>
  <c r="O345" i="1"/>
  <c r="O311" i="1"/>
  <c r="AB360" i="1"/>
  <c r="N365" i="1"/>
  <c r="N21" i="1" s="1"/>
  <c r="N24" i="1" s="1"/>
  <c r="M358" i="1"/>
  <c r="M329" i="1"/>
  <c r="B182" i="1"/>
  <c r="B191" i="1" s="1"/>
  <c r="O323" i="1"/>
  <c r="O300" i="1" s="1"/>
  <c r="O304" i="1" s="1"/>
  <c r="N35" i="1"/>
  <c r="N288" i="1"/>
  <c r="P334" i="1"/>
  <c r="O335" i="1"/>
  <c r="O332" i="1" s="1"/>
  <c r="Q65" i="1"/>
  <c r="Q62" i="1"/>
  <c r="Z303" i="1"/>
  <c r="S57" i="1"/>
  <c r="T53" i="1"/>
  <c r="S18" i="1"/>
  <c r="S54" i="1"/>
  <c r="R61" i="1"/>
  <c r="R58" i="1"/>
  <c r="L389" i="1"/>
  <c r="L44" i="1"/>
  <c r="L47" i="1" s="1"/>
  <c r="L52" i="1" s="1"/>
  <c r="N353" i="1"/>
  <c r="N350" i="1"/>
  <c r="P69" i="1"/>
  <c r="P66" i="1"/>
  <c r="N285" i="1"/>
  <c r="N358" i="1" s="1"/>
  <c r="O19" i="1"/>
  <c r="B184" i="1"/>
  <c r="B84" i="1"/>
  <c r="B117" i="1"/>
  <c r="B70" i="1"/>
  <c r="G70" i="1" s="1"/>
  <c r="B62" i="1"/>
  <c r="G62" i="1" s="1"/>
  <c r="G54" i="1"/>
  <c r="S306" i="1"/>
  <c r="T305" i="1"/>
  <c r="R28" i="1"/>
  <c r="U308" i="1"/>
  <c r="C24" i="1"/>
  <c r="V308" i="1" l="1"/>
  <c r="U305" i="1"/>
  <c r="T306" i="1"/>
  <c r="T57" i="1"/>
  <c r="T18" i="1"/>
  <c r="U53" i="1"/>
  <c r="T54" i="1"/>
  <c r="P330" i="1"/>
  <c r="P344" i="1"/>
  <c r="P346" i="1" s="1"/>
  <c r="O353" i="1"/>
  <c r="O350" i="1"/>
  <c r="S28" i="1"/>
  <c r="O285" i="1"/>
  <c r="O358" i="1" s="1"/>
  <c r="P19" i="1"/>
  <c r="R65" i="1"/>
  <c r="R62" i="1"/>
  <c r="S58" i="1"/>
  <c r="S61" i="1"/>
  <c r="P333" i="1"/>
  <c r="N48" i="1"/>
  <c r="N36" i="1"/>
  <c r="P73" i="1"/>
  <c r="P74" i="1" s="1"/>
  <c r="P70" i="1"/>
  <c r="F24" i="1"/>
  <c r="B247" i="1" s="1"/>
  <c r="H247" i="1" s="1"/>
  <c r="C25" i="1"/>
  <c r="Q69" i="1"/>
  <c r="Q66" i="1"/>
  <c r="O49" i="1"/>
  <c r="O309" i="1"/>
  <c r="O310" i="1" s="1"/>
  <c r="O307" i="1"/>
  <c r="O312" i="1" s="1"/>
  <c r="O372" i="1"/>
  <c r="N347" i="1"/>
  <c r="N40" i="1"/>
  <c r="N50" i="1" s="1"/>
  <c r="N38" i="1"/>
  <c r="N289" i="1"/>
  <c r="O371" i="1" s="1"/>
  <c r="O373" i="1" s="1"/>
  <c r="O33" i="1" s="1"/>
  <c r="O34" i="1" s="1"/>
  <c r="B83" i="1"/>
  <c r="K83" i="1"/>
  <c r="K116" i="1" s="1"/>
  <c r="K149" i="1" s="1"/>
  <c r="B86" i="1"/>
  <c r="B119" i="1" s="1"/>
  <c r="P323" i="1" l="1"/>
  <c r="P300" i="1" s="1"/>
  <c r="P304" i="1" s="1"/>
  <c r="O35" i="1"/>
  <c r="O288" i="1"/>
  <c r="N42" i="1"/>
  <c r="N44" i="1" s="1"/>
  <c r="N41" i="1"/>
  <c r="Q73" i="1"/>
  <c r="Q74" i="1" s="1"/>
  <c r="Q70" i="1"/>
  <c r="P285" i="1"/>
  <c r="P358" i="1" s="1"/>
  <c r="Q19" i="1"/>
  <c r="C26" i="1"/>
  <c r="F25" i="1"/>
  <c r="W308" i="1"/>
  <c r="T61" i="1"/>
  <c r="T58" i="1"/>
  <c r="B116" i="1"/>
  <c r="B99" i="1"/>
  <c r="K82" i="1"/>
  <c r="K115" i="1" s="1"/>
  <c r="K148" i="1" s="1"/>
  <c r="N349" i="1"/>
  <c r="N352" i="1"/>
  <c r="Q334" i="1"/>
  <c r="P335" i="1"/>
  <c r="P332" i="1" s="1"/>
  <c r="R69" i="1"/>
  <c r="R66" i="1"/>
  <c r="V53" i="1"/>
  <c r="U57" i="1"/>
  <c r="U18" i="1"/>
  <c r="U54" i="1"/>
  <c r="O287" i="1"/>
  <c r="T28" i="1"/>
  <c r="S65" i="1"/>
  <c r="S62" i="1"/>
  <c r="P345" i="1"/>
  <c r="V305" i="1"/>
  <c r="U306" i="1"/>
  <c r="N360" i="1" l="1"/>
  <c r="O355" i="1"/>
  <c r="O363" i="1"/>
  <c r="X308" i="1"/>
  <c r="U28" i="1"/>
  <c r="U58" i="1"/>
  <c r="U61" i="1"/>
  <c r="R73" i="1"/>
  <c r="R74" i="1" s="1"/>
  <c r="R70" i="1"/>
  <c r="Q344" i="1"/>
  <c r="Q346" i="1" s="1"/>
  <c r="Q330" i="1"/>
  <c r="V306" i="1"/>
  <c r="W305" i="1"/>
  <c r="N45" i="1"/>
  <c r="N47" i="1" s="1"/>
  <c r="N52" i="1" s="1"/>
  <c r="S69" i="1"/>
  <c r="S66" i="1"/>
  <c r="O289" i="1"/>
  <c r="P371" i="1" s="1"/>
  <c r="P311" i="1"/>
  <c r="V57" i="1"/>
  <c r="W53" i="1"/>
  <c r="V18" i="1"/>
  <c r="V54" i="1"/>
  <c r="K98" i="1"/>
  <c r="Q115" i="1" s="1"/>
  <c r="K164" i="1" s="1"/>
  <c r="B102" i="1"/>
  <c r="B105" i="1" s="1"/>
  <c r="T80" i="1" s="1"/>
  <c r="T96" i="1" s="1"/>
  <c r="T146" i="1" s="1"/>
  <c r="T162" i="1" s="1"/>
  <c r="T65" i="1"/>
  <c r="T62" i="1"/>
  <c r="C27" i="1"/>
  <c r="O48" i="1"/>
  <c r="O36" i="1"/>
  <c r="P350" i="1"/>
  <c r="P353" i="1"/>
  <c r="Q333" i="1"/>
  <c r="Q285" i="1"/>
  <c r="Q358" i="1" s="1"/>
  <c r="R19" i="1"/>
  <c r="P49" i="1"/>
  <c r="P309" i="1"/>
  <c r="P310" i="1" s="1"/>
  <c r="P307" i="1"/>
  <c r="N64" i="1" l="1"/>
  <c r="N68" i="1"/>
  <c r="N72" i="1"/>
  <c r="N56" i="1"/>
  <c r="N76" i="1"/>
  <c r="N60" i="1"/>
  <c r="T69" i="1"/>
  <c r="T66" i="1"/>
  <c r="R346" i="1"/>
  <c r="Q345" i="1"/>
  <c r="W57" i="1"/>
  <c r="X53" i="1"/>
  <c r="W18" i="1"/>
  <c r="W54" i="1"/>
  <c r="P287" i="1"/>
  <c r="R285" i="1"/>
  <c r="R358" i="1" s="1"/>
  <c r="S19" i="1"/>
  <c r="F27" i="1"/>
  <c r="C28" i="1"/>
  <c r="V61" i="1"/>
  <c r="V58" i="1"/>
  <c r="V28" i="1"/>
  <c r="R334" i="1"/>
  <c r="R330" i="1" s="1"/>
  <c r="R333" i="1"/>
  <c r="Q335" i="1"/>
  <c r="Q332" i="1" s="1"/>
  <c r="P312" i="1"/>
  <c r="S73" i="1"/>
  <c r="S74" i="1" s="1"/>
  <c r="S70" i="1"/>
  <c r="W306" i="1"/>
  <c r="X305" i="1"/>
  <c r="U65" i="1"/>
  <c r="U62" i="1"/>
  <c r="Y308" i="1"/>
  <c r="O360" i="1"/>
  <c r="O365" i="1"/>
  <c r="O21" i="1" s="1"/>
  <c r="P360" i="1" l="1"/>
  <c r="P365" i="1"/>
  <c r="P21" i="1" s="1"/>
  <c r="O361" i="1"/>
  <c r="O366" i="1" s="1"/>
  <c r="O23" i="1" s="1"/>
  <c r="O25" i="1" s="1"/>
  <c r="F28" i="1"/>
  <c r="C29" i="1"/>
  <c r="P289" i="1"/>
  <c r="Q371" i="1" s="1"/>
  <c r="Q311" i="1"/>
  <c r="Z308" i="1"/>
  <c r="W28" i="1"/>
  <c r="Q350" i="1"/>
  <c r="Q353" i="1"/>
  <c r="T73" i="1"/>
  <c r="T74" i="1" s="1"/>
  <c r="T70" i="1"/>
  <c r="U69" i="1"/>
  <c r="U66" i="1"/>
  <c r="W58" i="1"/>
  <c r="W61" i="1"/>
  <c r="Y305" i="1"/>
  <c r="X306" i="1"/>
  <c r="Q323" i="1"/>
  <c r="Q300" i="1" s="1"/>
  <c r="Q304" i="1" s="1"/>
  <c r="P35" i="1"/>
  <c r="P288" i="1"/>
  <c r="S285" i="1"/>
  <c r="S358" i="1" s="1"/>
  <c r="T19" i="1"/>
  <c r="S334" i="1"/>
  <c r="S330" i="1" s="1"/>
  <c r="O24" i="1"/>
  <c r="V65" i="1"/>
  <c r="V62" i="1"/>
  <c r="X57" i="1"/>
  <c r="Y53" i="1"/>
  <c r="X18" i="1"/>
  <c r="X54" i="1"/>
  <c r="R345" i="1"/>
  <c r="S346" i="1"/>
  <c r="Z53" i="1" l="1"/>
  <c r="Y57" i="1"/>
  <c r="Y18" i="1"/>
  <c r="Y54" i="1"/>
  <c r="X61" i="1"/>
  <c r="X58" i="1"/>
  <c r="O347" i="1"/>
  <c r="P372" i="1"/>
  <c r="P373" i="1" s="1"/>
  <c r="P33" i="1" s="1"/>
  <c r="P34" i="1" s="1"/>
  <c r="P36" i="1" s="1"/>
  <c r="O38" i="1"/>
  <c r="O40" i="1"/>
  <c r="O50" i="1" s="1"/>
  <c r="X28" i="1"/>
  <c r="T285" i="1"/>
  <c r="T358" i="1" s="1"/>
  <c r="U19" i="1"/>
  <c r="P48" i="1"/>
  <c r="Z305" i="1"/>
  <c r="Y306" i="1"/>
  <c r="P24" i="1"/>
  <c r="R353" i="1"/>
  <c r="R350" i="1"/>
  <c r="S345" i="1" s="1"/>
  <c r="T346" i="1"/>
  <c r="V69" i="1"/>
  <c r="V66" i="1"/>
  <c r="S333" i="1"/>
  <c r="Q49" i="1"/>
  <c r="Q309" i="1"/>
  <c r="Q310" i="1" s="1"/>
  <c r="Q307" i="1"/>
  <c r="Q312" i="1" s="1"/>
  <c r="W65" i="1"/>
  <c r="W62" i="1"/>
  <c r="U73" i="1"/>
  <c r="U74" i="1" s="1"/>
  <c r="U70" i="1"/>
  <c r="F29" i="1"/>
  <c r="C30" i="1"/>
  <c r="Q365" i="1"/>
  <c r="Q21" i="1" s="1"/>
  <c r="P361" i="1"/>
  <c r="P366" i="1" s="1"/>
  <c r="P23" i="1" s="1"/>
  <c r="P25" i="1" s="1"/>
  <c r="Q360" i="1"/>
  <c r="P363" i="1"/>
  <c r="S353" i="1" l="1"/>
  <c r="S350" i="1"/>
  <c r="R323" i="1"/>
  <c r="R300" i="1" s="1"/>
  <c r="R304" i="1" s="1"/>
  <c r="Q35" i="1"/>
  <c r="Q288" i="1"/>
  <c r="Z306" i="1"/>
  <c r="F30" i="1"/>
  <c r="C31" i="1"/>
  <c r="V73" i="1"/>
  <c r="V74" i="1" s="1"/>
  <c r="V70" i="1"/>
  <c r="Y28" i="1"/>
  <c r="O41" i="1"/>
  <c r="O42" i="1"/>
  <c r="O44" i="1" s="1"/>
  <c r="X65" i="1"/>
  <c r="X62" i="1"/>
  <c r="Q24" i="1"/>
  <c r="T345" i="1"/>
  <c r="U346" i="1"/>
  <c r="Y58" i="1"/>
  <c r="Y61" i="1"/>
  <c r="P347" i="1"/>
  <c r="Q372" i="1"/>
  <c r="Q373" i="1" s="1"/>
  <c r="Q33" i="1" s="1"/>
  <c r="Q34" i="1" s="1"/>
  <c r="P40" i="1"/>
  <c r="P50" i="1" s="1"/>
  <c r="P38" i="1"/>
  <c r="Q361" i="1"/>
  <c r="Q366" i="1" s="1"/>
  <c r="Q23" i="1" s="1"/>
  <c r="Q25" i="1" s="1"/>
  <c r="R360" i="1"/>
  <c r="R365" i="1"/>
  <c r="R21" i="1" s="1"/>
  <c r="Q287" i="1"/>
  <c r="W69" i="1"/>
  <c r="W66" i="1"/>
  <c r="T333" i="1"/>
  <c r="T334" i="1"/>
  <c r="T330" i="1" s="1"/>
  <c r="U285" i="1"/>
  <c r="U358" i="1" s="1"/>
  <c r="V19" i="1"/>
  <c r="O352" i="1"/>
  <c r="O349" i="1"/>
  <c r="P355" i="1" s="1"/>
  <c r="A80" i="1"/>
  <c r="Z57" i="1"/>
  <c r="Z18" i="1"/>
  <c r="Z54" i="1"/>
  <c r="AB86" i="1" s="1"/>
  <c r="A89" i="1" l="1"/>
  <c r="K88" i="1" s="1"/>
  <c r="A86" i="1"/>
  <c r="A85" i="1"/>
  <c r="K84" i="1" s="1"/>
  <c r="W73" i="1"/>
  <c r="W74" i="1" s="1"/>
  <c r="W70" i="1"/>
  <c r="P352" i="1"/>
  <c r="P349" i="1"/>
  <c r="R49" i="1"/>
  <c r="R309" i="1"/>
  <c r="R310" i="1" s="1"/>
  <c r="R307" i="1"/>
  <c r="V285" i="1"/>
  <c r="V358" i="1" s="1"/>
  <c r="W19" i="1"/>
  <c r="S360" i="1"/>
  <c r="S365" i="1"/>
  <c r="S21" i="1" s="1"/>
  <c r="R361" i="1"/>
  <c r="R366" i="1" s="1"/>
  <c r="R23" i="1" s="1"/>
  <c r="R25" i="1" s="1"/>
  <c r="Q36" i="1"/>
  <c r="Q38" i="1" s="1"/>
  <c r="Q48" i="1"/>
  <c r="N85" i="1"/>
  <c r="U85" i="1"/>
  <c r="Q289" i="1"/>
  <c r="R371" i="1" s="1"/>
  <c r="R287" i="1"/>
  <c r="R311" i="1"/>
  <c r="P42" i="1"/>
  <c r="P44" i="1" s="1"/>
  <c r="P41" i="1"/>
  <c r="Y65" i="1"/>
  <c r="Y62" i="1"/>
  <c r="V346" i="1"/>
  <c r="X69" i="1"/>
  <c r="X66" i="1"/>
  <c r="Z28" i="1"/>
  <c r="Z61" i="1"/>
  <c r="Z58" i="1"/>
  <c r="AB102" i="1" s="1"/>
  <c r="Q347" i="1"/>
  <c r="R372" i="1"/>
  <c r="Q40" i="1"/>
  <c r="Q50" i="1" s="1"/>
  <c r="U334" i="1"/>
  <c r="U330" i="1" s="1"/>
  <c r="U333" i="1"/>
  <c r="T350" i="1"/>
  <c r="U345" i="1" s="1"/>
  <c r="T353" i="1"/>
  <c r="O47" i="1"/>
  <c r="O52" i="1" s="1"/>
  <c r="O45" i="1"/>
  <c r="F31" i="1"/>
  <c r="C32" i="1"/>
  <c r="Q41" i="1" l="1"/>
  <c r="Q42" i="1"/>
  <c r="Q44" i="1" s="1"/>
  <c r="U350" i="1"/>
  <c r="U353" i="1"/>
  <c r="R24" i="1"/>
  <c r="Z65" i="1"/>
  <c r="Z62" i="1"/>
  <c r="AB119" i="1" s="1"/>
  <c r="AD119" i="1" s="1"/>
  <c r="X73" i="1"/>
  <c r="X74" i="1" s="1"/>
  <c r="X70" i="1"/>
  <c r="R312" i="1"/>
  <c r="N118" i="1"/>
  <c r="Q355" i="1"/>
  <c r="Q363" i="1"/>
  <c r="K100" i="1"/>
  <c r="Q117" i="1" s="1"/>
  <c r="K166" i="1" s="1"/>
  <c r="K117" i="1"/>
  <c r="K150" i="1" s="1"/>
  <c r="U101" i="1"/>
  <c r="N101" i="1"/>
  <c r="P45" i="1"/>
  <c r="P47" i="1" s="1"/>
  <c r="P52" i="1" s="1"/>
  <c r="O68" i="1"/>
  <c r="O72" i="1"/>
  <c r="O76" i="1"/>
  <c r="O60" i="1"/>
  <c r="O64" i="1"/>
  <c r="O56" i="1"/>
  <c r="V334" i="1"/>
  <c r="V330" i="1" s="1"/>
  <c r="Y69" i="1"/>
  <c r="Y66" i="1"/>
  <c r="S311" i="1"/>
  <c r="T360" i="1"/>
  <c r="T365" i="1"/>
  <c r="T21" i="1" s="1"/>
  <c r="S361" i="1"/>
  <c r="S366" i="1" s="1"/>
  <c r="S23" i="1" s="1"/>
  <c r="S25" i="1" s="1"/>
  <c r="A102" i="1"/>
  <c r="K101" i="1" s="1"/>
  <c r="K85" i="1"/>
  <c r="V345" i="1"/>
  <c r="W346" i="1"/>
  <c r="F32" i="1"/>
  <c r="C33" i="1"/>
  <c r="Q349" i="1"/>
  <c r="Q352" i="1"/>
  <c r="R373" i="1"/>
  <c r="R33" i="1" s="1"/>
  <c r="R34" i="1" s="1"/>
  <c r="W285" i="1"/>
  <c r="W358" i="1" s="1"/>
  <c r="X19" i="1"/>
  <c r="K121" i="1"/>
  <c r="K154" i="1" s="1"/>
  <c r="K104" i="1"/>
  <c r="Q121" i="1" s="1"/>
  <c r="K170" i="1" s="1"/>
  <c r="Q88" i="1"/>
  <c r="P72" i="1" l="1"/>
  <c r="P56" i="1"/>
  <c r="P76" i="1"/>
  <c r="P64" i="1"/>
  <c r="P68" i="1"/>
  <c r="P60" i="1"/>
  <c r="X285" i="1"/>
  <c r="X358" i="1" s="1"/>
  <c r="Y19" i="1"/>
  <c r="U365" i="1"/>
  <c r="U21" i="1" s="1"/>
  <c r="T361" i="1"/>
  <c r="T366" i="1" s="1"/>
  <c r="T23" i="1" s="1"/>
  <c r="T25" i="1" s="1"/>
  <c r="U360" i="1"/>
  <c r="Q104" i="1"/>
  <c r="Q170" i="1"/>
  <c r="Q137" i="1"/>
  <c r="Q154" i="1"/>
  <c r="X346" i="1"/>
  <c r="Q118" i="1"/>
  <c r="Q101" i="1"/>
  <c r="Y73" i="1"/>
  <c r="Y74" i="1" s="1"/>
  <c r="Y70" i="1"/>
  <c r="T118" i="1"/>
  <c r="K118" i="1"/>
  <c r="K151" i="1" s="1"/>
  <c r="Q151" i="1" s="1"/>
  <c r="Q85" i="1"/>
  <c r="F33" i="1"/>
  <c r="C34" i="1"/>
  <c r="V353" i="1"/>
  <c r="V350" i="1"/>
  <c r="W345" i="1" s="1"/>
  <c r="U134" i="1"/>
  <c r="S323" i="1"/>
  <c r="S300" i="1" s="1"/>
  <c r="S304" i="1" s="1"/>
  <c r="R35" i="1"/>
  <c r="R288" i="1"/>
  <c r="Z69" i="1"/>
  <c r="Z66" i="1"/>
  <c r="AB135" i="1" s="1"/>
  <c r="AD135" i="1" s="1"/>
  <c r="Q45" i="1"/>
  <c r="Q47" i="1" s="1"/>
  <c r="Q52" i="1" s="1"/>
  <c r="Q348" i="1"/>
  <c r="R355" i="1"/>
  <c r="R363" i="1"/>
  <c r="T24" i="1"/>
  <c r="V333" i="1"/>
  <c r="S24" i="1"/>
  <c r="S372" i="1"/>
  <c r="R347" i="1"/>
  <c r="R40" i="1"/>
  <c r="R50" i="1" s="1"/>
  <c r="W350" i="1" l="1"/>
  <c r="Q76" i="1"/>
  <c r="Q60" i="1"/>
  <c r="Q64" i="1"/>
  <c r="Q68" i="1"/>
  <c r="Q72" i="1"/>
  <c r="Q56" i="1"/>
  <c r="S49" i="1"/>
  <c r="S309" i="1"/>
  <c r="S310" i="1" s="1"/>
  <c r="S307" i="1"/>
  <c r="S312" i="1" s="1"/>
  <c r="S287" i="1"/>
  <c r="Q134" i="1"/>
  <c r="K167" i="1"/>
  <c r="Q167" i="1" s="1"/>
  <c r="Y285" i="1"/>
  <c r="Y358" i="1" s="1"/>
  <c r="Z19" i="1"/>
  <c r="R349" i="1"/>
  <c r="R352" i="1"/>
  <c r="W334" i="1"/>
  <c r="W330" i="1" s="1"/>
  <c r="Z73" i="1"/>
  <c r="Z74" i="1" s="1"/>
  <c r="Z70" i="1"/>
  <c r="X345" i="1"/>
  <c r="Y346" i="1"/>
  <c r="U361" i="1"/>
  <c r="U366" i="1" s="1"/>
  <c r="U23" i="1" s="1"/>
  <c r="U25" i="1" s="1"/>
  <c r="V360" i="1"/>
  <c r="V365" i="1"/>
  <c r="V21" i="1" s="1"/>
  <c r="S288" i="1"/>
  <c r="R289" i="1"/>
  <c r="S371" i="1" s="1"/>
  <c r="S373" i="1" s="1"/>
  <c r="S33" i="1" s="1"/>
  <c r="S34" i="1" s="1"/>
  <c r="T347" i="1"/>
  <c r="U372" i="1"/>
  <c r="T40" i="1"/>
  <c r="T50" i="1" s="1"/>
  <c r="S347" i="1"/>
  <c r="T372" i="1"/>
  <c r="S40" i="1"/>
  <c r="S50" i="1" s="1"/>
  <c r="R48" i="1"/>
  <c r="R36" i="1"/>
  <c r="R38" i="1" s="1"/>
  <c r="F34" i="1"/>
  <c r="C35" i="1"/>
  <c r="F35" i="1" l="1"/>
  <c r="C36" i="1"/>
  <c r="Z285" i="1"/>
  <c r="AA19" i="1"/>
  <c r="T323" i="1"/>
  <c r="T300" i="1" s="1"/>
  <c r="T304" i="1" s="1"/>
  <c r="S35" i="1"/>
  <c r="R42" i="1"/>
  <c r="R44" i="1" s="1"/>
  <c r="R41" i="1"/>
  <c r="Z346" i="1"/>
  <c r="AB152" i="1"/>
  <c r="AB168" i="1"/>
  <c r="AD168" i="1" s="1"/>
  <c r="U167" i="1" s="1"/>
  <c r="S289" i="1"/>
  <c r="T371" i="1" s="1"/>
  <c r="T373" i="1" s="1"/>
  <c r="T33" i="1" s="1"/>
  <c r="T34" i="1" s="1"/>
  <c r="T311" i="1"/>
  <c r="W333" i="1"/>
  <c r="U24" i="1"/>
  <c r="S352" i="1"/>
  <c r="S349" i="1"/>
  <c r="T352" i="1"/>
  <c r="T349" i="1"/>
  <c r="W360" i="1"/>
  <c r="W365" i="1"/>
  <c r="W21" i="1" s="1"/>
  <c r="V361" i="1"/>
  <c r="V366" i="1" s="1"/>
  <c r="V23" i="1" s="1"/>
  <c r="V25" i="1" s="1"/>
  <c r="X350" i="1"/>
  <c r="Y345" i="1" s="1"/>
  <c r="S355" i="1"/>
  <c r="S363" i="1"/>
  <c r="Y350" i="1" l="1"/>
  <c r="N151" i="1"/>
  <c r="AD152" i="1"/>
  <c r="U151" i="1" s="1"/>
  <c r="V24" i="1"/>
  <c r="S48" i="1"/>
  <c r="S36" i="1"/>
  <c r="S38" i="1" s="1"/>
  <c r="W24" i="1"/>
  <c r="T355" i="1"/>
  <c r="T363" i="1"/>
  <c r="X334" i="1"/>
  <c r="X330" i="1" s="1"/>
  <c r="W353" i="1"/>
  <c r="T49" i="1"/>
  <c r="T309" i="1"/>
  <c r="T307" i="1"/>
  <c r="Z358" i="1"/>
  <c r="AA285" i="1"/>
  <c r="X360" i="1"/>
  <c r="X365" i="1"/>
  <c r="X21" i="1" s="1"/>
  <c r="W361" i="1"/>
  <c r="W366" i="1" s="1"/>
  <c r="W23" i="1" s="1"/>
  <c r="W25" i="1" s="1"/>
  <c r="R45" i="1"/>
  <c r="R47" i="1" s="1"/>
  <c r="R52" i="1" s="1"/>
  <c r="C37" i="1"/>
  <c r="C38" i="1" s="1"/>
  <c r="F36" i="1"/>
  <c r="U355" i="1"/>
  <c r="T348" i="1"/>
  <c r="U363" i="1"/>
  <c r="U347" i="1"/>
  <c r="V372" i="1"/>
  <c r="U40" i="1"/>
  <c r="U50" i="1" s="1"/>
  <c r="Z345" i="1"/>
  <c r="R64" i="1" l="1"/>
  <c r="R68" i="1"/>
  <c r="R72" i="1"/>
  <c r="R56" i="1"/>
  <c r="R60" i="1"/>
  <c r="R76" i="1"/>
  <c r="C39" i="1"/>
  <c r="C40" i="1" s="1"/>
  <c r="F38" i="1"/>
  <c r="B248" i="1" s="1"/>
  <c r="Y365" i="1"/>
  <c r="Y21" i="1" s="1"/>
  <c r="X361" i="1"/>
  <c r="X366" i="1" s="1"/>
  <c r="X23" i="1" s="1"/>
  <c r="X25" i="1" s="1"/>
  <c r="Y360" i="1"/>
  <c r="AC360" i="1"/>
  <c r="T310" i="1"/>
  <c r="T312" i="1" s="1"/>
  <c r="T287" i="1"/>
  <c r="X333" i="1"/>
  <c r="S41" i="1"/>
  <c r="S42" i="1"/>
  <c r="S44" i="1" s="1"/>
  <c r="N167" i="1"/>
  <c r="Z350" i="1"/>
  <c r="X24" i="1"/>
  <c r="W347" i="1"/>
  <c r="X372" i="1"/>
  <c r="W40" i="1"/>
  <c r="W50" i="1" s="1"/>
  <c r="U349" i="1"/>
  <c r="U352" i="1"/>
  <c r="W372" i="1"/>
  <c r="V347" i="1"/>
  <c r="V40" i="1"/>
  <c r="V50" i="1" s="1"/>
  <c r="T35" i="1" l="1"/>
  <c r="T288" i="1"/>
  <c r="T289" i="1"/>
  <c r="U371" i="1" s="1"/>
  <c r="U373" i="1" s="1"/>
  <c r="U33" i="1" s="1"/>
  <c r="U34" i="1" s="1"/>
  <c r="U304" i="1"/>
  <c r="U311" i="1"/>
  <c r="F40" i="1"/>
  <c r="C41" i="1"/>
  <c r="S47" i="1"/>
  <c r="S52" i="1" s="1"/>
  <c r="S45" i="1"/>
  <c r="Y24" i="1"/>
  <c r="V349" i="1"/>
  <c r="V352" i="1"/>
  <c r="X347" i="1"/>
  <c r="Y372" i="1"/>
  <c r="X40" i="1"/>
  <c r="X50" i="1" s="1"/>
  <c r="V355" i="1"/>
  <c r="V363" i="1"/>
  <c r="W352" i="1"/>
  <c r="W349" i="1"/>
  <c r="Y334" i="1"/>
  <c r="Y330" i="1" s="1"/>
  <c r="Y333" i="1"/>
  <c r="X353" i="1"/>
  <c r="Y361" i="1"/>
  <c r="Y366" i="1" s="1"/>
  <c r="Y23" i="1" s="1"/>
  <c r="Y25" i="1" s="1"/>
  <c r="Z360" i="1"/>
  <c r="Z361" i="1" s="1"/>
  <c r="Z366" i="1" s="1"/>
  <c r="Z23" i="1" s="1"/>
  <c r="Z25" i="1" s="1"/>
  <c r="Z365" i="1"/>
  <c r="Z21" i="1" s="1"/>
  <c r="Z24" i="1" s="1"/>
  <c r="H248" i="1"/>
  <c r="B249" i="1"/>
  <c r="H249" i="1" s="1"/>
  <c r="Z347" i="1" l="1"/>
  <c r="Z40" i="1"/>
  <c r="Z50" i="1" s="1"/>
  <c r="Y347" i="1"/>
  <c r="Z372" i="1"/>
  <c r="Y40" i="1"/>
  <c r="Y50" i="1" s="1"/>
  <c r="X352" i="1"/>
  <c r="X349" i="1"/>
  <c r="Z334" i="1"/>
  <c r="Z330" i="1" s="1"/>
  <c r="Z333" i="1"/>
  <c r="Z353" i="1" s="1"/>
  <c r="Y353" i="1"/>
  <c r="X355" i="1"/>
  <c r="X363" i="1"/>
  <c r="S68" i="1"/>
  <c r="S72" i="1"/>
  <c r="S76" i="1"/>
  <c r="S60" i="1"/>
  <c r="S56" i="1"/>
  <c r="S64" i="1"/>
  <c r="U49" i="1"/>
  <c r="U309" i="1"/>
  <c r="U310" i="1" s="1"/>
  <c r="U307" i="1"/>
  <c r="U312" i="1" s="1"/>
  <c r="W355" i="1"/>
  <c r="W363" i="1"/>
  <c r="F41" i="1"/>
  <c r="C42" i="1"/>
  <c r="T48" i="1"/>
  <c r="T36" i="1"/>
  <c r="T38" i="1" s="1"/>
  <c r="U35" i="1" l="1"/>
  <c r="U288" i="1"/>
  <c r="T42" i="1"/>
  <c r="T44" i="1" s="1"/>
  <c r="T41" i="1"/>
  <c r="Y349" i="1"/>
  <c r="Y352" i="1"/>
  <c r="U287" i="1"/>
  <c r="C43" i="1"/>
  <c r="C44" i="1" s="1"/>
  <c r="F42" i="1"/>
  <c r="Y355" i="1"/>
  <c r="Y363" i="1"/>
  <c r="Z349" i="1"/>
  <c r="Z352" i="1"/>
  <c r="F44" i="1" l="1"/>
  <c r="C45" i="1"/>
  <c r="U289" i="1"/>
  <c r="V371" i="1" s="1"/>
  <c r="V373" i="1" s="1"/>
  <c r="V33" i="1" s="1"/>
  <c r="V34" i="1" s="1"/>
  <c r="V304" i="1"/>
  <c r="V311" i="1"/>
  <c r="T45" i="1"/>
  <c r="T47" i="1"/>
  <c r="T52" i="1" s="1"/>
  <c r="Z355" i="1"/>
  <c r="Z363" i="1"/>
  <c r="U48" i="1"/>
  <c r="U36" i="1"/>
  <c r="U38" i="1" s="1"/>
  <c r="T72" i="1" l="1"/>
  <c r="T56" i="1"/>
  <c r="T76" i="1"/>
  <c r="T64" i="1"/>
  <c r="T68" i="1"/>
  <c r="T60" i="1"/>
  <c r="C46" i="1"/>
  <c r="C47" i="1" s="1"/>
  <c r="F45" i="1"/>
  <c r="U41" i="1"/>
  <c r="U42" i="1"/>
  <c r="U44" i="1" s="1"/>
  <c r="V49" i="1"/>
  <c r="V309" i="1"/>
  <c r="V307" i="1"/>
  <c r="F47" i="1" l="1"/>
  <c r="C48" i="1"/>
  <c r="U47" i="1"/>
  <c r="U52" i="1" s="1"/>
  <c r="U45" i="1"/>
  <c r="V310" i="1"/>
  <c r="V312" i="1" s="1"/>
  <c r="V287" i="1"/>
  <c r="V35" i="1" l="1"/>
  <c r="V288" i="1"/>
  <c r="V289" i="1" s="1"/>
  <c r="W371" i="1" s="1"/>
  <c r="W373" i="1" s="1"/>
  <c r="W33" i="1" s="1"/>
  <c r="W34" i="1" s="1"/>
  <c r="W304" i="1"/>
  <c r="W311" i="1"/>
  <c r="F48" i="1"/>
  <c r="C49" i="1"/>
  <c r="U76" i="1"/>
  <c r="U60" i="1"/>
  <c r="U64" i="1"/>
  <c r="U68" i="1"/>
  <c r="U72" i="1"/>
  <c r="U56" i="1"/>
  <c r="F49" i="1" l="1"/>
  <c r="C50" i="1"/>
  <c r="W49" i="1"/>
  <c r="W309" i="1"/>
  <c r="W307" i="1"/>
  <c r="V48" i="1"/>
  <c r="V36" i="1"/>
  <c r="V38" i="1" s="1"/>
  <c r="C51" i="1" l="1"/>
  <c r="C52" i="1" s="1"/>
  <c r="F50" i="1"/>
  <c r="W310" i="1"/>
  <c r="W312" i="1" s="1"/>
  <c r="W287" i="1"/>
  <c r="V42" i="1"/>
  <c r="V44" i="1" s="1"/>
  <c r="V41" i="1"/>
  <c r="W35" i="1" l="1"/>
  <c r="W288" i="1"/>
  <c r="F52" i="1"/>
  <c r="B260" i="1" s="1"/>
  <c r="H260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53" i="1"/>
  <c r="V45" i="1"/>
  <c r="V47" i="1"/>
  <c r="V52" i="1" s="1"/>
  <c r="W289" i="1"/>
  <c r="X371" i="1" s="1"/>
  <c r="X373" i="1" s="1"/>
  <c r="X33" i="1" s="1"/>
  <c r="X34" i="1" s="1"/>
  <c r="X304" i="1"/>
  <c r="X311" i="1"/>
  <c r="V64" i="1" l="1"/>
  <c r="V68" i="1"/>
  <c r="V72" i="1"/>
  <c r="V56" i="1"/>
  <c r="V76" i="1"/>
  <c r="V60" i="1"/>
  <c r="X49" i="1"/>
  <c r="X309" i="1"/>
  <c r="X307" i="1"/>
  <c r="F53" i="1"/>
  <c r="C54" i="1"/>
  <c r="W48" i="1"/>
  <c r="W36" i="1"/>
  <c r="W38" i="1" s="1"/>
  <c r="X312" i="1" l="1"/>
  <c r="X310" i="1"/>
  <c r="X287" i="1"/>
  <c r="W41" i="1"/>
  <c r="W42" i="1"/>
  <c r="W44" i="1" s="1"/>
  <c r="C55" i="1"/>
  <c r="C56" i="1" s="1"/>
  <c r="F54" i="1"/>
  <c r="B261" i="1" s="1"/>
  <c r="H261" i="1" s="1"/>
  <c r="F56" i="1" l="1"/>
  <c r="C57" i="1"/>
  <c r="C58" i="1" s="1"/>
  <c r="X289" i="1"/>
  <c r="Y371" i="1" s="1"/>
  <c r="Y373" i="1" s="1"/>
  <c r="Y33" i="1" s="1"/>
  <c r="Y34" i="1" s="1"/>
  <c r="Y304" i="1"/>
  <c r="Y311" i="1"/>
  <c r="W45" i="1"/>
  <c r="W47" i="1" s="1"/>
  <c r="W52" i="1" s="1"/>
  <c r="X35" i="1"/>
  <c r="X288" i="1"/>
  <c r="W68" i="1" l="1"/>
  <c r="W72" i="1"/>
  <c r="W76" i="1"/>
  <c r="W60" i="1"/>
  <c r="W64" i="1"/>
  <c r="W56" i="1"/>
  <c r="C59" i="1"/>
  <c r="C60" i="1" s="1"/>
  <c r="F58" i="1"/>
  <c r="B262" i="1" s="1"/>
  <c r="H262" i="1" s="1"/>
  <c r="X48" i="1"/>
  <c r="X36" i="1"/>
  <c r="X38" i="1" s="1"/>
  <c r="Y49" i="1"/>
  <c r="Y309" i="1"/>
  <c r="Y307" i="1"/>
  <c r="Y310" i="1" l="1"/>
  <c r="Y312" i="1" s="1"/>
  <c r="Y287" i="1"/>
  <c r="X42" i="1"/>
  <c r="X44" i="1" s="1"/>
  <c r="X41" i="1"/>
  <c r="F60" i="1"/>
  <c r="C61" i="1"/>
  <c r="C62" i="1" s="1"/>
  <c r="Y35" i="1" l="1"/>
  <c r="Y288" i="1"/>
  <c r="C63" i="1"/>
  <c r="C64" i="1" s="1"/>
  <c r="F62" i="1"/>
  <c r="X45" i="1"/>
  <c r="X47" i="1"/>
  <c r="X52" i="1" s="1"/>
  <c r="Y289" i="1"/>
  <c r="Z371" i="1" s="1"/>
  <c r="Z373" i="1" s="1"/>
  <c r="Z33" i="1" s="1"/>
  <c r="Z34" i="1" s="1"/>
  <c r="Z304" i="1"/>
  <c r="Z311" i="1"/>
  <c r="X72" i="1" l="1"/>
  <c r="X56" i="1"/>
  <c r="X76" i="1"/>
  <c r="X64" i="1"/>
  <c r="X60" i="1"/>
  <c r="X68" i="1"/>
  <c r="F64" i="1"/>
  <c r="C65" i="1"/>
  <c r="C66" i="1" s="1"/>
  <c r="Z49" i="1"/>
  <c r="Z309" i="1"/>
  <c r="Z307" i="1"/>
  <c r="Y48" i="1"/>
  <c r="Y36" i="1"/>
  <c r="Y38" i="1" s="1"/>
  <c r="Z310" i="1" l="1"/>
  <c r="Z312" i="1" s="1"/>
  <c r="Z287" i="1"/>
  <c r="Y41" i="1"/>
  <c r="Y42" i="1"/>
  <c r="Y44" i="1" s="1"/>
  <c r="C67" i="1"/>
  <c r="C68" i="1" s="1"/>
  <c r="F66" i="1"/>
  <c r="Z35" i="1" l="1"/>
  <c r="Z288" i="1"/>
  <c r="Z289" i="1" s="1"/>
  <c r="F68" i="1"/>
  <c r="C69" i="1"/>
  <c r="C70" i="1" s="1"/>
  <c r="Y45" i="1"/>
  <c r="Y47" i="1" s="1"/>
  <c r="Y52" i="1" s="1"/>
  <c r="Y76" i="1" l="1"/>
  <c r="Y60" i="1"/>
  <c r="Y64" i="1"/>
  <c r="Y68" i="1"/>
  <c r="Y56" i="1"/>
  <c r="Y72" i="1"/>
  <c r="C71" i="1"/>
  <c r="C72" i="1" s="1"/>
  <c r="F70" i="1"/>
  <c r="Z48" i="1"/>
  <c r="Z36" i="1"/>
  <c r="Z38" i="1" s="1"/>
  <c r="F72" i="1" l="1"/>
  <c r="C73" i="1"/>
  <c r="C74" i="1" s="1"/>
  <c r="Z42" i="1"/>
  <c r="Z41" i="1"/>
  <c r="AD150" i="1" l="1"/>
  <c r="AD84" i="1"/>
  <c r="AD117" i="1"/>
  <c r="AD133" i="1" s="1"/>
  <c r="S132" i="1" s="1"/>
  <c r="U132" i="1" s="1"/>
  <c r="AD116" i="1"/>
  <c r="AD132" i="1" s="1"/>
  <c r="S131" i="1" s="1"/>
  <c r="U131" i="1" s="1"/>
  <c r="U133" i="1" s="1"/>
  <c r="U135" i="1" s="1"/>
  <c r="AD149" i="1"/>
  <c r="AD83" i="1"/>
  <c r="Z44" i="1"/>
  <c r="C75" i="1"/>
  <c r="C76" i="1" s="1"/>
  <c r="F76" i="1" s="1"/>
  <c r="F74" i="1"/>
  <c r="Z45" i="1" l="1"/>
  <c r="Z47" i="1"/>
  <c r="Z52" i="1" s="1"/>
  <c r="AD99" i="1"/>
  <c r="S98" i="1" s="1"/>
  <c r="U98" i="1" s="1"/>
  <c r="S82" i="1"/>
  <c r="U82" i="1" s="1"/>
  <c r="U84" i="1" s="1"/>
  <c r="U86" i="1" s="1"/>
  <c r="S83" i="1"/>
  <c r="U83" i="1" s="1"/>
  <c r="AD100" i="1"/>
  <c r="S99" i="1" s="1"/>
  <c r="U99" i="1" s="1"/>
  <c r="AD165" i="1"/>
  <c r="S164" i="1" s="1"/>
  <c r="U164" i="1" s="1"/>
  <c r="U166" i="1" s="1"/>
  <c r="U168" i="1" s="1"/>
  <c r="S148" i="1"/>
  <c r="U148" i="1" s="1"/>
  <c r="AD166" i="1"/>
  <c r="S165" i="1" s="1"/>
  <c r="U165" i="1" s="1"/>
  <c r="S149" i="1"/>
  <c r="U149" i="1" s="1"/>
  <c r="U100" i="1" l="1"/>
  <c r="U102" i="1" s="1"/>
  <c r="Z64" i="1"/>
  <c r="AB64" i="1" s="1"/>
  <c r="AB52" i="1"/>
  <c r="Z68" i="1"/>
  <c r="AB68" i="1" s="1"/>
  <c r="Z72" i="1"/>
  <c r="AB72" i="1" s="1"/>
  <c r="Z56" i="1"/>
  <c r="AB56" i="1" s="1"/>
  <c r="Z76" i="1"/>
  <c r="AB76" i="1" s="1"/>
  <c r="Z60" i="1"/>
  <c r="AB60" i="1" s="1"/>
  <c r="U150" i="1"/>
  <c r="U152" i="1" s="1"/>
  <c r="AB89" i="1" l="1"/>
  <c r="AB122" i="1"/>
  <c r="AB99" i="1"/>
  <c r="N98" i="1" s="1"/>
  <c r="N100" i="1" s="1"/>
  <c r="N102" i="1" s="1"/>
  <c r="AB165" i="1"/>
  <c r="N164" i="1" s="1"/>
  <c r="N166" i="1" s="1"/>
  <c r="N168" i="1" s="1"/>
  <c r="AB149" i="1"/>
  <c r="N148" i="1" s="1"/>
  <c r="N150" i="1" s="1"/>
  <c r="N152" i="1" s="1"/>
  <c r="AB132" i="1"/>
  <c r="T115" i="1" s="1"/>
  <c r="T117" i="1" s="1"/>
  <c r="T119" i="1" s="1"/>
  <c r="AB116" i="1"/>
  <c r="N115" i="1" s="1"/>
  <c r="N117" i="1" s="1"/>
  <c r="N119" i="1" s="1"/>
  <c r="AB83" i="1"/>
  <c r="N82" i="1" s="1"/>
  <c r="N84" i="1" s="1"/>
  <c r="N86" i="1" s="1"/>
  <c r="AB171" i="1"/>
  <c r="AB155" i="1"/>
  <c r="AB138" i="1"/>
  <c r="AB105" i="1"/>
  <c r="AD171" i="1" l="1"/>
  <c r="U170" i="1" s="1"/>
  <c r="U172" i="1" s="1"/>
  <c r="N170" i="1"/>
  <c r="N121" i="1"/>
  <c r="AD122" i="1"/>
  <c r="N90" i="1"/>
  <c r="N172" i="1"/>
  <c r="N88" i="1"/>
  <c r="U88" i="1"/>
  <c r="U90" i="1" s="1"/>
  <c r="AD155" i="1"/>
  <c r="U154" i="1" s="1"/>
  <c r="U156" i="1" s="1"/>
  <c r="N154" i="1"/>
  <c r="N156" i="1" s="1"/>
  <c r="U104" i="1"/>
  <c r="U106" i="1" s="1"/>
  <c r="N104" i="1"/>
  <c r="N106" i="1" s="1"/>
  <c r="AD138" i="1"/>
  <c r="T121" i="1"/>
  <c r="T123" i="1" s="1"/>
  <c r="U137" i="1"/>
  <c r="U139" i="1" s="1"/>
  <c r="N123" i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<sst xmlns="http://schemas.openxmlformats.org/spreadsheetml/2006/main" count="332" uniqueCount="182">
  <si>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</si>
  <si>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</si>
  <si>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</si>
  <si>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</si>
  <si>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</si>
  <si>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</si>
  <si>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</si>
  <si>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</si>
  <si>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</si>
  <si>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</si>
  <si>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</si>
  <si>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IOU</t>
  </si>
  <si>
    <t>flag</t>
  </si>
  <si>
    <t>Income Approach</t>
  </si>
  <si>
    <t>Township of Mahoning Sewer System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</si>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</sst>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38" fontId="5" fillId="0" borderId="7" xfId="0" applyNumberFormat="1" applyFont="1" applyFill="1" applyBorder="1"/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5.0000000000000001E-3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1.7999999999999999E-2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5.0000000000000001E-3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Sewer System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19"/>
      <c r="O12" s="19"/>
      <c r="P12" s="19"/>
      <c r="Q12" s="19"/>
      <c r="R12" s="19"/>
      <c r="U12" s="14" t="str">
        <f t="shared" si="0"/>
        <v>Pro Forma and Estimted Operations With IOU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1115704</v>
      </c>
      <c r="L21" s="38">
        <f>$K21*(1+(((0*0.1)+(1*0.15))*(3/12)))</f>
        <v>1157542.9000000001</v>
      </c>
      <c r="M21" s="39">
        <f>$K21*(1+(((0*0.1)+(1*0.15))*(12/12)))</f>
        <v>1283059.5999999999</v>
      </c>
      <c r="N21" s="39">
        <f t="shared" ref="N21:O21" si="4">+N365</f>
        <v>1321737</v>
      </c>
      <c r="O21" s="39">
        <f t="shared" si="4"/>
        <v>1360492</v>
      </c>
      <c r="P21" s="39">
        <f>+P365</f>
        <v>1366977</v>
      </c>
      <c r="Q21" s="39">
        <f t="shared" ref="Q21:Z21" si="5">+Q365</f>
        <v>1771766</v>
      </c>
      <c r="R21" s="39">
        <f t="shared" si="5"/>
        <v>1780389</v>
      </c>
      <c r="S21" s="39">
        <f t="shared" si="5"/>
        <v>1789291</v>
      </c>
      <c r="T21" s="39">
        <f t="shared" si="5"/>
        <v>1861175</v>
      </c>
      <c r="U21" s="39">
        <f t="shared" si="5"/>
        <v>1870481</v>
      </c>
      <c r="V21" s="39">
        <f t="shared" si="5"/>
        <v>1879834</v>
      </c>
      <c r="W21" s="39">
        <f t="shared" si="5"/>
        <v>1955356</v>
      </c>
      <c r="X21" s="39">
        <f t="shared" si="5"/>
        <v>1965133</v>
      </c>
      <c r="Y21" s="39">
        <f t="shared" si="5"/>
        <v>1974958</v>
      </c>
      <c r="Z21" s="39">
        <f t="shared" si="5"/>
        <v>2054302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35512</v>
      </c>
      <c r="L22" s="38">
        <f>+K22</f>
        <v>35512</v>
      </c>
      <c r="M22" s="38">
        <f>+L22</f>
        <v>35512</v>
      </c>
      <c r="N22" s="38">
        <f t="shared" ref="N22:Z22" si="6">+M22</f>
        <v>35512</v>
      </c>
      <c r="O22" s="38">
        <f t="shared" si="6"/>
        <v>35512</v>
      </c>
      <c r="P22" s="38">
        <f t="shared" si="6"/>
        <v>35512</v>
      </c>
      <c r="Q22" s="38">
        <f t="shared" si="6"/>
        <v>35512</v>
      </c>
      <c r="R22" s="38">
        <f t="shared" si="6"/>
        <v>35512</v>
      </c>
      <c r="S22" s="38">
        <f t="shared" si="6"/>
        <v>35512</v>
      </c>
      <c r="T22" s="38">
        <f t="shared" si="6"/>
        <v>35512</v>
      </c>
      <c r="U22" s="38">
        <f t="shared" si="6"/>
        <v>35512</v>
      </c>
      <c r="V22" s="38">
        <f t="shared" si="6"/>
        <v>35512</v>
      </c>
      <c r="W22" s="38">
        <f t="shared" si="6"/>
        <v>35512</v>
      </c>
      <c r="X22" s="38">
        <f t="shared" si="6"/>
        <v>35512</v>
      </c>
      <c r="Y22" s="38">
        <f t="shared" si="6"/>
        <v>35512</v>
      </c>
      <c r="Z22" s="38">
        <f t="shared" si="6"/>
        <v>35512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396423</v>
      </c>
      <c r="Q23" s="38">
        <f t="shared" ref="Q23:Z23" si="8">+Q366</f>
        <v>0</v>
      </c>
      <c r="R23" s="38">
        <f t="shared" si="8"/>
        <v>0</v>
      </c>
      <c r="S23" s="38">
        <f t="shared" si="8"/>
        <v>62625</v>
      </c>
      <c r="T23" s="38">
        <f t="shared" si="8"/>
        <v>0</v>
      </c>
      <c r="U23" s="38">
        <f t="shared" si="8"/>
        <v>0</v>
      </c>
      <c r="V23" s="38">
        <f t="shared" si="8"/>
        <v>65794</v>
      </c>
      <c r="W23" s="38">
        <f t="shared" si="8"/>
        <v>0</v>
      </c>
      <c r="X23" s="38">
        <f t="shared" si="8"/>
        <v>0</v>
      </c>
      <c r="Y23" s="38">
        <f t="shared" si="8"/>
        <v>69124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Z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1151216</v>
      </c>
      <c r="L24" s="41">
        <f t="shared" si="9"/>
        <v>1193054.9000000001</v>
      </c>
      <c r="M24" s="41">
        <f t="shared" si="9"/>
        <v>1318571.5999999999</v>
      </c>
      <c r="N24" s="41">
        <f t="shared" si="9"/>
        <v>1357249</v>
      </c>
      <c r="O24" s="41">
        <f t="shared" si="9"/>
        <v>1396004</v>
      </c>
      <c r="P24" s="41">
        <f t="shared" si="9"/>
        <v>1798912</v>
      </c>
      <c r="Q24" s="41">
        <f t="shared" si="9"/>
        <v>1807278</v>
      </c>
      <c r="R24" s="41">
        <f t="shared" si="9"/>
        <v>1815901</v>
      </c>
      <c r="S24" s="41">
        <f t="shared" si="9"/>
        <v>1887428</v>
      </c>
      <c r="T24" s="41">
        <f t="shared" si="9"/>
        <v>1896687</v>
      </c>
      <c r="U24" s="41">
        <f t="shared" si="9"/>
        <v>1905993</v>
      </c>
      <c r="V24" s="41">
        <f t="shared" si="9"/>
        <v>1981140</v>
      </c>
      <c r="W24" s="41">
        <f t="shared" si="9"/>
        <v>1990868</v>
      </c>
      <c r="X24" s="41">
        <f t="shared" si="9"/>
        <v>2000645</v>
      </c>
      <c r="Y24" s="41">
        <f t="shared" si="9"/>
        <v>2079594</v>
      </c>
      <c r="Z24" s="41">
        <f t="shared" si="9"/>
        <v>2089814</v>
      </c>
      <c r="AA24" s="41">
        <f t="shared" ref="AA24" si="10">SUM(AA21:AA23)</f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1">IF(N23&gt;0,+N23/N21,"")</f>
        <v/>
      </c>
      <c r="O25" s="45" t="str">
        <f t="shared" si="11"/>
        <v/>
      </c>
      <c r="P25" s="45">
        <f t="shared" si="11"/>
        <v>0.28999975859140276</v>
      </c>
      <c r="Q25" s="45" t="str">
        <f t="shared" si="11"/>
        <v/>
      </c>
      <c r="R25" s="45" t="str">
        <f t="shared" si="11"/>
        <v/>
      </c>
      <c r="S25" s="45">
        <f t="shared" si="11"/>
        <v>3.4999896607091859E-2</v>
      </c>
      <c r="T25" s="45" t="str">
        <f t="shared" si="11"/>
        <v/>
      </c>
      <c r="U25" s="45" t="str">
        <f t="shared" si="11"/>
        <v/>
      </c>
      <c r="V25" s="45">
        <f t="shared" si="11"/>
        <v>3.4999898927245705E-2</v>
      </c>
      <c r="W25" s="45" t="str">
        <f t="shared" si="11"/>
        <v/>
      </c>
      <c r="X25" s="45" t="str">
        <f t="shared" si="11"/>
        <v/>
      </c>
      <c r="Y25" s="45">
        <f t="shared" si="11"/>
        <v>3.5000237979744379E-2</v>
      </c>
      <c r="Z25" s="45" t="str">
        <f t="shared" si="11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1339822</v>
      </c>
      <c r="L28" s="38">
        <f t="shared" ref="L28:Z28" si="12">+K28*(1+$AC28)</f>
        <v>1366618.44</v>
      </c>
      <c r="M28" s="38">
        <f t="shared" si="12"/>
        <v>1393950.8088</v>
      </c>
      <c r="N28" s="38">
        <f t="shared" si="12"/>
        <v>1421829.824976</v>
      </c>
      <c r="O28" s="38">
        <f t="shared" si="12"/>
        <v>1450266.4214755201</v>
      </c>
      <c r="P28" s="38">
        <f t="shared" si="12"/>
        <v>1479271.7499050305</v>
      </c>
      <c r="Q28" s="38">
        <f t="shared" si="12"/>
        <v>1508857.1849031311</v>
      </c>
      <c r="R28" s="38">
        <f t="shared" si="12"/>
        <v>1539034.3286011938</v>
      </c>
      <c r="S28" s="38">
        <f t="shared" si="12"/>
        <v>1569815.0151732177</v>
      </c>
      <c r="T28" s="38">
        <f t="shared" si="12"/>
        <v>1601211.315476682</v>
      </c>
      <c r="U28" s="38">
        <f t="shared" si="12"/>
        <v>1633235.5417862157</v>
      </c>
      <c r="V28" s="38">
        <f t="shared" si="12"/>
        <v>1665900.2526219401</v>
      </c>
      <c r="W28" s="38">
        <f t="shared" si="12"/>
        <v>1699218.257674379</v>
      </c>
      <c r="X28" s="38">
        <f t="shared" si="12"/>
        <v>1733202.6228278666</v>
      </c>
      <c r="Y28" s="38">
        <f t="shared" si="12"/>
        <v>1767866.6752844239</v>
      </c>
      <c r="Z28" s="38">
        <f t="shared" si="12"/>
        <v>1803224.0087901123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-17375.901429599999</v>
      </c>
      <c r="O30" s="38">
        <f t="shared" ref="O30:Z32" si="13">+N30*(1+$AC30)</f>
        <v>-17723.419458191998</v>
      </c>
      <c r="P30" s="38">
        <f t="shared" si="13"/>
        <v>-18077.88784735584</v>
      </c>
      <c r="Q30" s="38">
        <f t="shared" si="13"/>
        <v>-18439.445604302957</v>
      </c>
      <c r="R30" s="38">
        <f t="shared" si="13"/>
        <v>-18808.234516389017</v>
      </c>
      <c r="S30" s="38">
        <f t="shared" si="13"/>
        <v>-19184.399206716796</v>
      </c>
      <c r="T30" s="38">
        <f t="shared" si="13"/>
        <v>-19568.087190851133</v>
      </c>
      <c r="U30" s="38">
        <f t="shared" si="13"/>
        <v>-19959.448934668155</v>
      </c>
      <c r="V30" s="38">
        <f t="shared" si="13"/>
        <v>-20358.637913361519</v>
      </c>
      <c r="W30" s="38">
        <f t="shared" si="13"/>
        <v>-20765.810671628751</v>
      </c>
      <c r="X30" s="38">
        <f t="shared" si="13"/>
        <v>-21181.126885061327</v>
      </c>
      <c r="Y30" s="38">
        <f t="shared" si="13"/>
        <v>-21604.749422762554</v>
      </c>
      <c r="Z30" s="38">
        <f t="shared" si="13"/>
        <v>-22036.844411217804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4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-72607.851359999986</v>
      </c>
      <c r="O31" s="38">
        <f t="shared" si="13"/>
        <v>-74060.008387199981</v>
      </c>
      <c r="P31" s="38">
        <f t="shared" si="13"/>
        <v>-75541.20855494398</v>
      </c>
      <c r="Q31" s="38">
        <f t="shared" si="13"/>
        <v>-77052.03272604286</v>
      </c>
      <c r="R31" s="38">
        <f t="shared" si="13"/>
        <v>-78593.073380563714</v>
      </c>
      <c r="S31" s="38">
        <f t="shared" si="13"/>
        <v>-80164.934848174991</v>
      </c>
      <c r="T31" s="38">
        <f t="shared" si="13"/>
        <v>-81768.233545138486</v>
      </c>
      <c r="U31" s="38">
        <f t="shared" si="13"/>
        <v>-83403.598216041253</v>
      </c>
      <c r="V31" s="38">
        <f t="shared" si="13"/>
        <v>-85071.670180362082</v>
      </c>
      <c r="W31" s="38">
        <f t="shared" si="13"/>
        <v>-86773.103583969321</v>
      </c>
      <c r="X31" s="38">
        <f t="shared" si="13"/>
        <v>-88508.565655648708</v>
      </c>
      <c r="Y31" s="38">
        <f t="shared" si="13"/>
        <v>-90278.736968761688</v>
      </c>
      <c r="Z31" s="38">
        <f t="shared" si="13"/>
        <v>-92084.311708136927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4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-2396.9505096000003</v>
      </c>
      <c r="O32" s="38">
        <f t="shared" si="13"/>
        <v>-2444.8895197920001</v>
      </c>
      <c r="P32" s="38">
        <f t="shared" si="13"/>
        <v>-2493.7873101878399</v>
      </c>
      <c r="Q32" s="38">
        <f t="shared" si="13"/>
        <v>-2543.6630563915969</v>
      </c>
      <c r="R32" s="38">
        <f t="shared" si="13"/>
        <v>-2594.5363175194288</v>
      </c>
      <c r="S32" s="38">
        <f t="shared" si="13"/>
        <v>-2646.4270438698177</v>
      </c>
      <c r="T32" s="38">
        <f t="shared" si="13"/>
        <v>-2699.3555847472139</v>
      </c>
      <c r="U32" s="38">
        <f t="shared" si="13"/>
        <v>-2753.3426964421583</v>
      </c>
      <c r="V32" s="38">
        <f t="shared" si="13"/>
        <v>-2808.4095503710014</v>
      </c>
      <c r="W32" s="38">
        <f t="shared" si="13"/>
        <v>-2864.5777413784213</v>
      </c>
      <c r="X32" s="38">
        <f t="shared" si="13"/>
        <v>-2921.8692962059899</v>
      </c>
      <c r="Y32" s="38">
        <f t="shared" si="13"/>
        <v>-2980.3066821301099</v>
      </c>
      <c r="Z32" s="38">
        <f t="shared" si="13"/>
        <v>-3039.9128157727123</v>
      </c>
      <c r="AA32" s="29"/>
      <c r="AB32" s="29"/>
      <c r="AC32" s="1">
        <f t="shared" ref="AC32" si="15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13</v>
      </c>
      <c r="D33" s="21">
        <f>IF($C$10="IOU",1,0)</f>
        <v>1</v>
      </c>
      <c r="F33" s="31">
        <f t="shared" si="2"/>
        <v>13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12018</v>
      </c>
      <c r="O33" s="38">
        <f>IF($C$10="IOU",+O373,0)</f>
        <v>12232</v>
      </c>
      <c r="P33" s="38">
        <f>IF($C$10="IOU",+P373,0)</f>
        <v>12444</v>
      </c>
      <c r="Q33" s="38">
        <f>IF($C$10="IOU",+Q373,0)</f>
        <v>14730</v>
      </c>
      <c r="R33" s="38">
        <f>IF($C$10="IOU",+R373,0)</f>
        <v>14769</v>
      </c>
      <c r="S33" s="38">
        <f>IF($C$10="IOU",+S373,0)</f>
        <v>14810</v>
      </c>
      <c r="T33" s="38">
        <f>IF($C$10="IOU",+T373,0)</f>
        <v>15209</v>
      </c>
      <c r="U33" s="38">
        <f>IF($C$10="IOU",+U373,0)</f>
        <v>15254</v>
      </c>
      <c r="V33" s="38">
        <f>IF($C$10="IOU",+V373,0)</f>
        <v>15301</v>
      </c>
      <c r="W33" s="38">
        <f>IF($C$10="IOU",+W373,0)</f>
        <v>15723</v>
      </c>
      <c r="X33" s="38">
        <f>IF($C$10="IOU",+X373,0)</f>
        <v>15772</v>
      </c>
      <c r="Y33" s="38">
        <f>IF($C$10="IOU",+Y373,0)</f>
        <v>15821</v>
      </c>
      <c r="Z33" s="38">
        <f>IF($C$10="IOU",+Z373,0)</f>
        <v>16264</v>
      </c>
      <c r="AA33" s="29"/>
      <c r="AB33" s="29"/>
    </row>
    <row r="34" spans="1:28" ht="15" x14ac:dyDescent="0.25">
      <c r="C34" s="30">
        <f>IF(D34=0,C33,IF(ISBLANK(G34),C33,1+MAX(C$18:C33)))</f>
        <v>14</v>
      </c>
      <c r="D34" s="21">
        <v>1</v>
      </c>
      <c r="F34" s="31">
        <f t="shared" si="2"/>
        <v>14</v>
      </c>
      <c r="G34" s="56" t="s">
        <v>41</v>
      </c>
      <c r="H34" s="57">
        <f t="shared" ref="H34:Z34" si="16">SUM(H28:H33)</f>
        <v>0</v>
      </c>
      <c r="I34" s="57">
        <f t="shared" si="16"/>
        <v>0</v>
      </c>
      <c r="J34" s="57">
        <f t="shared" si="16"/>
        <v>0</v>
      </c>
      <c r="K34" s="57">
        <f t="shared" si="16"/>
        <v>1339822</v>
      </c>
      <c r="L34" s="57">
        <f t="shared" si="16"/>
        <v>1366618.44</v>
      </c>
      <c r="M34" s="57">
        <f t="shared" si="16"/>
        <v>1393950.8088</v>
      </c>
      <c r="N34" s="57">
        <f t="shared" si="16"/>
        <v>1341467.1216767998</v>
      </c>
      <c r="O34" s="57">
        <f t="shared" si="16"/>
        <v>1368270.1041103359</v>
      </c>
      <c r="P34" s="57">
        <f t="shared" si="16"/>
        <v>1395602.8661925427</v>
      </c>
      <c r="Q34" s="57">
        <f t="shared" si="16"/>
        <v>1425552.0435163938</v>
      </c>
      <c r="R34" s="57">
        <f t="shared" si="16"/>
        <v>1453807.4843867219</v>
      </c>
      <c r="S34" s="57">
        <f t="shared" si="16"/>
        <v>1482629.2540744562</v>
      </c>
      <c r="T34" s="57">
        <f t="shared" si="16"/>
        <v>1512384.6391559453</v>
      </c>
      <c r="U34" s="57">
        <f t="shared" si="16"/>
        <v>1542373.151939064</v>
      </c>
      <c r="V34" s="57">
        <f t="shared" si="16"/>
        <v>1572962.5349778454</v>
      </c>
      <c r="W34" s="57">
        <f t="shared" si="16"/>
        <v>1604537.7656774025</v>
      </c>
      <c r="X34" s="57">
        <f t="shared" si="16"/>
        <v>1636363.0609909506</v>
      </c>
      <c r="Y34" s="57">
        <f t="shared" si="16"/>
        <v>1668823.8822107695</v>
      </c>
      <c r="Z34" s="57">
        <f t="shared" si="16"/>
        <v>1702326.9398549849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15</v>
      </c>
      <c r="D35" s="21">
        <v>1</v>
      </c>
      <c r="F35" s="31">
        <f t="shared" si="2"/>
        <v>15</v>
      </c>
      <c r="G35" s="26" t="str">
        <f>+A35&amp;" ("&amp;B35&amp;")"</f>
        <v>Depreciation (2)</v>
      </c>
      <c r="H35" s="39">
        <f>+H314</f>
        <v>0</v>
      </c>
      <c r="I35" s="39">
        <f t="shared" ref="I35:J35" si="17">+I314</f>
        <v>0</v>
      </c>
      <c r="J35" s="39">
        <f t="shared" si="17"/>
        <v>0</v>
      </c>
      <c r="K35" s="39">
        <f>+K459</f>
        <v>70773</v>
      </c>
      <c r="L35" s="39">
        <f>+L312</f>
        <v>70773</v>
      </c>
      <c r="M35" s="39">
        <f>+M312</f>
        <v>81865.373399999997</v>
      </c>
      <c r="N35" s="39">
        <f>+N312</f>
        <v>82317.717799999999</v>
      </c>
      <c r="O35" s="39">
        <f t="shared" ref="O35:Z35" si="18">+O312</f>
        <v>83417.015000000014</v>
      </c>
      <c r="P35" s="39">
        <f t="shared" si="18"/>
        <v>84526.843999999997</v>
      </c>
      <c r="Q35" s="39">
        <f t="shared" si="18"/>
        <v>85650.380600000004</v>
      </c>
      <c r="R35" s="39">
        <f t="shared" si="18"/>
        <v>86789.7742</v>
      </c>
      <c r="S35" s="39">
        <f t="shared" si="18"/>
        <v>87944.174200000009</v>
      </c>
      <c r="T35" s="39">
        <f t="shared" si="18"/>
        <v>89113.813000000009</v>
      </c>
      <c r="U35" s="39">
        <f t="shared" si="18"/>
        <v>90307.503400000001</v>
      </c>
      <c r="V35" s="39">
        <f t="shared" si="18"/>
        <v>91528.373800000001</v>
      </c>
      <c r="W35" s="39">
        <f t="shared" si="18"/>
        <v>92764.595200000011</v>
      </c>
      <c r="X35" s="39">
        <f t="shared" si="18"/>
        <v>94018.4</v>
      </c>
      <c r="Y35" s="39">
        <f t="shared" si="18"/>
        <v>95289.020599999989</v>
      </c>
      <c r="Z35" s="39">
        <f t="shared" si="18"/>
        <v>96577.6728</v>
      </c>
      <c r="AA35" s="29"/>
      <c r="AB35" s="29"/>
    </row>
    <row r="36" spans="1:28" ht="15.75" thickBot="1" x14ac:dyDescent="0.3">
      <c r="C36" s="30">
        <f>IF(D36=0,C35,IF(ISBLANK(G36),C35,1+MAX(C$18:C35)))</f>
        <v>16</v>
      </c>
      <c r="D36" s="21">
        <v>1</v>
      </c>
      <c r="F36" s="31">
        <f t="shared" si="2"/>
        <v>16</v>
      </c>
      <c r="G36" s="56" t="s">
        <v>43</v>
      </c>
      <c r="H36" s="41">
        <f t="shared" ref="H36:Z36" si="19">+H35+H34</f>
        <v>0</v>
      </c>
      <c r="I36" s="41">
        <f t="shared" si="19"/>
        <v>0</v>
      </c>
      <c r="J36" s="41">
        <f t="shared" si="19"/>
        <v>0</v>
      </c>
      <c r="K36" s="41">
        <f t="shared" si="19"/>
        <v>1410595</v>
      </c>
      <c r="L36" s="41">
        <f t="shared" si="19"/>
        <v>1437391.44</v>
      </c>
      <c r="M36" s="41">
        <f t="shared" si="19"/>
        <v>1475816.1821999999</v>
      </c>
      <c r="N36" s="41">
        <f t="shared" si="19"/>
        <v>1423784.8394767998</v>
      </c>
      <c r="O36" s="41">
        <f t="shared" si="19"/>
        <v>1451687.1191103361</v>
      </c>
      <c r="P36" s="41">
        <f t="shared" si="19"/>
        <v>1480129.7101925428</v>
      </c>
      <c r="Q36" s="41">
        <f t="shared" si="19"/>
        <v>1511202.4241163938</v>
      </c>
      <c r="R36" s="41">
        <f t="shared" si="19"/>
        <v>1540597.258586722</v>
      </c>
      <c r="S36" s="41">
        <f t="shared" si="19"/>
        <v>1570573.4282744562</v>
      </c>
      <c r="T36" s="41">
        <f t="shared" si="19"/>
        <v>1601498.4521559454</v>
      </c>
      <c r="U36" s="41">
        <f t="shared" si="19"/>
        <v>1632680.6553390641</v>
      </c>
      <c r="V36" s="41">
        <f t="shared" si="19"/>
        <v>1664490.9087778453</v>
      </c>
      <c r="W36" s="41">
        <f t="shared" si="19"/>
        <v>1697302.3608774026</v>
      </c>
      <c r="X36" s="41">
        <f t="shared" si="19"/>
        <v>1730381.4609909505</v>
      </c>
      <c r="Y36" s="41">
        <f t="shared" si="19"/>
        <v>1764112.9028107694</v>
      </c>
      <c r="Z36" s="41">
        <f t="shared" si="19"/>
        <v>1798904.6126549849</v>
      </c>
      <c r="AA36" s="29"/>
      <c r="AB36" s="29"/>
    </row>
    <row r="37" spans="1:28" ht="15.75" thickTop="1" x14ac:dyDescent="0.25">
      <c r="C37" s="30">
        <f>IF(D37=0,C36,IF(ISBLANK(G37),C36,1+MAX(C$18:C36)))</f>
        <v>16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17</v>
      </c>
      <c r="D38" s="21">
        <v>1</v>
      </c>
      <c r="F38" s="31">
        <f t="shared" si="2"/>
        <v>17</v>
      </c>
      <c r="G38" s="40" t="s">
        <v>44</v>
      </c>
      <c r="H38" s="41">
        <f t="shared" ref="H38:Z38" si="20">+H24-H36</f>
        <v>0</v>
      </c>
      <c r="I38" s="41">
        <f t="shared" si="20"/>
        <v>0</v>
      </c>
      <c r="J38" s="41">
        <f t="shared" si="20"/>
        <v>0</v>
      </c>
      <c r="K38" s="41">
        <f t="shared" si="20"/>
        <v>-259379</v>
      </c>
      <c r="L38" s="41">
        <f t="shared" si="20"/>
        <v>-244336.5399999998</v>
      </c>
      <c r="M38" s="41">
        <f t="shared" si="20"/>
        <v>-157244.58220000006</v>
      </c>
      <c r="N38" s="41">
        <f t="shared" si="20"/>
        <v>-66535.839476799825</v>
      </c>
      <c r="O38" s="41">
        <f t="shared" si="20"/>
        <v>-55683.119110336062</v>
      </c>
      <c r="P38" s="41">
        <f t="shared" si="20"/>
        <v>318782.28980745724</v>
      </c>
      <c r="Q38" s="41">
        <f t="shared" si="20"/>
        <v>296075.57588360622</v>
      </c>
      <c r="R38" s="41">
        <f t="shared" si="20"/>
        <v>275303.74141327804</v>
      </c>
      <c r="S38" s="41">
        <f t="shared" si="20"/>
        <v>316854.57172554382</v>
      </c>
      <c r="T38" s="41">
        <f t="shared" si="20"/>
        <v>295188.54784405464</v>
      </c>
      <c r="U38" s="41">
        <f t="shared" si="20"/>
        <v>273312.34466093592</v>
      </c>
      <c r="V38" s="41">
        <f t="shared" si="20"/>
        <v>316649.09122215468</v>
      </c>
      <c r="W38" s="41">
        <f t="shared" si="20"/>
        <v>293565.63912259741</v>
      </c>
      <c r="X38" s="41">
        <f t="shared" si="20"/>
        <v>270263.53900904953</v>
      </c>
      <c r="Y38" s="41">
        <f t="shared" si="20"/>
        <v>315481.09718923061</v>
      </c>
      <c r="Z38" s="41">
        <f t="shared" si="20"/>
        <v>290909.38734501507</v>
      </c>
      <c r="AA38" s="29"/>
      <c r="AB38" s="29"/>
    </row>
    <row r="39" spans="1:28" ht="15.75" thickTop="1" x14ac:dyDescent="0.25">
      <c r="C39" s="30">
        <f>IF(D39=0,C38,IF(ISBLANK(G39),C38,1+MAX(C$18:C38)))</f>
        <v>17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18</v>
      </c>
      <c r="D40" s="21">
        <v>1</v>
      </c>
      <c r="F40" s="31">
        <f t="shared" si="2"/>
        <v>18</v>
      </c>
      <c r="G40" s="26" t="str">
        <f t="shared" ref="G40:G42" si="21">+A40&amp;" ("&amp;B40&amp;")"</f>
        <v>Revenues (3)</v>
      </c>
      <c r="H40" s="38">
        <f t="shared" ref="H40:Z40" si="22">+H24</f>
        <v>0</v>
      </c>
      <c r="I40" s="38">
        <f t="shared" si="22"/>
        <v>0</v>
      </c>
      <c r="J40" s="38">
        <f t="shared" si="22"/>
        <v>0</v>
      </c>
      <c r="K40" s="38">
        <f t="shared" si="22"/>
        <v>1151216</v>
      </c>
      <c r="L40" s="38">
        <f t="shared" si="22"/>
        <v>1193054.9000000001</v>
      </c>
      <c r="M40" s="38">
        <f t="shared" si="22"/>
        <v>1318571.5999999999</v>
      </c>
      <c r="N40" s="38">
        <f t="shared" si="22"/>
        <v>1357249</v>
      </c>
      <c r="O40" s="38">
        <f t="shared" si="22"/>
        <v>1396004</v>
      </c>
      <c r="P40" s="38">
        <f t="shared" si="22"/>
        <v>1798912</v>
      </c>
      <c r="Q40" s="38">
        <f t="shared" si="22"/>
        <v>1807278</v>
      </c>
      <c r="R40" s="38">
        <f t="shared" si="22"/>
        <v>1815901</v>
      </c>
      <c r="S40" s="38">
        <f t="shared" si="22"/>
        <v>1887428</v>
      </c>
      <c r="T40" s="38">
        <f t="shared" si="22"/>
        <v>1896687</v>
      </c>
      <c r="U40" s="38">
        <f t="shared" si="22"/>
        <v>1905993</v>
      </c>
      <c r="V40" s="38">
        <f t="shared" si="22"/>
        <v>1981140</v>
      </c>
      <c r="W40" s="38">
        <f t="shared" si="22"/>
        <v>1990868</v>
      </c>
      <c r="X40" s="38">
        <f t="shared" si="22"/>
        <v>2000645</v>
      </c>
      <c r="Y40" s="38">
        <f t="shared" si="22"/>
        <v>2079594</v>
      </c>
      <c r="Z40" s="38">
        <f t="shared" si="22"/>
        <v>2089814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19</v>
      </c>
      <c r="D41" s="21">
        <v>1</v>
      </c>
      <c r="F41" s="31">
        <f t="shared" si="2"/>
        <v>19</v>
      </c>
      <c r="G41" s="26" t="str">
        <f t="shared" si="21"/>
        <v>EBITDA (4)</v>
      </c>
      <c r="H41" s="38">
        <f t="shared" ref="H41:Z41" si="23">+H38+H35</f>
        <v>0</v>
      </c>
      <c r="I41" s="38">
        <f t="shared" si="23"/>
        <v>0</v>
      </c>
      <c r="J41" s="38">
        <f t="shared" si="23"/>
        <v>0</v>
      </c>
      <c r="K41" s="38">
        <f t="shared" si="23"/>
        <v>-188606</v>
      </c>
      <c r="L41" s="38">
        <f t="shared" si="23"/>
        <v>-173563.5399999998</v>
      </c>
      <c r="M41" s="38">
        <f t="shared" si="23"/>
        <v>-75379.208800000066</v>
      </c>
      <c r="N41" s="38">
        <f t="shared" si="23"/>
        <v>15781.878323200173</v>
      </c>
      <c r="O41" s="38">
        <f t="shared" si="23"/>
        <v>27733.895889663952</v>
      </c>
      <c r="P41" s="38">
        <f t="shared" si="23"/>
        <v>403309.13380745723</v>
      </c>
      <c r="Q41" s="38">
        <f t="shared" si="23"/>
        <v>381725.95648360625</v>
      </c>
      <c r="R41" s="38">
        <f t="shared" si="23"/>
        <v>362093.51561327802</v>
      </c>
      <c r="S41" s="38">
        <f t="shared" si="23"/>
        <v>404798.74592554383</v>
      </c>
      <c r="T41" s="38">
        <f t="shared" si="23"/>
        <v>384302.36084405467</v>
      </c>
      <c r="U41" s="38">
        <f t="shared" si="23"/>
        <v>363619.84806093591</v>
      </c>
      <c r="V41" s="38">
        <f t="shared" si="23"/>
        <v>408177.46502215468</v>
      </c>
      <c r="W41" s="38">
        <f t="shared" si="23"/>
        <v>386330.23432259739</v>
      </c>
      <c r="X41" s="38">
        <f t="shared" si="23"/>
        <v>364281.93900904956</v>
      </c>
      <c r="Y41" s="38">
        <f t="shared" si="23"/>
        <v>410770.1177892306</v>
      </c>
      <c r="Z41" s="38">
        <f t="shared" si="23"/>
        <v>387487.06014501507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20</v>
      </c>
      <c r="D42" s="21">
        <v>1</v>
      </c>
      <c r="F42" s="31">
        <f t="shared" si="2"/>
        <v>20</v>
      </c>
      <c r="G42" s="26" t="str">
        <f t="shared" si="21"/>
        <v>EBIT (5)</v>
      </c>
      <c r="H42" s="38">
        <f t="shared" ref="H42:Z42" si="24">+H38</f>
        <v>0</v>
      </c>
      <c r="I42" s="38">
        <f t="shared" si="24"/>
        <v>0</v>
      </c>
      <c r="J42" s="38">
        <f t="shared" si="24"/>
        <v>0</v>
      </c>
      <c r="K42" s="38">
        <f t="shared" si="24"/>
        <v>-259379</v>
      </c>
      <c r="L42" s="38">
        <f t="shared" si="24"/>
        <v>-244336.5399999998</v>
      </c>
      <c r="M42" s="38">
        <f t="shared" si="24"/>
        <v>-157244.58220000006</v>
      </c>
      <c r="N42" s="38">
        <f t="shared" si="24"/>
        <v>-66535.839476799825</v>
      </c>
      <c r="O42" s="38">
        <f t="shared" si="24"/>
        <v>-55683.119110336062</v>
      </c>
      <c r="P42" s="38">
        <f t="shared" si="24"/>
        <v>318782.28980745724</v>
      </c>
      <c r="Q42" s="38">
        <f t="shared" si="24"/>
        <v>296075.57588360622</v>
      </c>
      <c r="R42" s="38">
        <f t="shared" si="24"/>
        <v>275303.74141327804</v>
      </c>
      <c r="S42" s="38">
        <f t="shared" si="24"/>
        <v>316854.57172554382</v>
      </c>
      <c r="T42" s="38">
        <f t="shared" si="24"/>
        <v>295188.54784405464</v>
      </c>
      <c r="U42" s="38">
        <f t="shared" si="24"/>
        <v>273312.34466093592</v>
      </c>
      <c r="V42" s="38">
        <f t="shared" si="24"/>
        <v>316649.09122215468</v>
      </c>
      <c r="W42" s="38">
        <f t="shared" si="24"/>
        <v>293565.63912259741</v>
      </c>
      <c r="X42" s="38">
        <f t="shared" si="24"/>
        <v>270263.53900904953</v>
      </c>
      <c r="Y42" s="38">
        <f t="shared" si="24"/>
        <v>315481.09718923061</v>
      </c>
      <c r="Z42" s="38">
        <f t="shared" si="24"/>
        <v>290909.38734501507</v>
      </c>
      <c r="AA42" s="29"/>
      <c r="AB42" s="29"/>
    </row>
    <row r="43" spans="1:28" ht="15" x14ac:dyDescent="0.25">
      <c r="C43" s="30">
        <f>IF(D43=0,C42,IF(ISBLANK(G43),C42,1+MAX(C$18:C42)))</f>
        <v>20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21</v>
      </c>
      <c r="D44" s="21">
        <v>1</v>
      </c>
      <c r="F44" s="31">
        <f t="shared" si="2"/>
        <v>21</v>
      </c>
      <c r="G44" s="59" t="s">
        <v>3</v>
      </c>
      <c r="H44" s="60">
        <f t="shared" ref="H44:Z44" si="25">+H42</f>
        <v>0</v>
      </c>
      <c r="I44" s="60">
        <f t="shared" si="25"/>
        <v>0</v>
      </c>
      <c r="J44" s="60">
        <f t="shared" si="25"/>
        <v>0</v>
      </c>
      <c r="K44" s="60">
        <f t="shared" si="25"/>
        <v>-259379</v>
      </c>
      <c r="L44" s="60">
        <f t="shared" si="25"/>
        <v>-244336.5399999998</v>
      </c>
      <c r="M44" s="60">
        <f t="shared" si="25"/>
        <v>-157244.58220000006</v>
      </c>
      <c r="N44" s="60">
        <f t="shared" si="25"/>
        <v>-66535.839476799825</v>
      </c>
      <c r="O44" s="60">
        <f t="shared" si="25"/>
        <v>-55683.119110336062</v>
      </c>
      <c r="P44" s="60">
        <f t="shared" si="25"/>
        <v>318782.28980745724</v>
      </c>
      <c r="Q44" s="60">
        <f t="shared" si="25"/>
        <v>296075.57588360622</v>
      </c>
      <c r="R44" s="60">
        <f t="shared" si="25"/>
        <v>275303.74141327804</v>
      </c>
      <c r="S44" s="60">
        <f t="shared" si="25"/>
        <v>316854.57172554382</v>
      </c>
      <c r="T44" s="60">
        <f t="shared" si="25"/>
        <v>295188.54784405464</v>
      </c>
      <c r="U44" s="60">
        <f t="shared" si="25"/>
        <v>273312.34466093592</v>
      </c>
      <c r="V44" s="60">
        <f t="shared" si="25"/>
        <v>316649.09122215468</v>
      </c>
      <c r="W44" s="60">
        <f t="shared" si="25"/>
        <v>293565.63912259741</v>
      </c>
      <c r="X44" s="60">
        <f t="shared" si="25"/>
        <v>270263.53900904953</v>
      </c>
      <c r="Y44" s="60">
        <f t="shared" si="25"/>
        <v>315481.09718923061</v>
      </c>
      <c r="Z44" s="60">
        <f t="shared" si="25"/>
        <v>290909.38734501507</v>
      </c>
      <c r="AA44" s="29"/>
    </row>
    <row r="45" spans="1:28" ht="15" x14ac:dyDescent="0.25">
      <c r="C45" s="30">
        <f>IF(D45=0,C44,IF(ISBLANK(G45),C44,1+MAX(C$18:C44)))</f>
        <v>22</v>
      </c>
      <c r="D45" s="21">
        <v>1</v>
      </c>
      <c r="F45" s="31">
        <f t="shared" si="2"/>
        <v>22</v>
      </c>
      <c r="G45" s="60" t="s">
        <v>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f t="shared" ref="N45:Z45" si="26">IF($C$10="IOU",ROUND(+N44*$AB45,0),0)</f>
        <v>-19222</v>
      </c>
      <c r="O45" s="61">
        <f t="shared" si="26"/>
        <v>-16087</v>
      </c>
      <c r="P45" s="61">
        <f t="shared" si="26"/>
        <v>92096</v>
      </c>
      <c r="Q45" s="61">
        <f t="shared" si="26"/>
        <v>85536</v>
      </c>
      <c r="R45" s="61">
        <f t="shared" si="26"/>
        <v>79535</v>
      </c>
      <c r="S45" s="61">
        <f t="shared" si="26"/>
        <v>91539</v>
      </c>
      <c r="T45" s="61">
        <f t="shared" si="26"/>
        <v>85280</v>
      </c>
      <c r="U45" s="61">
        <f t="shared" si="26"/>
        <v>78960</v>
      </c>
      <c r="V45" s="61">
        <f t="shared" si="26"/>
        <v>91480</v>
      </c>
      <c r="W45" s="61">
        <f t="shared" si="26"/>
        <v>84811</v>
      </c>
      <c r="X45" s="61">
        <f t="shared" si="26"/>
        <v>78079</v>
      </c>
      <c r="Y45" s="61">
        <f t="shared" si="26"/>
        <v>91142</v>
      </c>
      <c r="Z45" s="61">
        <f t="shared" si="26"/>
        <v>84044</v>
      </c>
      <c r="AA45" s="29"/>
      <c r="AB45" s="62">
        <v>0.28889999999999999</v>
      </c>
    </row>
    <row r="46" spans="1:28" ht="15" x14ac:dyDescent="0.25">
      <c r="C46" s="30">
        <f>IF(D46=0,C45,IF(ISBLANK(G46),C45,1+MAX(C$18:C45)))</f>
        <v>22</v>
      </c>
      <c r="D46" s="21">
        <v>1</v>
      </c>
      <c r="F46" s="31" t="str">
        <f t="shared" si="2"/>
        <v/>
      </c>
      <c r="G46" s="6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29"/>
      <c r="AB46" s="29"/>
    </row>
    <row r="47" spans="1:28" ht="15" x14ac:dyDescent="0.25">
      <c r="C47" s="30">
        <f>IF(D47=0,C46,IF(ISBLANK(G47),C46,1+MAX(C$18:C46)))</f>
        <v>23</v>
      </c>
      <c r="D47" s="21">
        <v>1</v>
      </c>
      <c r="F47" s="31">
        <f t="shared" si="2"/>
        <v>23</v>
      </c>
      <c r="G47" s="64" t="s">
        <v>47</v>
      </c>
      <c r="H47" s="60">
        <f t="shared" ref="H47:Z47" si="27">+H44-H45</f>
        <v>0</v>
      </c>
      <c r="I47" s="60">
        <f t="shared" si="27"/>
        <v>0</v>
      </c>
      <c r="J47" s="60">
        <f t="shared" si="27"/>
        <v>0</v>
      </c>
      <c r="K47" s="60">
        <f t="shared" si="27"/>
        <v>-259379</v>
      </c>
      <c r="L47" s="60">
        <f t="shared" si="27"/>
        <v>-244336.5399999998</v>
      </c>
      <c r="M47" s="60">
        <f t="shared" si="27"/>
        <v>-157244.58220000006</v>
      </c>
      <c r="N47" s="60">
        <f t="shared" si="27"/>
        <v>-47313.839476799825</v>
      </c>
      <c r="O47" s="60">
        <f t="shared" si="27"/>
        <v>-39596.119110336062</v>
      </c>
      <c r="P47" s="60">
        <f t="shared" si="27"/>
        <v>226686.28980745724</v>
      </c>
      <c r="Q47" s="60">
        <f t="shared" si="27"/>
        <v>210539.57588360622</v>
      </c>
      <c r="R47" s="60">
        <f t="shared" si="27"/>
        <v>195768.74141327804</v>
      </c>
      <c r="S47" s="60">
        <f t="shared" si="27"/>
        <v>225315.57172554382</v>
      </c>
      <c r="T47" s="60">
        <f t="shared" si="27"/>
        <v>209908.54784405464</v>
      </c>
      <c r="U47" s="60">
        <f t="shared" si="27"/>
        <v>194352.34466093592</v>
      </c>
      <c r="V47" s="60">
        <f t="shared" si="27"/>
        <v>225169.09122215468</v>
      </c>
      <c r="W47" s="60">
        <f t="shared" si="27"/>
        <v>208754.63912259741</v>
      </c>
      <c r="X47" s="60">
        <f t="shared" si="27"/>
        <v>192184.53900904953</v>
      </c>
      <c r="Y47" s="60">
        <f t="shared" si="27"/>
        <v>224339.09718923061</v>
      </c>
      <c r="Z47" s="60">
        <f t="shared" si="27"/>
        <v>206865.38734501507</v>
      </c>
      <c r="AA47" s="29"/>
      <c r="AB47" s="29"/>
    </row>
    <row r="48" spans="1:28" ht="15" x14ac:dyDescent="0.25">
      <c r="C48" s="30">
        <f>IF(D48=0,C47,IF(ISBLANK(G48),C47,1+MAX(C$18:C47)))</f>
        <v>24</v>
      </c>
      <c r="D48" s="21">
        <v>1</v>
      </c>
      <c r="F48" s="31">
        <f t="shared" si="2"/>
        <v>24</v>
      </c>
      <c r="G48" s="60" t="s">
        <v>48</v>
      </c>
      <c r="H48" s="60">
        <f t="shared" ref="H48:Z48" si="28">+H35</f>
        <v>0</v>
      </c>
      <c r="I48" s="60">
        <f t="shared" si="28"/>
        <v>0</v>
      </c>
      <c r="J48" s="60">
        <f t="shared" si="28"/>
        <v>0</v>
      </c>
      <c r="K48" s="60">
        <f t="shared" si="28"/>
        <v>70773</v>
      </c>
      <c r="L48" s="60">
        <f t="shared" si="28"/>
        <v>70773</v>
      </c>
      <c r="M48" s="60">
        <f t="shared" si="28"/>
        <v>81865.373399999997</v>
      </c>
      <c r="N48" s="60">
        <f t="shared" si="28"/>
        <v>82317.717799999999</v>
      </c>
      <c r="O48" s="60">
        <f t="shared" si="28"/>
        <v>83417.015000000014</v>
      </c>
      <c r="P48" s="60">
        <f t="shared" si="28"/>
        <v>84526.843999999997</v>
      </c>
      <c r="Q48" s="60">
        <f t="shared" si="28"/>
        <v>85650.380600000004</v>
      </c>
      <c r="R48" s="60">
        <f t="shared" si="28"/>
        <v>86789.7742</v>
      </c>
      <c r="S48" s="60">
        <f t="shared" si="28"/>
        <v>87944.174200000009</v>
      </c>
      <c r="T48" s="60">
        <f t="shared" si="28"/>
        <v>89113.813000000009</v>
      </c>
      <c r="U48" s="60">
        <f t="shared" si="28"/>
        <v>90307.503400000001</v>
      </c>
      <c r="V48" s="60">
        <f t="shared" si="28"/>
        <v>91528.373800000001</v>
      </c>
      <c r="W48" s="60">
        <f t="shared" si="28"/>
        <v>92764.595200000011</v>
      </c>
      <c r="X48" s="60">
        <f t="shared" si="28"/>
        <v>94018.4</v>
      </c>
      <c r="Y48" s="60">
        <f t="shared" si="28"/>
        <v>95289.020599999989</v>
      </c>
      <c r="Z48" s="60">
        <f t="shared" si="28"/>
        <v>96577.6728</v>
      </c>
      <c r="AA48" s="29"/>
      <c r="AB48" s="29"/>
    </row>
    <row r="49" spans="1:34" ht="15" x14ac:dyDescent="0.25">
      <c r="A49" s="60" t="s">
        <v>49</v>
      </c>
      <c r="B49" s="14">
        <f>MAX(B$20:B48)+1</f>
        <v>6</v>
      </c>
      <c r="C49" s="30">
        <f>IF(D49=0,C48,IF(ISBLANK(G49),C48,1+MAX(C$18:C48)))</f>
        <v>25</v>
      </c>
      <c r="D49" s="21">
        <v>1</v>
      </c>
      <c r="F49" s="31">
        <f t="shared" si="2"/>
        <v>25</v>
      </c>
      <c r="G49" s="26" t="str">
        <f t="shared" ref="G49:G50" si="29">+A49&amp;" ("&amp;B49&amp;")"</f>
        <v>(-)  Capital Expenditures (6)</v>
      </c>
      <c r="H49" s="60">
        <f>+H444</f>
        <v>0</v>
      </c>
      <c r="I49" s="60">
        <f t="shared" ref="I49:K49" si="30">+I444</f>
        <v>0</v>
      </c>
      <c r="J49" s="60">
        <f t="shared" si="30"/>
        <v>0</v>
      </c>
      <c r="K49" s="60">
        <f t="shared" si="30"/>
        <v>65544</v>
      </c>
      <c r="L49" s="60">
        <f>+L304</f>
        <v>0</v>
      </c>
      <c r="M49" s="60">
        <f t="shared" ref="M49:Z49" si="31">+M304</f>
        <v>0</v>
      </c>
      <c r="N49" s="60">
        <f t="shared" si="31"/>
        <v>77772</v>
      </c>
      <c r="O49" s="60">
        <f t="shared" si="31"/>
        <v>78202</v>
      </c>
      <c r="P49" s="60">
        <f t="shared" si="31"/>
        <v>79246</v>
      </c>
      <c r="Q49" s="60">
        <f t="shared" si="31"/>
        <v>80301</v>
      </c>
      <c r="R49" s="60">
        <f t="shared" si="31"/>
        <v>81368</v>
      </c>
      <c r="S49" s="60">
        <f t="shared" si="31"/>
        <v>82450</v>
      </c>
      <c r="T49" s="60">
        <f t="shared" si="31"/>
        <v>83547</v>
      </c>
      <c r="U49" s="60">
        <f t="shared" si="31"/>
        <v>86021</v>
      </c>
      <c r="V49" s="60">
        <f t="shared" si="31"/>
        <v>87183</v>
      </c>
      <c r="W49" s="60">
        <f t="shared" si="31"/>
        <v>88361</v>
      </c>
      <c r="X49" s="60">
        <f t="shared" si="31"/>
        <v>89556</v>
      </c>
      <c r="Y49" s="60">
        <f t="shared" si="31"/>
        <v>90766</v>
      </c>
      <c r="Z49" s="60">
        <f t="shared" si="31"/>
        <v>91993</v>
      </c>
      <c r="AA49" s="29"/>
      <c r="AB49" s="29"/>
      <c r="AC49" s="29"/>
      <c r="AE49" s="29"/>
    </row>
    <row r="50" spans="1:34" ht="15" x14ac:dyDescent="0.25">
      <c r="A50" s="60" t="s">
        <v>50</v>
      </c>
      <c r="B50" s="14">
        <f>MAX(B$20:B49)+1</f>
        <v>7</v>
      </c>
      <c r="C50" s="30">
        <f>IF(D50=0,C49,IF(ISBLANK(G50),C49,1+MAX(C$18:C49)))</f>
        <v>26</v>
      </c>
      <c r="D50" s="21">
        <v>1</v>
      </c>
      <c r="F50" s="31">
        <f t="shared" si="2"/>
        <v>26</v>
      </c>
      <c r="G50" s="26" t="str">
        <f t="shared" si="29"/>
        <v>(-)  Changes in Working Capital (7)</v>
      </c>
      <c r="H50" s="61">
        <f t="shared" ref="H50:J50" si="32">0.0024*H40</f>
        <v>0</v>
      </c>
      <c r="I50" s="61">
        <f t="shared" si="32"/>
        <v>0</v>
      </c>
      <c r="J50" s="61">
        <f t="shared" si="32"/>
        <v>0</v>
      </c>
      <c r="K50" s="61">
        <f>-0.0119*K40</f>
        <v>-13699.4704</v>
      </c>
      <c r="L50" s="61">
        <f t="shared" ref="L50:Z50" si="33">-0.0119*L40</f>
        <v>-14197.353310000002</v>
      </c>
      <c r="M50" s="61">
        <f t="shared" si="33"/>
        <v>-15691.002039999999</v>
      </c>
      <c r="N50" s="61">
        <f t="shared" si="33"/>
        <v>-16151.263100000002</v>
      </c>
      <c r="O50" s="61">
        <f t="shared" si="33"/>
        <v>-16612.4476</v>
      </c>
      <c r="P50" s="61">
        <f t="shared" si="33"/>
        <v>-21407.052800000001</v>
      </c>
      <c r="Q50" s="61">
        <f t="shared" si="33"/>
        <v>-21506.608200000002</v>
      </c>
      <c r="R50" s="61">
        <f t="shared" si="33"/>
        <v>-21609.2219</v>
      </c>
      <c r="S50" s="61">
        <f t="shared" si="33"/>
        <v>-22460.393200000002</v>
      </c>
      <c r="T50" s="61">
        <f t="shared" si="33"/>
        <v>-22570.5753</v>
      </c>
      <c r="U50" s="61">
        <f t="shared" si="33"/>
        <v>-22681.316700000003</v>
      </c>
      <c r="V50" s="61">
        <f t="shared" si="33"/>
        <v>-23575.566000000003</v>
      </c>
      <c r="W50" s="61">
        <f t="shared" si="33"/>
        <v>-23691.3292</v>
      </c>
      <c r="X50" s="61">
        <f t="shared" si="33"/>
        <v>-23807.675500000001</v>
      </c>
      <c r="Y50" s="61">
        <f t="shared" si="33"/>
        <v>-24747.168600000001</v>
      </c>
      <c r="Z50" s="61">
        <f t="shared" si="33"/>
        <v>-24868.786600000003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26</v>
      </c>
      <c r="D51" s="21">
        <v>1</v>
      </c>
      <c r="F51" s="31" t="str">
        <f t="shared" si="2"/>
        <v/>
      </c>
      <c r="G51" s="60"/>
      <c r="H51" s="65"/>
      <c r="I51" s="65"/>
      <c r="J51" s="65"/>
      <c r="K51" s="65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1:34" ht="15.75" thickBot="1" x14ac:dyDescent="0.3">
      <c r="C52" s="30">
        <f>IF(D52=0,C51,IF(ISBLANK(G52),C51,1+MAX(C$18:C51)))</f>
        <v>27</v>
      </c>
      <c r="D52" s="21">
        <v>1</v>
      </c>
      <c r="F52" s="31">
        <f t="shared" si="2"/>
        <v>27</v>
      </c>
      <c r="G52" s="64" t="s">
        <v>51</v>
      </c>
      <c r="H52" s="66">
        <f>+H47+H48-H49-H50</f>
        <v>0</v>
      </c>
      <c r="I52" s="66">
        <f t="shared" ref="I52:Z52" si="34">+I47+I48-I49-I50</f>
        <v>0</v>
      </c>
      <c r="J52" s="66">
        <f t="shared" si="34"/>
        <v>0</v>
      </c>
      <c r="K52" s="66">
        <f t="shared" si="34"/>
        <v>-240450.52960000001</v>
      </c>
      <c r="L52" s="66">
        <f t="shared" si="34"/>
        <v>-159366.1866899998</v>
      </c>
      <c r="M52" s="66">
        <f t="shared" si="34"/>
        <v>-59688.206760000066</v>
      </c>
      <c r="N52" s="66">
        <f t="shared" si="34"/>
        <v>-26616.858576799823</v>
      </c>
      <c r="O52" s="66">
        <f t="shared" si="34"/>
        <v>-17768.656510336048</v>
      </c>
      <c r="P52" s="66">
        <f t="shared" si="34"/>
        <v>253374.18660745723</v>
      </c>
      <c r="Q52" s="66">
        <f t="shared" si="34"/>
        <v>237395.56468360627</v>
      </c>
      <c r="R52" s="66">
        <f t="shared" si="34"/>
        <v>222799.73751327803</v>
      </c>
      <c r="S52" s="66">
        <f t="shared" si="34"/>
        <v>253270.13912554382</v>
      </c>
      <c r="T52" s="66">
        <f t="shared" si="34"/>
        <v>238045.93614405466</v>
      </c>
      <c r="U52" s="66">
        <f t="shared" si="34"/>
        <v>221320.16476093591</v>
      </c>
      <c r="V52" s="66">
        <f t="shared" si="34"/>
        <v>253090.03102215467</v>
      </c>
      <c r="W52" s="66">
        <f t="shared" si="34"/>
        <v>236849.5635225974</v>
      </c>
      <c r="X52" s="66">
        <f t="shared" si="34"/>
        <v>220454.61450904957</v>
      </c>
      <c r="Y52" s="66">
        <f t="shared" si="34"/>
        <v>253609.2863892306</v>
      </c>
      <c r="Z52" s="66">
        <f t="shared" si="34"/>
        <v>236318.84674501506</v>
      </c>
      <c r="AA52" s="39"/>
      <c r="AB52" s="39">
        <f>+Z52</f>
        <v>236318.84674501506</v>
      </c>
      <c r="AC52" s="39"/>
      <c r="AE52" s="67"/>
    </row>
    <row r="53" spans="1:34" ht="15.75" thickTop="1" x14ac:dyDescent="0.25">
      <c r="C53" s="30">
        <f>IF(D53=0,C52,IF(ISBLANK(G53),C52,1+MAX(C$18:C52)))</f>
        <v>28</v>
      </c>
      <c r="D53" s="21">
        <f>IF($C$10="SUBJECT",0,1)</f>
        <v>1</v>
      </c>
      <c r="F53" s="31">
        <f t="shared" si="2"/>
        <v>28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5">+M53+1</f>
        <v>0.5</v>
      </c>
      <c r="O53" s="72">
        <f t="shared" si="35"/>
        <v>1.5</v>
      </c>
      <c r="P53" s="72">
        <f t="shared" si="35"/>
        <v>2.5</v>
      </c>
      <c r="Q53" s="72">
        <f t="shared" si="35"/>
        <v>3.5</v>
      </c>
      <c r="R53" s="72">
        <f t="shared" si="35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6">+V53+1</f>
        <v>9.5</v>
      </c>
      <c r="X53" s="72">
        <f t="shared" si="36"/>
        <v>10.5</v>
      </c>
      <c r="Y53" s="72">
        <f t="shared" si="36"/>
        <v>11.5</v>
      </c>
      <c r="Z53" s="72">
        <f t="shared" si="36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29</v>
      </c>
      <c r="D54" s="21">
        <f t="shared" ref="D54:D68" si="37">IF($C$10="IOU",1,0)</f>
        <v>1</v>
      </c>
      <c r="F54" s="31">
        <f t="shared" si="2"/>
        <v>29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8">ROUND((1/((1+$AC54)^N53)),4)</f>
        <v>0.96619999999999995</v>
      </c>
      <c r="O54" s="73">
        <f t="shared" si="38"/>
        <v>0.90200000000000002</v>
      </c>
      <c r="P54" s="73">
        <f t="shared" si="38"/>
        <v>0.84199999999999997</v>
      </c>
      <c r="Q54" s="73">
        <f t="shared" si="38"/>
        <v>0.78610000000000002</v>
      </c>
      <c r="R54" s="73">
        <f t="shared" si="38"/>
        <v>0.73380000000000001</v>
      </c>
      <c r="S54" s="73">
        <f t="shared" si="38"/>
        <v>0.68500000000000005</v>
      </c>
      <c r="T54" s="73">
        <f t="shared" si="38"/>
        <v>0.63949999999999996</v>
      </c>
      <c r="U54" s="73">
        <f t="shared" si="38"/>
        <v>0.59699999999999998</v>
      </c>
      <c r="V54" s="73">
        <f t="shared" si="38"/>
        <v>0.55730000000000002</v>
      </c>
      <c r="W54" s="73">
        <f t="shared" si="38"/>
        <v>0.52029999999999998</v>
      </c>
      <c r="X54" s="73">
        <f t="shared" si="38"/>
        <v>0.48570000000000002</v>
      </c>
      <c r="Y54" s="73">
        <f t="shared" si="38"/>
        <v>0.45340000000000003</v>
      </c>
      <c r="Z54" s="73">
        <f t="shared" si="38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29</v>
      </c>
      <c r="D55" s="21">
        <f t="shared" si="37"/>
        <v>1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30</v>
      </c>
      <c r="D56" s="21">
        <f t="shared" si="37"/>
        <v>1</v>
      </c>
      <c r="F56" s="31">
        <f t="shared" si="2"/>
        <v>30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9">+N52*N54</f>
        <v>-25717.208756903987</v>
      </c>
      <c r="O56" s="66">
        <f t="shared" si="39"/>
        <v>-16027.328172323116</v>
      </c>
      <c r="P56" s="66">
        <f t="shared" si="39"/>
        <v>213341.06512347897</v>
      </c>
      <c r="Q56" s="66">
        <f t="shared" si="39"/>
        <v>186616.65339778288</v>
      </c>
      <c r="R56" s="66">
        <f t="shared" si="39"/>
        <v>163490.44738724342</v>
      </c>
      <c r="S56" s="66">
        <f>+S52*S54</f>
        <v>173490.04530099753</v>
      </c>
      <c r="T56" s="66">
        <f>+T52*T54</f>
        <v>152230.37616412295</v>
      </c>
      <c r="U56" s="66">
        <f>+U52*U54</f>
        <v>132128.13836227873</v>
      </c>
      <c r="V56" s="66">
        <f>+V52*V54</f>
        <v>141047.07428864681</v>
      </c>
      <c r="W56" s="66">
        <f t="shared" ref="W56:Z56" si="40">+W52*W54</f>
        <v>123232.82790080742</v>
      </c>
      <c r="X56" s="66">
        <f t="shared" si="40"/>
        <v>107074.80626704538</v>
      </c>
      <c r="Y56" s="66">
        <f t="shared" si="40"/>
        <v>114986.45044887716</v>
      </c>
      <c r="Z56" s="66">
        <f t="shared" si="40"/>
        <v>100033.76782716488</v>
      </c>
      <c r="AB56" s="60">
        <f>SUM(M56:Z56)</f>
        <v>1565927.115539219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30</v>
      </c>
      <c r="D57" s="21">
        <f t="shared" si="37"/>
        <v>1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1">+N53</f>
        <v>0.5</v>
      </c>
      <c r="O57" s="79">
        <f t="shared" si="41"/>
        <v>1.5</v>
      </c>
      <c r="P57" s="79">
        <f t="shared" si="41"/>
        <v>2.5</v>
      </c>
      <c r="Q57" s="79">
        <f t="shared" si="41"/>
        <v>3.5</v>
      </c>
      <c r="R57" s="79">
        <f t="shared" si="41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2">+W53</f>
        <v>9.5</v>
      </c>
      <c r="X57" s="79">
        <f t="shared" si="42"/>
        <v>10.5</v>
      </c>
      <c r="Y57" s="79">
        <f t="shared" si="42"/>
        <v>11.5</v>
      </c>
      <c r="Z57" s="79">
        <f t="shared" si="42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31</v>
      </c>
      <c r="D58" s="21">
        <f t="shared" si="37"/>
        <v>1</v>
      </c>
      <c r="F58" s="31">
        <f t="shared" si="2"/>
        <v>31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3">ROUND((1/((1+$AC58)^N57)),4)</f>
        <v>0.96009999999999995</v>
      </c>
      <c r="O58" s="73">
        <f t="shared" si="43"/>
        <v>0.8851</v>
      </c>
      <c r="P58" s="73">
        <f t="shared" si="43"/>
        <v>0.81589999999999996</v>
      </c>
      <c r="Q58" s="73">
        <f t="shared" si="43"/>
        <v>0.75209999999999999</v>
      </c>
      <c r="R58" s="73">
        <f t="shared" si="43"/>
        <v>0.69330000000000003</v>
      </c>
      <c r="S58" s="73">
        <f t="shared" si="43"/>
        <v>0.6391</v>
      </c>
      <c r="T58" s="73">
        <f t="shared" si="43"/>
        <v>0.58919999999999995</v>
      </c>
      <c r="U58" s="73">
        <f t="shared" si="43"/>
        <v>0.54310000000000003</v>
      </c>
      <c r="V58" s="73">
        <f t="shared" si="43"/>
        <v>0.50060000000000004</v>
      </c>
      <c r="W58" s="73">
        <f t="shared" si="43"/>
        <v>0.46150000000000002</v>
      </c>
      <c r="X58" s="73">
        <f t="shared" si="43"/>
        <v>0.4254</v>
      </c>
      <c r="Y58" s="73">
        <f t="shared" si="43"/>
        <v>0.39219999999999999</v>
      </c>
      <c r="Z58" s="73">
        <f t="shared" si="43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31</v>
      </c>
      <c r="D59" s="21">
        <f t="shared" si="37"/>
        <v>1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32</v>
      </c>
      <c r="D60" s="21">
        <f t="shared" si="37"/>
        <v>1</v>
      </c>
      <c r="F60" s="31">
        <f t="shared" si="2"/>
        <v>32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4">+N52*N58</f>
        <v>-25554.84591958551</v>
      </c>
      <c r="O60" s="66">
        <f t="shared" si="44"/>
        <v>-15727.037877298437</v>
      </c>
      <c r="P60" s="66">
        <f t="shared" si="44"/>
        <v>206727.99885302436</v>
      </c>
      <c r="Q60" s="66">
        <f t="shared" si="44"/>
        <v>178545.20419854028</v>
      </c>
      <c r="R60" s="66">
        <f t="shared" si="44"/>
        <v>154467.05801795566</v>
      </c>
      <c r="S60" s="66">
        <f t="shared" si="44"/>
        <v>161864.94591513506</v>
      </c>
      <c r="T60" s="66">
        <f t="shared" si="44"/>
        <v>140256.66557607701</v>
      </c>
      <c r="U60" s="66">
        <f t="shared" si="44"/>
        <v>120198.98148166429</v>
      </c>
      <c r="V60" s="66">
        <f t="shared" si="44"/>
        <v>126696.86952969064</v>
      </c>
      <c r="W60" s="66">
        <f t="shared" si="44"/>
        <v>109306.0735656787</v>
      </c>
      <c r="X60" s="66">
        <f t="shared" si="44"/>
        <v>93781.393012149681</v>
      </c>
      <c r="Y60" s="66">
        <f t="shared" si="44"/>
        <v>99465.562121856245</v>
      </c>
      <c r="Z60" s="66">
        <f t="shared" si="44"/>
        <v>85429.263098322946</v>
      </c>
      <c r="AB60" s="60">
        <f>SUM(M60:Z60)</f>
        <v>1435458.1315732109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32</v>
      </c>
      <c r="D61" s="21">
        <f t="shared" si="37"/>
        <v>1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5">+N57</f>
        <v>0.5</v>
      </c>
      <c r="O61" s="80">
        <f t="shared" si="45"/>
        <v>1.5</v>
      </c>
      <c r="P61" s="80">
        <f t="shared" si="45"/>
        <v>2.5</v>
      </c>
      <c r="Q61" s="80">
        <f t="shared" si="45"/>
        <v>3.5</v>
      </c>
      <c r="R61" s="80">
        <f t="shared" si="45"/>
        <v>4.5</v>
      </c>
      <c r="S61" s="80">
        <f t="shared" si="45"/>
        <v>5.5</v>
      </c>
      <c r="T61" s="80">
        <f t="shared" si="45"/>
        <v>6.5</v>
      </c>
      <c r="U61" s="80">
        <f t="shared" si="45"/>
        <v>7.5</v>
      </c>
      <c r="V61" s="80">
        <f t="shared" si="45"/>
        <v>8.5</v>
      </c>
      <c r="W61" s="80">
        <f t="shared" si="45"/>
        <v>9.5</v>
      </c>
      <c r="X61" s="80">
        <f t="shared" si="45"/>
        <v>10.5</v>
      </c>
      <c r="Y61" s="80">
        <f t="shared" si="45"/>
        <v>11.5</v>
      </c>
      <c r="Z61" s="80">
        <f t="shared" si="45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33</v>
      </c>
      <c r="D62" s="21">
        <f t="shared" si="37"/>
        <v>1</v>
      </c>
      <c r="F62" s="31">
        <f t="shared" si="2"/>
        <v>33</v>
      </c>
      <c r="G62" s="4" t="str">
        <f>+"Present Value Factor:   "&amp;TEXT(AC62,"0.00%")&amp;"  ("&amp;B62&amp;")"</f>
        <v>Present Value Factor:   6.62%  (8)</v>
      </c>
      <c r="J62" s="38"/>
      <c r="K62" s="38"/>
      <c r="L62" s="38"/>
      <c r="M62" s="38"/>
      <c r="N62" s="73">
        <f t="shared" ref="N62:Z62" si="46">ROUND((1/((1+$AC62)^N61)),4)</f>
        <v>0.96850000000000003</v>
      </c>
      <c r="O62" s="73">
        <f t="shared" si="46"/>
        <v>0.9083</v>
      </c>
      <c r="P62" s="73">
        <f t="shared" si="46"/>
        <v>0.85189999999999999</v>
      </c>
      <c r="Q62" s="73">
        <f t="shared" si="46"/>
        <v>0.79900000000000004</v>
      </c>
      <c r="R62" s="73">
        <f t="shared" si="46"/>
        <v>0.74939999999999996</v>
      </c>
      <c r="S62" s="73">
        <f t="shared" si="46"/>
        <v>0.70289999999999997</v>
      </c>
      <c r="T62" s="73">
        <f t="shared" si="46"/>
        <v>0.65920000000000001</v>
      </c>
      <c r="U62" s="73">
        <f t="shared" si="46"/>
        <v>0.61829999999999996</v>
      </c>
      <c r="V62" s="73">
        <f t="shared" si="46"/>
        <v>0.57989999999999997</v>
      </c>
      <c r="W62" s="73">
        <f t="shared" si="46"/>
        <v>0.54390000000000005</v>
      </c>
      <c r="X62" s="73">
        <f t="shared" si="46"/>
        <v>0.5101</v>
      </c>
      <c r="Y62" s="73">
        <f t="shared" si="46"/>
        <v>0.47849999999999998</v>
      </c>
      <c r="Z62" s="73">
        <f t="shared" si="46"/>
        <v>0.44879999999999998</v>
      </c>
      <c r="AC62" s="74">
        <f>+AC54-H9</f>
        <v>6.6199999999999995E-2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33</v>
      </c>
      <c r="D63" s="21">
        <f t="shared" si="37"/>
        <v>1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34</v>
      </c>
      <c r="D64" s="21">
        <f t="shared" si="37"/>
        <v>1</v>
      </c>
      <c r="F64" s="31">
        <f t="shared" si="2"/>
        <v>34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7">+N$52*N62</f>
        <v>-25778.42753163063</v>
      </c>
      <c r="O64" s="66">
        <f t="shared" si="47"/>
        <v>-16139.270708338232</v>
      </c>
      <c r="P64" s="66">
        <f t="shared" si="47"/>
        <v>215849.4695708928</v>
      </c>
      <c r="Q64" s="66">
        <f t="shared" si="47"/>
        <v>189679.05618220143</v>
      </c>
      <c r="R64" s="66">
        <f t="shared" si="47"/>
        <v>166966.12329245053</v>
      </c>
      <c r="S64" s="66">
        <f t="shared" si="47"/>
        <v>178023.58079134475</v>
      </c>
      <c r="T64" s="66">
        <f t="shared" si="47"/>
        <v>156919.88110616084</v>
      </c>
      <c r="U64" s="66">
        <f t="shared" si="47"/>
        <v>136842.25787168666</v>
      </c>
      <c r="V64" s="66">
        <f t="shared" si="47"/>
        <v>146766.90898974749</v>
      </c>
      <c r="W64" s="66">
        <f t="shared" si="47"/>
        <v>128822.47759994074</v>
      </c>
      <c r="X64" s="66">
        <f t="shared" si="47"/>
        <v>112453.89886106619</v>
      </c>
      <c r="Y64" s="66">
        <f t="shared" si="47"/>
        <v>121352.04353724683</v>
      </c>
      <c r="Z64" s="66">
        <f t="shared" si="47"/>
        <v>106059.89841916275</v>
      </c>
      <c r="AB64" s="60">
        <f>SUM(M64:Z64)</f>
        <v>1617817.8979819322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34</v>
      </c>
      <c r="D65" s="21">
        <f t="shared" si="37"/>
        <v>1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8">+N61</f>
        <v>0.5</v>
      </c>
      <c r="O65" s="80">
        <f t="shared" si="48"/>
        <v>1.5</v>
      </c>
      <c r="P65" s="80">
        <f t="shared" si="48"/>
        <v>2.5</v>
      </c>
      <c r="Q65" s="80">
        <f t="shared" si="48"/>
        <v>3.5</v>
      </c>
      <c r="R65" s="80">
        <f t="shared" si="48"/>
        <v>4.5</v>
      </c>
      <c r="S65" s="80">
        <f t="shared" si="48"/>
        <v>5.5</v>
      </c>
      <c r="T65" s="80">
        <f t="shared" si="48"/>
        <v>6.5</v>
      </c>
      <c r="U65" s="80">
        <f t="shared" si="48"/>
        <v>7.5</v>
      </c>
      <c r="V65" s="80">
        <f t="shared" si="48"/>
        <v>8.5</v>
      </c>
      <c r="W65" s="80">
        <f t="shared" si="48"/>
        <v>9.5</v>
      </c>
      <c r="X65" s="80">
        <f t="shared" si="48"/>
        <v>10.5</v>
      </c>
      <c r="Y65" s="80">
        <f t="shared" si="48"/>
        <v>11.5</v>
      </c>
      <c r="Z65" s="80">
        <f t="shared" si="48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35</v>
      </c>
      <c r="D66" s="21">
        <f t="shared" si="37"/>
        <v>1</v>
      </c>
      <c r="F66" s="31">
        <f t="shared" si="2"/>
        <v>35</v>
      </c>
      <c r="G66" s="4" t="str">
        <f>+"Present Value Factor:   "&amp;TEXT(AC66,"0.00%")&amp;"  ("&amp;B66&amp;")"</f>
        <v>Present Value Factor:   7.98%  (9)</v>
      </c>
      <c r="J66" s="38"/>
      <c r="K66" s="38"/>
      <c r="L66" s="38"/>
      <c r="M66" s="38"/>
      <c r="N66" s="73">
        <f t="shared" ref="N66:Z66" si="49">ROUND((1/((1+$AC66)^N65)),4)</f>
        <v>0.96230000000000004</v>
      </c>
      <c r="O66" s="73">
        <f t="shared" si="49"/>
        <v>0.89119999999999999</v>
      </c>
      <c r="P66" s="73">
        <f t="shared" si="49"/>
        <v>0.82540000000000002</v>
      </c>
      <c r="Q66" s="73">
        <f t="shared" si="49"/>
        <v>0.76439999999999997</v>
      </c>
      <c r="R66" s="73">
        <f t="shared" si="49"/>
        <v>0.70789999999999997</v>
      </c>
      <c r="S66" s="73">
        <f t="shared" si="49"/>
        <v>0.65559999999999996</v>
      </c>
      <c r="T66" s="73">
        <f t="shared" si="49"/>
        <v>0.60709999999999997</v>
      </c>
      <c r="U66" s="73">
        <f t="shared" si="49"/>
        <v>0.56220000000000003</v>
      </c>
      <c r="V66" s="73">
        <f t="shared" si="49"/>
        <v>0.52070000000000005</v>
      </c>
      <c r="W66" s="73">
        <f t="shared" si="49"/>
        <v>0.48220000000000002</v>
      </c>
      <c r="X66" s="73">
        <f t="shared" si="49"/>
        <v>0.4466</v>
      </c>
      <c r="Y66" s="73">
        <f t="shared" si="49"/>
        <v>0.41360000000000002</v>
      </c>
      <c r="Z66" s="73">
        <f t="shared" si="49"/>
        <v>0.38300000000000001</v>
      </c>
      <c r="AB66" s="39"/>
      <c r="AC66" s="74">
        <f>+AC58-H9</f>
        <v>7.9799999999999996E-2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35</v>
      </c>
      <c r="D67" s="21">
        <f t="shared" si="37"/>
        <v>1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36</v>
      </c>
      <c r="D68" s="21">
        <f t="shared" si="37"/>
        <v>1</v>
      </c>
      <c r="F68" s="31">
        <f t="shared" si="2"/>
        <v>36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50">+N$52*N66</f>
        <v>-25613.403008454472</v>
      </c>
      <c r="O68" s="66">
        <f t="shared" si="50"/>
        <v>-15835.426682011486</v>
      </c>
      <c r="P68" s="66">
        <f t="shared" si="50"/>
        <v>209135.0536257952</v>
      </c>
      <c r="Q68" s="66">
        <f t="shared" si="50"/>
        <v>181465.16964414861</v>
      </c>
      <c r="R68" s="66">
        <f t="shared" si="50"/>
        <v>157719.9341856495</v>
      </c>
      <c r="S68" s="66">
        <f t="shared" si="50"/>
        <v>166043.90321070651</v>
      </c>
      <c r="T68" s="66">
        <f t="shared" si="50"/>
        <v>144517.68783305559</v>
      </c>
      <c r="U68" s="66">
        <f t="shared" si="50"/>
        <v>124426.19662859818</v>
      </c>
      <c r="V68" s="66">
        <f t="shared" si="50"/>
        <v>131783.97915323594</v>
      </c>
      <c r="W68" s="66">
        <f t="shared" si="50"/>
        <v>114208.85953059647</v>
      </c>
      <c r="X68" s="66">
        <f t="shared" si="50"/>
        <v>98455.030839741536</v>
      </c>
      <c r="Y68" s="66">
        <f t="shared" si="50"/>
        <v>104892.80085058579</v>
      </c>
      <c r="Z68" s="66">
        <f t="shared" si="50"/>
        <v>90510.118303340772</v>
      </c>
      <c r="AB68" s="60">
        <f>SUM(M68:Z68)</f>
        <v>1481709.9041149882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36</v>
      </c>
      <c r="D69" s="21">
        <f t="shared" ref="D69:D76" si="51">IF($C$10="MUNI",1,0)</f>
        <v>0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2">+N65</f>
        <v>0.5</v>
      </c>
      <c r="O69" s="80">
        <f t="shared" si="52"/>
        <v>1.5</v>
      </c>
      <c r="P69" s="80">
        <f t="shared" si="52"/>
        <v>2.5</v>
      </c>
      <c r="Q69" s="80">
        <f t="shared" si="52"/>
        <v>3.5</v>
      </c>
      <c r="R69" s="80">
        <f t="shared" si="52"/>
        <v>4.5</v>
      </c>
      <c r="S69" s="80">
        <f t="shared" si="52"/>
        <v>5.5</v>
      </c>
      <c r="T69" s="80">
        <f t="shared" si="52"/>
        <v>6.5</v>
      </c>
      <c r="U69" s="80">
        <f t="shared" si="52"/>
        <v>7.5</v>
      </c>
      <c r="V69" s="80">
        <f t="shared" si="52"/>
        <v>8.5</v>
      </c>
      <c r="W69" s="80">
        <f t="shared" si="52"/>
        <v>9.5</v>
      </c>
      <c r="X69" s="80">
        <f t="shared" si="52"/>
        <v>10.5</v>
      </c>
      <c r="Y69" s="80">
        <f t="shared" si="52"/>
        <v>11.5</v>
      </c>
      <c r="Z69" s="80">
        <f t="shared" si="52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36</v>
      </c>
      <c r="D70" s="21">
        <f t="shared" si="51"/>
        <v>0</v>
      </c>
      <c r="F70" s="31">
        <f t="shared" si="2"/>
        <v>36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3">ROUND((1/((1+$AC70)^N69)),4)</f>
        <v>0.98129999999999995</v>
      </c>
      <c r="O70" s="73">
        <f t="shared" si="53"/>
        <v>0.94499999999999995</v>
      </c>
      <c r="P70" s="73">
        <f t="shared" si="53"/>
        <v>0.91010000000000002</v>
      </c>
      <c r="Q70" s="73">
        <f t="shared" si="53"/>
        <v>0.87639999999999996</v>
      </c>
      <c r="R70" s="73">
        <f t="shared" si="53"/>
        <v>0.84399999999999997</v>
      </c>
      <c r="S70" s="73">
        <f t="shared" si="53"/>
        <v>0.81279999999999997</v>
      </c>
      <c r="T70" s="73">
        <f t="shared" si="53"/>
        <v>0.78280000000000005</v>
      </c>
      <c r="U70" s="73">
        <f t="shared" si="53"/>
        <v>0.75380000000000003</v>
      </c>
      <c r="V70" s="73">
        <f t="shared" si="53"/>
        <v>0.72589999999999999</v>
      </c>
      <c r="W70" s="73">
        <f t="shared" si="53"/>
        <v>0.69910000000000005</v>
      </c>
      <c r="X70" s="73">
        <f t="shared" si="53"/>
        <v>0.67320000000000002</v>
      </c>
      <c r="Y70" s="73">
        <f t="shared" si="53"/>
        <v>0.64829999999999999</v>
      </c>
      <c r="Z70" s="73">
        <f t="shared" si="53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36</v>
      </c>
      <c r="D71" s="21">
        <f t="shared" si="51"/>
        <v>0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36</v>
      </c>
      <c r="D72" s="21">
        <f t="shared" si="51"/>
        <v>0</v>
      </c>
      <c r="F72" s="31">
        <f t="shared" si="2"/>
        <v>36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4">+N$52*N70</f>
        <v>-26119.123321413666</v>
      </c>
      <c r="O72" s="66">
        <f t="shared" si="54"/>
        <v>-16791.380402267565</v>
      </c>
      <c r="P72" s="66">
        <f t="shared" si="54"/>
        <v>230595.84723144682</v>
      </c>
      <c r="Q72" s="66">
        <f t="shared" si="54"/>
        <v>208053.47288871251</v>
      </c>
      <c r="R72" s="66">
        <f t="shared" si="54"/>
        <v>188042.97846120666</v>
      </c>
      <c r="S72" s="66">
        <f t="shared" si="54"/>
        <v>205857.96908124202</v>
      </c>
      <c r="T72" s="66">
        <f t="shared" si="54"/>
        <v>186342.35881356601</v>
      </c>
      <c r="U72" s="66">
        <f t="shared" si="54"/>
        <v>166831.14019679348</v>
      </c>
      <c r="V72" s="66">
        <f t="shared" si="54"/>
        <v>183718.05351898208</v>
      </c>
      <c r="W72" s="66">
        <f t="shared" si="54"/>
        <v>165581.52985864785</v>
      </c>
      <c r="X72" s="66">
        <f t="shared" si="54"/>
        <v>148410.04648749219</v>
      </c>
      <c r="Y72" s="66">
        <f t="shared" si="54"/>
        <v>164414.9003661382</v>
      </c>
      <c r="Z72" s="66">
        <f t="shared" si="54"/>
        <v>147557.48790758741</v>
      </c>
      <c r="AB72" s="60">
        <f>SUM(M72:Z72)</f>
        <v>1952495.281088134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36</v>
      </c>
      <c r="D73" s="21">
        <f t="shared" si="51"/>
        <v>0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5">+N69</f>
        <v>0.5</v>
      </c>
      <c r="O73" s="80">
        <f t="shared" si="55"/>
        <v>1.5</v>
      </c>
      <c r="P73" s="80">
        <f t="shared" si="55"/>
        <v>2.5</v>
      </c>
      <c r="Q73" s="80">
        <f t="shared" si="55"/>
        <v>3.5</v>
      </c>
      <c r="R73" s="80">
        <f t="shared" si="55"/>
        <v>4.5</v>
      </c>
      <c r="S73" s="80">
        <f t="shared" si="55"/>
        <v>5.5</v>
      </c>
      <c r="T73" s="80">
        <f t="shared" si="55"/>
        <v>6.5</v>
      </c>
      <c r="U73" s="80">
        <f t="shared" si="55"/>
        <v>7.5</v>
      </c>
      <c r="V73" s="80">
        <f t="shared" si="55"/>
        <v>8.5</v>
      </c>
      <c r="W73" s="80">
        <f t="shared" si="55"/>
        <v>9.5</v>
      </c>
      <c r="X73" s="80">
        <f t="shared" si="55"/>
        <v>10.5</v>
      </c>
      <c r="Y73" s="80">
        <f t="shared" si="55"/>
        <v>11.5</v>
      </c>
      <c r="Z73" s="80">
        <f t="shared" si="55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36</v>
      </c>
      <c r="D74" s="21">
        <f t="shared" si="51"/>
        <v>0</v>
      </c>
      <c r="F74" s="31">
        <f t="shared" si="2"/>
        <v>36</v>
      </c>
      <c r="G74" s="4" t="str">
        <f>+"Present Value Factor:   "&amp;TEXT(AC74,"0.00%")&amp;"  ("&amp;B74&amp;")"</f>
        <v>Present Value Factor:   3.34%  (9)</v>
      </c>
      <c r="J74" s="38"/>
      <c r="K74" s="38"/>
      <c r="L74" s="38"/>
      <c r="M74" s="38"/>
      <c r="N74" s="73">
        <f t="shared" ref="N74:Z74" si="56">ROUND((1/((1+$AC74)^N73)),4)</f>
        <v>0.98370000000000002</v>
      </c>
      <c r="O74" s="73">
        <f t="shared" si="56"/>
        <v>0.95189999999999997</v>
      </c>
      <c r="P74" s="73">
        <f t="shared" si="56"/>
        <v>0.92110000000000003</v>
      </c>
      <c r="Q74" s="73">
        <f t="shared" si="56"/>
        <v>0.89139999999999997</v>
      </c>
      <c r="R74" s="73">
        <f t="shared" si="56"/>
        <v>0.86260000000000003</v>
      </c>
      <c r="S74" s="73">
        <f t="shared" si="56"/>
        <v>0.8347</v>
      </c>
      <c r="T74" s="73">
        <f t="shared" si="56"/>
        <v>0.80769999999999997</v>
      </c>
      <c r="U74" s="73">
        <f t="shared" si="56"/>
        <v>0.78159999999999996</v>
      </c>
      <c r="V74" s="73">
        <f t="shared" si="56"/>
        <v>0.75629999999999997</v>
      </c>
      <c r="W74" s="73">
        <f t="shared" si="56"/>
        <v>0.7319</v>
      </c>
      <c r="X74" s="73">
        <f t="shared" si="56"/>
        <v>0.70820000000000005</v>
      </c>
      <c r="Y74" s="73">
        <f t="shared" si="56"/>
        <v>0.68540000000000001</v>
      </c>
      <c r="Z74" s="73">
        <f t="shared" si="56"/>
        <v>0.66320000000000001</v>
      </c>
      <c r="AB74" s="39"/>
      <c r="AC74" s="74">
        <f>+AC70-H9</f>
        <v>3.3399999999999999E-2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36</v>
      </c>
      <c r="D75" s="21">
        <f t="shared" si="51"/>
        <v>0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36</v>
      </c>
      <c r="D76" s="21">
        <f t="shared" si="51"/>
        <v>0</v>
      </c>
      <c r="F76" s="31">
        <f t="shared" si="2"/>
        <v>36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7">+N$52*N74</f>
        <v>-26183.003781997988</v>
      </c>
      <c r="O76" s="66">
        <f t="shared" si="57"/>
        <v>-16913.984132188885</v>
      </c>
      <c r="P76" s="66">
        <f t="shared" si="57"/>
        <v>233382.96328412887</v>
      </c>
      <c r="Q76" s="66">
        <f t="shared" si="57"/>
        <v>211614.40635896663</v>
      </c>
      <c r="R76" s="66">
        <f t="shared" si="57"/>
        <v>192187.05357895364</v>
      </c>
      <c r="S76" s="66">
        <f t="shared" si="57"/>
        <v>211404.58512809142</v>
      </c>
      <c r="T76" s="66">
        <f t="shared" si="57"/>
        <v>192269.70262355293</v>
      </c>
      <c r="U76" s="66">
        <f t="shared" si="57"/>
        <v>172983.8407771475</v>
      </c>
      <c r="V76" s="66">
        <f t="shared" si="57"/>
        <v>191411.99046205558</v>
      </c>
      <c r="W76" s="66">
        <f t="shared" si="57"/>
        <v>173350.19554218903</v>
      </c>
      <c r="X76" s="66">
        <f t="shared" si="57"/>
        <v>156125.95799530891</v>
      </c>
      <c r="Y76" s="66">
        <f t="shared" si="57"/>
        <v>173823.80489117865</v>
      </c>
      <c r="Z76" s="66">
        <f t="shared" si="57"/>
        <v>156726.659161294</v>
      </c>
      <c r="AB76" s="60">
        <f>SUM(M76:Z76)</f>
        <v>2022184.1718886807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3"/>
      <c r="N80" s="22" t="s">
        <v>59</v>
      </c>
      <c r="O80" s="101"/>
      <c r="Q80" s="99"/>
      <c r="R80" s="100"/>
      <c r="S80" s="63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7" ht="15" x14ac:dyDescent="0.25">
      <c r="D81" s="21">
        <v>2</v>
      </c>
      <c r="K81" s="99"/>
      <c r="L81" s="100"/>
      <c r="M81" s="63"/>
      <c r="N81" s="100"/>
      <c r="O81" s="101"/>
      <c r="Q81" s="99"/>
      <c r="R81" s="100"/>
      <c r="S81" s="63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7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236318.84674501506</v>
      </c>
      <c r="O82" s="101"/>
      <c r="Q82" s="105" t="s">
        <v>60</v>
      </c>
      <c r="R82" s="100"/>
      <c r="S82" s="100">
        <f>+AD83</f>
        <v>290909.38734501507</v>
      </c>
      <c r="T82" s="106">
        <f>+AE83</f>
        <v>14.6</v>
      </c>
      <c r="U82" s="103">
        <f>+T82*S82</f>
        <v>4247277.0552372197</v>
      </c>
      <c r="AB82" s="39"/>
      <c r="AC82" s="39"/>
      <c r="AD82" s="39"/>
      <c r="AE82" s="39"/>
      <c r="AF82" s="39"/>
      <c r="AG82" s="39"/>
      <c r="AH82" s="39"/>
    </row>
    <row r="83" spans="1:37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387487.06014501507</v>
      </c>
      <c r="T83" s="106">
        <f>+AE84</f>
        <v>10.1</v>
      </c>
      <c r="U83" s="109">
        <f>+T83*S83</f>
        <v>3913619.3074646522</v>
      </c>
      <c r="V83" s="110"/>
      <c r="W83" s="110"/>
      <c r="X83" s="110"/>
      <c r="Y83" s="110"/>
      <c r="Z83" s="110"/>
      <c r="AB83" s="39">
        <f>+AB52</f>
        <v>236318.84674501506</v>
      </c>
      <c r="AC83" s="39"/>
      <c r="AD83" s="39">
        <f>+Z$42</f>
        <v>290909.38734501507</v>
      </c>
      <c r="AE83" s="39">
        <f>+H7</f>
        <v>14.6</v>
      </c>
      <c r="AF83" s="39"/>
      <c r="AG83" s="39"/>
      <c r="AH83" s="39"/>
    </row>
    <row r="84" spans="1:37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3"/>
      <c r="N84" s="78">
        <f>+N82/N83</f>
        <v>3319084.9261940317</v>
      </c>
      <c r="O84" s="101"/>
      <c r="Q84" s="112" t="s">
        <v>64</v>
      </c>
      <c r="R84" s="100"/>
      <c r="S84" s="63"/>
      <c r="T84" s="100"/>
      <c r="U84" s="113">
        <f>ROUND((0.33*U82)+(0.67*U83),0)</f>
        <v>4023726</v>
      </c>
      <c r="AB84" s="39"/>
      <c r="AC84" s="39"/>
      <c r="AD84" s="39">
        <f>+Z$41</f>
        <v>387487.06014501507</v>
      </c>
      <c r="AE84" s="39">
        <f>+H8</f>
        <v>10.1</v>
      </c>
      <c r="AF84" s="39"/>
      <c r="AG84" s="39"/>
      <c r="AH84" s="39"/>
    </row>
    <row r="85" spans="1:37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3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3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7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3"/>
      <c r="N86" s="117">
        <f>+N85*N84</f>
        <v>1404968.6492579337</v>
      </c>
      <c r="O86" s="101"/>
      <c r="Q86" s="105" t="s">
        <v>65</v>
      </c>
      <c r="R86" s="116"/>
      <c r="S86" s="63"/>
      <c r="T86" s="78"/>
      <c r="U86" s="118">
        <f>+U85*U84</f>
        <v>1703243.2158000001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7" ht="16.899999999999999" customHeight="1" x14ac:dyDescent="0.25">
      <c r="D87" s="21">
        <v>2</v>
      </c>
      <c r="K87" s="104" t="s">
        <v>66</v>
      </c>
      <c r="L87" s="116"/>
      <c r="M87" s="63"/>
      <c r="N87" s="100"/>
      <c r="O87" s="101"/>
      <c r="Q87" s="105" t="s">
        <v>66</v>
      </c>
      <c r="R87" s="116"/>
      <c r="S87" s="63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7" ht="16.899999999999999" customHeight="1" x14ac:dyDescent="0.25">
      <c r="D88" s="21">
        <v>2</v>
      </c>
      <c r="K88" s="104" t="str">
        <f>+A89</f>
        <v>Cash Flow for 13 Years</v>
      </c>
      <c r="L88" s="116"/>
      <c r="M88" s="63"/>
      <c r="N88" s="121">
        <f>+AB89</f>
        <v>1565927.115539219</v>
      </c>
      <c r="O88" s="101"/>
      <c r="Q88" s="105" t="str">
        <f>+K88</f>
        <v>Cash Flow for 13 Years</v>
      </c>
      <c r="R88" s="116"/>
      <c r="S88" s="63"/>
      <c r="T88" s="78"/>
      <c r="U88" s="109">
        <f>+AB89</f>
        <v>1565927.115539219</v>
      </c>
      <c r="AB88" s="39"/>
      <c r="AC88" s="39"/>
      <c r="AD88" s="39"/>
      <c r="AE88" s="39"/>
      <c r="AF88" s="39"/>
      <c r="AG88" s="39"/>
      <c r="AH88" s="39"/>
    </row>
    <row r="89" spans="1:37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3"/>
      <c r="N89" s="100"/>
      <c r="O89" s="101"/>
      <c r="Q89" s="105"/>
      <c r="R89" s="116"/>
      <c r="S89" s="63"/>
      <c r="T89" s="100"/>
      <c r="U89" s="103"/>
      <c r="AB89" s="39">
        <f>+AB56</f>
        <v>1565927.115539219</v>
      </c>
      <c r="AC89" s="39"/>
      <c r="AD89" s="39"/>
      <c r="AE89" s="39"/>
      <c r="AF89" s="39"/>
      <c r="AG89" s="39"/>
      <c r="AH89" s="39"/>
    </row>
    <row r="90" spans="1:37" ht="16.899999999999999" customHeight="1" thickBot="1" x14ac:dyDescent="0.3">
      <c r="D90" s="21">
        <v>2</v>
      </c>
      <c r="K90" s="104" t="s">
        <v>67</v>
      </c>
      <c r="L90" s="116"/>
      <c r="M90" s="63"/>
      <c r="N90" s="66">
        <f>+N86+N88</f>
        <v>2970895.764797153</v>
      </c>
      <c r="O90" s="101"/>
      <c r="Q90" s="105" t="s">
        <v>67</v>
      </c>
      <c r="R90" s="116"/>
      <c r="S90" s="63"/>
      <c r="T90" s="78"/>
      <c r="U90" s="122">
        <f>+U86+U88</f>
        <v>3269170.3313392191</v>
      </c>
      <c r="AB90" s="39"/>
      <c r="AC90" s="39"/>
      <c r="AD90" s="39"/>
      <c r="AE90" s="39"/>
      <c r="AF90" s="39"/>
      <c r="AG90" s="39"/>
      <c r="AH90" s="39"/>
    </row>
    <row r="91" spans="1:37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  <c r="AK95" s="39"/>
    </row>
    <row r="96" spans="1:37" ht="15" x14ac:dyDescent="0.25">
      <c r="D96" s="21">
        <v>2</v>
      </c>
      <c r="K96" s="99"/>
      <c r="L96" s="100"/>
      <c r="M96" s="63"/>
      <c r="N96" s="22" t="s">
        <v>59</v>
      </c>
      <c r="O96" s="101"/>
      <c r="P96" s="38"/>
      <c r="Q96" s="99"/>
      <c r="R96" s="100"/>
      <c r="S96" s="63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15" x14ac:dyDescent="0.25">
      <c r="D97" s="21">
        <v>2</v>
      </c>
      <c r="K97" s="99"/>
      <c r="L97" s="100"/>
      <c r="M97" s="63"/>
      <c r="N97" s="100"/>
      <c r="O97" s="101"/>
      <c r="P97" s="38"/>
      <c r="Q97" s="99"/>
      <c r="R97" s="100"/>
      <c r="S97" s="63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236318.84674501506</v>
      </c>
      <c r="O98" s="101"/>
      <c r="P98" s="38"/>
      <c r="Q98" s="105" t="s">
        <v>60</v>
      </c>
      <c r="R98" s="100"/>
      <c r="S98" s="100">
        <f>+AD99</f>
        <v>290909.38734501507</v>
      </c>
      <c r="T98" s="106">
        <f>+AE99</f>
        <v>14.6</v>
      </c>
      <c r="U98" s="103">
        <f>+T98*S98</f>
        <v>4247277.0552372197</v>
      </c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387487.06014501507</v>
      </c>
      <c r="T99" s="106">
        <f>+AE100</f>
        <v>10.1</v>
      </c>
      <c r="U99" s="109">
        <f>+T99*S99</f>
        <v>3913619.3074646522</v>
      </c>
      <c r="AB99" s="39">
        <f>+AB52</f>
        <v>236318.84674501506</v>
      </c>
      <c r="AC99" s="39"/>
      <c r="AD99" s="39">
        <f>+AD83</f>
        <v>290909.38734501507</v>
      </c>
      <c r="AE99" s="39">
        <f>+AE$83</f>
        <v>14.6</v>
      </c>
      <c r="AF99" s="39"/>
      <c r="AG99" s="39"/>
      <c r="AH99" s="39"/>
      <c r="AI99" s="39"/>
      <c r="AJ99" s="39"/>
      <c r="AK99" s="39"/>
    </row>
    <row r="100" spans="1:37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3"/>
      <c r="N100" s="78">
        <f>+N98/N99</f>
        <v>2786778.8531251778</v>
      </c>
      <c r="O100" s="101"/>
      <c r="P100" s="38"/>
      <c r="Q100" s="112" t="s">
        <v>64</v>
      </c>
      <c r="R100" s="100"/>
      <c r="S100" s="63"/>
      <c r="T100" s="100"/>
      <c r="U100" s="113">
        <f>ROUND((0.33*U98)+(0.67*U99),0)</f>
        <v>4023726</v>
      </c>
      <c r="AB100" s="39"/>
      <c r="AC100" s="39"/>
      <c r="AD100" s="39">
        <f>+AD84</f>
        <v>387487.06014501507</v>
      </c>
      <c r="AE100" s="39">
        <f>+AE$84</f>
        <v>10.1</v>
      </c>
      <c r="AF100" s="39"/>
      <c r="AG100" s="39"/>
      <c r="AH100" s="39"/>
      <c r="AI100" s="39"/>
      <c r="AJ100" s="39"/>
      <c r="AK100" s="39"/>
    </row>
    <row r="101" spans="1:37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3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3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3"/>
      <c r="N102" s="117">
        <f>+N101*N100</f>
        <v>1007420.5554047518</v>
      </c>
      <c r="O102" s="101"/>
      <c r="P102" s="38"/>
      <c r="Q102" s="105" t="s">
        <v>65</v>
      </c>
      <c r="R102" s="116"/>
      <c r="S102" s="63"/>
      <c r="T102" s="78"/>
      <c r="U102" s="118">
        <f>+U101*U100</f>
        <v>1454576.949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  <c r="AK102" s="39"/>
    </row>
    <row r="103" spans="1:37" ht="16.899999999999999" customHeight="1" x14ac:dyDescent="0.25">
      <c r="D103" s="21">
        <v>2</v>
      </c>
      <c r="K103" s="104" t="s">
        <v>66</v>
      </c>
      <c r="L103" s="116"/>
      <c r="M103" s="63"/>
      <c r="N103" s="100"/>
      <c r="O103" s="101"/>
      <c r="P103" s="38"/>
      <c r="Q103" s="105" t="s">
        <v>66</v>
      </c>
      <c r="R103" s="116"/>
      <c r="S103" s="63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ht="16.899999999999999" customHeight="1" x14ac:dyDescent="0.25">
      <c r="D104" s="21">
        <v>2</v>
      </c>
      <c r="K104" s="104" t="str">
        <f>+K$88</f>
        <v>Cash Flow for 13 Years</v>
      </c>
      <c r="L104" s="116"/>
      <c r="M104" s="63"/>
      <c r="N104" s="121">
        <f>+AB105</f>
        <v>1435458.1315732109</v>
      </c>
      <c r="O104" s="101"/>
      <c r="P104" s="38"/>
      <c r="Q104" s="105" t="str">
        <f>+Q$88</f>
        <v>Cash Flow for 13 Years</v>
      </c>
      <c r="R104" s="116"/>
      <c r="S104" s="63"/>
      <c r="T104" s="78"/>
      <c r="U104" s="109">
        <f>+AB105</f>
        <v>1435458.1315732109</v>
      </c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3"/>
      <c r="N105" s="100"/>
      <c r="O105" s="101"/>
      <c r="P105" s="38"/>
      <c r="Q105" s="105"/>
      <c r="R105" s="116"/>
      <c r="S105" s="63"/>
      <c r="T105" s="100"/>
      <c r="U105" s="103"/>
      <c r="AB105" s="39">
        <f>+AB60</f>
        <v>1435458.1315732109</v>
      </c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16.899999999999999" customHeight="1" thickBot="1" x14ac:dyDescent="0.3">
      <c r="D106" s="21">
        <v>2</v>
      </c>
      <c r="K106" s="104" t="s">
        <v>67</v>
      </c>
      <c r="L106" s="116"/>
      <c r="M106" s="63"/>
      <c r="N106" s="66">
        <f>+N102+N104</f>
        <v>2442878.686977963</v>
      </c>
      <c r="O106" s="101"/>
      <c r="P106" s="38"/>
      <c r="Q106" s="105" t="s">
        <v>67</v>
      </c>
      <c r="R106" s="116"/>
      <c r="S106" s="63"/>
      <c r="T106" s="78"/>
      <c r="U106" s="122">
        <f>+U102+U104</f>
        <v>2890035.080573211</v>
      </c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ht="15" x14ac:dyDescent="0.25">
      <c r="D108" s="21">
        <v>2</v>
      </c>
      <c r="K108" s="100"/>
      <c r="L108" s="100"/>
      <c r="M108" s="63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15" x14ac:dyDescent="0.25">
      <c r="D109" s="21">
        <v>2</v>
      </c>
      <c r="K109" s="100"/>
      <c r="L109" s="100"/>
      <c r="M109" s="63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  <c r="AK109" s="39"/>
    </row>
    <row r="110" spans="1:37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  <c r="AK110" s="39"/>
    </row>
    <row r="111" spans="1:37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6.62%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7.98%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6.6199999999999995E-2</v>
      </c>
      <c r="AC112" s="39"/>
      <c r="AD112" s="97">
        <f>+AB112</f>
        <v>6.6199999999999995E-2</v>
      </c>
      <c r="AE112" s="39"/>
      <c r="AF112" s="39"/>
      <c r="AG112" s="39"/>
      <c r="AH112" s="39"/>
      <c r="AI112" s="39"/>
      <c r="AJ112" s="39"/>
      <c r="AK112" s="39"/>
    </row>
    <row r="113" spans="1:40" ht="15" x14ac:dyDescent="0.25">
      <c r="D113" s="21">
        <v>2</v>
      </c>
      <c r="K113" s="99"/>
      <c r="L113" s="100"/>
      <c r="M113" s="63"/>
      <c r="N113" s="22" t="s">
        <v>59</v>
      </c>
      <c r="O113" s="101"/>
      <c r="Q113" s="99"/>
      <c r="R113" s="100"/>
      <c r="S113" s="63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40" ht="15" x14ac:dyDescent="0.25">
      <c r="D114" s="21">
        <v>2</v>
      </c>
      <c r="K114" s="99"/>
      <c r="L114" s="100"/>
      <c r="M114" s="63"/>
      <c r="N114" s="100"/>
      <c r="O114" s="101"/>
      <c r="Q114" s="99"/>
      <c r="R114" s="100"/>
      <c r="S114" s="63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236318.84674501506</v>
      </c>
      <c r="O115" s="101"/>
      <c r="Q115" s="104" t="str">
        <f t="shared" ref="Q115:Q121" si="58">+K98</f>
        <v>Projected Debt Free Net Cash Flow (10)</v>
      </c>
      <c r="R115" s="100"/>
      <c r="S115" s="100"/>
      <c r="T115" s="100">
        <f>+AB132</f>
        <v>236318.84674501506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9">+K83</f>
        <v>Divided by Capitalization Factor (8)</v>
      </c>
      <c r="L116" s="100"/>
      <c r="M116" s="78"/>
      <c r="N116" s="108">
        <f>+AB112</f>
        <v>6.6199999999999995E-2</v>
      </c>
      <c r="O116" s="101"/>
      <c r="Q116" s="104" t="str">
        <f t="shared" si="58"/>
        <v>Divided by Capitalization Factor (9)</v>
      </c>
      <c r="R116" s="100"/>
      <c r="S116" s="78"/>
      <c r="T116" s="108">
        <f>+AB128</f>
        <v>7.9799999999999996E-2</v>
      </c>
      <c r="U116" s="101"/>
      <c r="AB116" s="39">
        <f>+AB$52</f>
        <v>236318.84674501506</v>
      </c>
      <c r="AC116" s="39"/>
      <c r="AD116" s="39">
        <f>+Z$42</f>
        <v>290909.38734501507</v>
      </c>
      <c r="AE116" s="39">
        <f>+AE$83</f>
        <v>14.6</v>
      </c>
      <c r="AF116" s="39"/>
      <c r="AG116" s="39"/>
      <c r="AH116" s="39"/>
      <c r="AI116" s="39"/>
      <c r="AJ116" s="39"/>
      <c r="AK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9"/>
        <v>13th Year Terminal Value</v>
      </c>
      <c r="L117" s="100"/>
      <c r="M117" s="63"/>
      <c r="N117" s="78">
        <f>+N115/N116</f>
        <v>3569771.0988672972</v>
      </c>
      <c r="O117" s="101"/>
      <c r="Q117" s="104" t="str">
        <f t="shared" si="58"/>
        <v>13th Year Terminal Value</v>
      </c>
      <c r="R117" s="100"/>
      <c r="S117" s="63"/>
      <c r="T117" s="78">
        <f>+T115/T116</f>
        <v>2961389.0569550763</v>
      </c>
      <c r="U117" s="101"/>
      <c r="AB117" s="39"/>
      <c r="AC117" s="39"/>
      <c r="AD117" s="39">
        <f>+Z$41</f>
        <v>387487.06014501507</v>
      </c>
      <c r="AE117" s="39">
        <f>+AE$84</f>
        <v>10.1</v>
      </c>
      <c r="AF117" s="39"/>
      <c r="AG117" s="39"/>
      <c r="AH117" s="39"/>
      <c r="AI117" s="39"/>
      <c r="AJ117" s="39"/>
      <c r="AK117" s="39"/>
    </row>
    <row r="118" spans="1:40" ht="16.899999999999999" customHeight="1" x14ac:dyDescent="0.25">
      <c r="D118" s="21">
        <v>2</v>
      </c>
      <c r="K118" s="104" t="str">
        <f t="shared" si="59"/>
        <v>13th Year Present Value Factor (11)</v>
      </c>
      <c r="L118" s="100"/>
      <c r="M118" s="63"/>
      <c r="N118" s="114">
        <f>+N85</f>
        <v>0.42330000000000001</v>
      </c>
      <c r="O118" s="101"/>
      <c r="Q118" s="104" t="str">
        <f t="shared" si="58"/>
        <v>13th Year Present Value Factor (12)</v>
      </c>
      <c r="R118" s="100"/>
      <c r="S118" s="63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9"/>
        <v>Present Value of Terminal Value</v>
      </c>
      <c r="L119" s="116"/>
      <c r="M119" s="63"/>
      <c r="N119" s="117">
        <f>+N118*N117</f>
        <v>1511084.106150527</v>
      </c>
      <c r="O119" s="101"/>
      <c r="Q119" s="104" t="str">
        <f t="shared" si="58"/>
        <v>Present Value of Terminal Value</v>
      </c>
      <c r="R119" s="116"/>
      <c r="S119" s="63"/>
      <c r="T119" s="117">
        <f>+T118*T117</f>
        <v>1070542.1440892601</v>
      </c>
      <c r="U119" s="101"/>
      <c r="AB119" s="119">
        <f>+Z62</f>
        <v>0.44879999999999998</v>
      </c>
      <c r="AC119" s="39"/>
      <c r="AD119" s="120">
        <f>+AB119</f>
        <v>0.44879999999999998</v>
      </c>
      <c r="AE119" s="39"/>
      <c r="AF119" s="39"/>
      <c r="AG119" s="39"/>
      <c r="AH119" s="39"/>
      <c r="AI119" s="39"/>
      <c r="AJ119" s="39"/>
      <c r="AK119" s="39"/>
    </row>
    <row r="120" spans="1:40" ht="16.899999999999999" customHeight="1" x14ac:dyDescent="0.25">
      <c r="D120" s="21">
        <v>2</v>
      </c>
      <c r="K120" s="104" t="str">
        <f t="shared" si="59"/>
        <v>Present Value Debt Free Net</v>
      </c>
      <c r="L120" s="116"/>
      <c r="M120" s="63"/>
      <c r="N120" s="100"/>
      <c r="O120" s="101"/>
      <c r="Q120" s="104" t="str">
        <f t="shared" si="58"/>
        <v>Present Value Debt Free Net</v>
      </c>
      <c r="R120" s="116"/>
      <c r="S120" s="63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3"/>
      <c r="N121" s="121">
        <f>+AB122</f>
        <v>1565927.115539219</v>
      </c>
      <c r="O121" s="101"/>
      <c r="Q121" s="104" t="str">
        <f t="shared" si="58"/>
        <v>Cash Flow for 13 Years</v>
      </c>
      <c r="R121" s="116"/>
      <c r="S121" s="63"/>
      <c r="T121" s="121">
        <f>+AB138</f>
        <v>1435458.1315732109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40" ht="16.899999999999999" customHeight="1" x14ac:dyDescent="0.25">
      <c r="D122" s="21">
        <v>2</v>
      </c>
      <c r="K122" s="104"/>
      <c r="L122" s="116"/>
      <c r="M122" s="63"/>
      <c r="N122" s="100"/>
      <c r="O122" s="101"/>
      <c r="Q122" s="104"/>
      <c r="R122" s="116"/>
      <c r="S122" s="63"/>
      <c r="T122" s="100"/>
      <c r="U122" s="101"/>
      <c r="V122" s="39"/>
      <c r="W122" s="39"/>
      <c r="X122" s="39"/>
      <c r="Y122" s="39"/>
      <c r="AB122" s="39">
        <f>+AB56</f>
        <v>1565927.115539219</v>
      </c>
      <c r="AC122" s="39"/>
      <c r="AD122" s="39">
        <f>+AB122</f>
        <v>1565927.115539219</v>
      </c>
      <c r="AE122" s="39"/>
      <c r="AF122" s="39"/>
      <c r="AG122" s="39"/>
      <c r="AH122" s="39"/>
      <c r="AI122" s="39"/>
      <c r="AJ122" s="39"/>
      <c r="AK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3"/>
      <c r="N123" s="66">
        <f>+N119+N121</f>
        <v>3077011.2216897458</v>
      </c>
      <c r="O123" s="101"/>
      <c r="Q123" s="104" t="s">
        <v>67</v>
      </c>
      <c r="R123" s="116"/>
      <c r="S123" s="63"/>
      <c r="T123" s="66">
        <f>+T119+T121</f>
        <v>2506000.2756624711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7.98%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7.9799999999999996E-2</v>
      </c>
      <c r="AC128" s="39"/>
      <c r="AD128" s="97">
        <f>+AB128</f>
        <v>7.9799999999999996E-2</v>
      </c>
      <c r="AE128" s="39"/>
      <c r="AF128" s="39"/>
      <c r="AG128" s="39"/>
      <c r="AH128" s="39"/>
      <c r="AI128" s="39"/>
      <c r="AJ128" s="39"/>
      <c r="AK128" s="39"/>
    </row>
    <row r="129" spans="4:37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4:37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4:37" ht="15" x14ac:dyDescent="0.25">
      <c r="D131" s="21"/>
      <c r="P131" s="38"/>
      <c r="Q131" s="137" t="s">
        <v>60</v>
      </c>
      <c r="R131" s="133"/>
      <c r="S131" s="133">
        <f>+AD132</f>
        <v>290909.38734501507</v>
      </c>
      <c r="T131" s="138">
        <f>+AE132</f>
        <v>14.6</v>
      </c>
      <c r="U131" s="133">
        <f>+T131*S131</f>
        <v>4247277.0552372197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4:37" ht="16.899999999999999" customHeight="1" x14ac:dyDescent="0.25">
      <c r="D132" s="21"/>
      <c r="P132" s="38"/>
      <c r="Q132" s="137" t="s">
        <v>62</v>
      </c>
      <c r="R132" s="133"/>
      <c r="S132" s="139">
        <f>+AD133</f>
        <v>387487.06014501507</v>
      </c>
      <c r="T132" s="138">
        <f>+AE133</f>
        <v>10.1</v>
      </c>
      <c r="U132" s="139">
        <f>+T132*S132</f>
        <v>3913619.3074646522</v>
      </c>
      <c r="V132" s="39"/>
      <c r="W132" s="39"/>
      <c r="X132" s="39"/>
      <c r="Y132" s="39"/>
      <c r="AB132" s="39">
        <f>+AB$52</f>
        <v>236318.84674501506</v>
      </c>
      <c r="AC132" s="39"/>
      <c r="AD132" s="39">
        <f>+AD116</f>
        <v>290909.38734501507</v>
      </c>
      <c r="AE132" s="39">
        <f>+AE$83</f>
        <v>14.6</v>
      </c>
      <c r="AF132" s="39"/>
      <c r="AG132" s="39"/>
      <c r="AH132" s="39"/>
      <c r="AI132" s="39"/>
      <c r="AJ132" s="39"/>
      <c r="AK132" s="39"/>
    </row>
    <row r="133" spans="4:37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4023726</v>
      </c>
      <c r="V133" s="39"/>
      <c r="W133" s="39"/>
      <c r="X133" s="39"/>
      <c r="Y133" s="39"/>
      <c r="AB133" s="39"/>
      <c r="AC133" s="39"/>
      <c r="AD133" s="39">
        <f>+AD117</f>
        <v>387487.06014501507</v>
      </c>
      <c r="AE133" s="39">
        <f>+AE$84</f>
        <v>10.1</v>
      </c>
      <c r="AF133" s="39"/>
      <c r="AG133" s="39"/>
      <c r="AH133" s="39"/>
      <c r="AI133" s="39"/>
      <c r="AJ133" s="39"/>
      <c r="AK133" s="39"/>
    </row>
    <row r="134" spans="4:37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  <c r="AK134" s="39"/>
    </row>
    <row r="135" spans="4:37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1454576.949</v>
      </c>
      <c r="V135" s="39"/>
      <c r="W135" s="39"/>
      <c r="X135" s="39"/>
      <c r="Y135" s="39"/>
      <c r="AB135" s="119">
        <f>+Z66</f>
        <v>0.38300000000000001</v>
      </c>
      <c r="AC135" s="39"/>
      <c r="AD135" s="120">
        <f>+AB135</f>
        <v>0.38300000000000001</v>
      </c>
      <c r="AE135" s="39"/>
      <c r="AF135" s="39"/>
      <c r="AG135" s="39"/>
      <c r="AH135" s="39"/>
      <c r="AI135" s="39"/>
      <c r="AJ135" s="39"/>
      <c r="AK135" s="39"/>
    </row>
    <row r="136" spans="4:37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4:37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1435458.1315732109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4:37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1435458.1315732109</v>
      </c>
      <c r="AC138" s="39"/>
      <c r="AD138" s="39">
        <f>+AB138</f>
        <v>1435458.1315732109</v>
      </c>
      <c r="AE138" s="39"/>
      <c r="AF138" s="39"/>
      <c r="AG138" s="39"/>
      <c r="AH138" s="39"/>
      <c r="AI138" s="39"/>
      <c r="AJ138" s="39"/>
      <c r="AK138" s="39"/>
    </row>
    <row r="139" spans="4:37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2890035.080573211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4:37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</row>
    <row r="141" spans="4:37" ht="15" x14ac:dyDescent="0.25">
      <c r="D141" s="21"/>
      <c r="K141" s="100"/>
      <c r="L141" s="100"/>
      <c r="M141" s="63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</row>
    <row r="142" spans="4:37" ht="15.75" x14ac:dyDescent="0.25">
      <c r="D142" s="21">
        <v>2</v>
      </c>
      <c r="L142" s="82" t="s">
        <v>71</v>
      </c>
      <c r="M142" s="63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  <c r="AK142" s="39"/>
    </row>
    <row r="143" spans="4:37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  <c r="AK143" s="39"/>
    </row>
    <row r="144" spans="4:37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</row>
    <row r="145" spans="3:37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  <c r="AK145" s="39"/>
    </row>
    <row r="146" spans="3:37" ht="15" x14ac:dyDescent="0.25">
      <c r="D146" s="21">
        <v>3</v>
      </c>
      <c r="K146" s="99"/>
      <c r="L146" s="100"/>
      <c r="M146" s="63"/>
      <c r="N146" s="22" t="s">
        <v>59</v>
      </c>
      <c r="O146" s="101"/>
      <c r="Q146" s="99"/>
      <c r="R146" s="100"/>
      <c r="S146" s="63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</row>
    <row r="147" spans="3:37" ht="15" x14ac:dyDescent="0.25">
      <c r="D147" s="21">
        <v>3</v>
      </c>
      <c r="K147" s="99"/>
      <c r="L147" s="100"/>
      <c r="M147" s="63"/>
      <c r="N147" s="100"/>
      <c r="O147" s="101"/>
      <c r="Q147" s="99"/>
      <c r="R147" s="100"/>
      <c r="S147" s="63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3:37" ht="15" x14ac:dyDescent="0.25">
      <c r="D148" s="21">
        <v>3</v>
      </c>
      <c r="K148" s="104" t="str">
        <f t="shared" ref="K148:K154" si="60">+K115</f>
        <v>Projected Debt Free Net Cash Flow (10)</v>
      </c>
      <c r="L148" s="100"/>
      <c r="M148" s="100"/>
      <c r="N148" s="100">
        <f>+AB149</f>
        <v>236318.84674501506</v>
      </c>
      <c r="O148" s="101"/>
      <c r="Q148" s="105" t="s">
        <v>60</v>
      </c>
      <c r="R148" s="100"/>
      <c r="S148" s="100">
        <f>+AD149</f>
        <v>290909.38734501507</v>
      </c>
      <c r="T148" s="106">
        <f>+AE149</f>
        <v>14.6</v>
      </c>
      <c r="U148" s="103">
        <f>+T148*S148</f>
        <v>4247277.0552372197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</row>
    <row r="149" spans="3:37" ht="16.899999999999999" customHeight="1" x14ac:dyDescent="0.25">
      <c r="D149" s="21">
        <v>3</v>
      </c>
      <c r="K149" s="104" t="str">
        <f t="shared" si="60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387487.06014501507</v>
      </c>
      <c r="T149" s="106">
        <f>+AE150</f>
        <v>10.1</v>
      </c>
      <c r="U149" s="109">
        <f>+T149*S149</f>
        <v>3913619.3074646522</v>
      </c>
      <c r="V149" s="39"/>
      <c r="W149" s="39"/>
      <c r="X149" s="39"/>
      <c r="Y149" s="39"/>
      <c r="AB149" s="39">
        <f>+AB$52</f>
        <v>236318.84674501506</v>
      </c>
      <c r="AC149" s="39"/>
      <c r="AD149" s="39">
        <f>+Z$42</f>
        <v>290909.38734501507</v>
      </c>
      <c r="AE149" s="39">
        <f>+AE$83</f>
        <v>14.6</v>
      </c>
      <c r="AF149" s="39"/>
      <c r="AG149" s="39"/>
      <c r="AH149" s="39"/>
      <c r="AI149" s="39"/>
      <c r="AJ149" s="39"/>
      <c r="AK149" s="39"/>
    </row>
    <row r="150" spans="3:37" ht="16.899999999999999" customHeight="1" x14ac:dyDescent="0.25">
      <c r="D150" s="21">
        <v>3</v>
      </c>
      <c r="K150" s="104" t="str">
        <f t="shared" si="60"/>
        <v>13th Year Terminal Value</v>
      </c>
      <c r="L150" s="100"/>
      <c r="M150" s="63"/>
      <c r="N150" s="78">
        <f>+N148/N149</f>
        <v>6154136.6339847678</v>
      </c>
      <c r="O150" s="101"/>
      <c r="Q150" s="112" t="s">
        <v>64</v>
      </c>
      <c r="R150" s="100"/>
      <c r="S150" s="63"/>
      <c r="T150" s="100"/>
      <c r="U150" s="113">
        <f>ROUND((0.33*U148)+(0.67*U149),0)</f>
        <v>4023726</v>
      </c>
      <c r="V150" s="39"/>
      <c r="W150" s="39"/>
      <c r="X150" s="39"/>
      <c r="Y150" s="39"/>
      <c r="AB150" s="39"/>
      <c r="AC150" s="39"/>
      <c r="AD150" s="39">
        <f>+Z$41</f>
        <v>387487.06014501507</v>
      </c>
      <c r="AE150" s="39">
        <f>+AE$84</f>
        <v>10.1</v>
      </c>
      <c r="AF150" s="39"/>
      <c r="AG150" s="39"/>
      <c r="AH150" s="39"/>
      <c r="AI150" s="39"/>
      <c r="AJ150" s="39"/>
      <c r="AK150" s="39"/>
    </row>
    <row r="151" spans="3:37" ht="16.899999999999999" customHeight="1" x14ac:dyDescent="0.25">
      <c r="D151" s="21">
        <v>3</v>
      </c>
      <c r="K151" s="104" t="str">
        <f t="shared" si="60"/>
        <v>13th Year Present Value Factor (11)</v>
      </c>
      <c r="L151" s="100"/>
      <c r="M151" s="63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3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  <c r="AK151" s="39"/>
    </row>
    <row r="152" spans="3:37" ht="16.899999999999999" customHeight="1" x14ac:dyDescent="0.25">
      <c r="D152" s="21">
        <v>3</v>
      </c>
      <c r="K152" s="104" t="str">
        <f t="shared" si="60"/>
        <v>Present Value of Terminal Value</v>
      </c>
      <c r="L152" s="116"/>
      <c r="M152" s="63"/>
      <c r="N152" s="117">
        <f>+N151*N150</f>
        <v>3842642.9142600889</v>
      </c>
      <c r="O152" s="101"/>
      <c r="Q152" s="105" t="s">
        <v>65</v>
      </c>
      <c r="R152" s="116"/>
      <c r="S152" s="63"/>
      <c r="T152" s="78"/>
      <c r="U152" s="118">
        <f>+U151*U150</f>
        <v>2512414.5143999998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  <c r="AK152" s="39"/>
    </row>
    <row r="153" spans="3:37" ht="16.899999999999999" customHeight="1" x14ac:dyDescent="0.25">
      <c r="D153" s="21">
        <v>3</v>
      </c>
      <c r="K153" s="104" t="str">
        <f t="shared" si="60"/>
        <v>Present Value Debt Free Net</v>
      </c>
      <c r="L153" s="116"/>
      <c r="M153" s="63"/>
      <c r="N153" s="100"/>
      <c r="O153" s="101"/>
      <c r="Q153" s="105" t="s">
        <v>66</v>
      </c>
      <c r="R153" s="116"/>
      <c r="S153" s="63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3:37" ht="16.899999999999999" customHeight="1" x14ac:dyDescent="0.25">
      <c r="D154" s="21">
        <v>3</v>
      </c>
      <c r="K154" s="104" t="str">
        <f t="shared" si="60"/>
        <v>Cash Flow for 13 Years</v>
      </c>
      <c r="L154" s="116"/>
      <c r="M154" s="63"/>
      <c r="N154" s="121">
        <f>+AB155</f>
        <v>1952495.281088134</v>
      </c>
      <c r="O154" s="101"/>
      <c r="Q154" s="105" t="str">
        <f>+Q$88</f>
        <v>Cash Flow for 13 Years</v>
      </c>
      <c r="R154" s="116"/>
      <c r="S154" s="63"/>
      <c r="T154" s="78"/>
      <c r="U154" s="109">
        <f>+AD155</f>
        <v>1952495.281088134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</row>
    <row r="155" spans="3:37" ht="16.899999999999999" customHeight="1" x14ac:dyDescent="0.25">
      <c r="D155" s="21">
        <v>3</v>
      </c>
      <c r="K155" s="104"/>
      <c r="L155" s="116"/>
      <c r="M155" s="63"/>
      <c r="N155" s="100"/>
      <c r="O155" s="101"/>
      <c r="Q155" s="105"/>
      <c r="R155" s="116"/>
      <c r="S155" s="63"/>
      <c r="T155" s="100"/>
      <c r="U155" s="103"/>
      <c r="V155" s="39"/>
      <c r="W155" s="39"/>
      <c r="X155" s="39"/>
      <c r="Y155" s="39"/>
      <c r="AB155" s="39">
        <f>+AB72</f>
        <v>1952495.281088134</v>
      </c>
      <c r="AC155" s="39"/>
      <c r="AD155" s="39">
        <f>+AB155</f>
        <v>1952495.281088134</v>
      </c>
      <c r="AE155" s="39"/>
      <c r="AF155" s="39"/>
      <c r="AG155" s="39"/>
      <c r="AH155" s="39"/>
      <c r="AI155" s="39"/>
      <c r="AJ155" s="39"/>
      <c r="AK155" s="39"/>
    </row>
    <row r="156" spans="3:37" ht="16.899999999999999" customHeight="1" thickBot="1" x14ac:dyDescent="0.3">
      <c r="D156" s="21">
        <v>3</v>
      </c>
      <c r="K156" s="104" t="s">
        <v>67</v>
      </c>
      <c r="L156" s="116"/>
      <c r="M156" s="63"/>
      <c r="N156" s="66">
        <f>+N152+N154</f>
        <v>5795138.1953482227</v>
      </c>
      <c r="O156" s="101"/>
      <c r="Q156" s="105" t="s">
        <v>67</v>
      </c>
      <c r="R156" s="116"/>
      <c r="S156" s="63"/>
      <c r="T156" s="78"/>
      <c r="U156" s="122">
        <f>+U152+U154</f>
        <v>4464909.795488134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3:37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</row>
    <row r="158" spans="3:37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</row>
    <row r="159" spans="3:37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</row>
    <row r="160" spans="3:37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3.34%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3.34%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</row>
    <row r="161" spans="3:34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3.3399999999999999E-2</v>
      </c>
      <c r="AC161" s="39"/>
      <c r="AD161" s="97">
        <f>+AB161</f>
        <v>3.3399999999999999E-2</v>
      </c>
      <c r="AE161" s="39"/>
      <c r="AF161" s="39"/>
      <c r="AG161" s="39"/>
      <c r="AH161" s="39"/>
    </row>
    <row r="162" spans="3:34" ht="15" x14ac:dyDescent="0.25">
      <c r="D162" s="21">
        <v>3</v>
      </c>
      <c r="K162" s="99"/>
      <c r="L162" s="100"/>
      <c r="M162" s="63"/>
      <c r="N162" s="22" t="s">
        <v>59</v>
      </c>
      <c r="O162" s="101"/>
      <c r="P162" s="38"/>
      <c r="Q162" s="99"/>
      <c r="R162" s="100"/>
      <c r="S162" s="63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</row>
    <row r="163" spans="3:34" ht="15" x14ac:dyDescent="0.25">
      <c r="D163" s="21">
        <v>3</v>
      </c>
      <c r="K163" s="99"/>
      <c r="L163" s="100"/>
      <c r="M163" s="63"/>
      <c r="N163" s="100"/>
      <c r="O163" s="101"/>
      <c r="P163" s="38"/>
      <c r="Q163" s="99"/>
      <c r="R163" s="100"/>
      <c r="S163" s="63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</row>
    <row r="164" spans="3:34" ht="15" x14ac:dyDescent="0.25">
      <c r="D164" s="21">
        <v>3</v>
      </c>
      <c r="K164" s="104" t="str">
        <f t="shared" ref="K164:K170" si="61">+Q115</f>
        <v>Projected Debt Free Net Cash Flow (10)</v>
      </c>
      <c r="L164" s="100"/>
      <c r="M164" s="100"/>
      <c r="N164" s="100">
        <f>+AB165</f>
        <v>236318.84674501506</v>
      </c>
      <c r="O164" s="101"/>
      <c r="P164" s="38"/>
      <c r="Q164" s="105" t="s">
        <v>60</v>
      </c>
      <c r="R164" s="100"/>
      <c r="S164" s="100">
        <f>+AD165</f>
        <v>290909.38734501507</v>
      </c>
      <c r="T164" s="106">
        <f>+AE165</f>
        <v>14.6</v>
      </c>
      <c r="U164" s="103">
        <f>+T164*S164</f>
        <v>4247277.0552372197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</row>
    <row r="165" spans="3:34" ht="16.899999999999999" customHeight="1" x14ac:dyDescent="0.25">
      <c r="D165" s="21">
        <v>3</v>
      </c>
      <c r="K165" s="104" t="str">
        <f t="shared" si="61"/>
        <v>Divided by Capitalization Factor (9)</v>
      </c>
      <c r="L165" s="100"/>
      <c r="M165" s="78"/>
      <c r="N165" s="108">
        <f>+AB161</f>
        <v>3.3399999999999999E-2</v>
      </c>
      <c r="O165" s="101"/>
      <c r="P165" s="38"/>
      <c r="Q165" s="105" t="s">
        <v>62</v>
      </c>
      <c r="R165" s="100"/>
      <c r="S165" s="78">
        <f>+AD166</f>
        <v>387487.06014501507</v>
      </c>
      <c r="T165" s="106">
        <f>+AE166</f>
        <v>10.1</v>
      </c>
      <c r="U165" s="109">
        <f>+T165*S165</f>
        <v>3913619.3074646522</v>
      </c>
      <c r="V165" s="39"/>
      <c r="W165" s="39"/>
      <c r="X165" s="39"/>
      <c r="Y165" s="39"/>
      <c r="AB165" s="39">
        <f>+AB$52</f>
        <v>236318.84674501506</v>
      </c>
      <c r="AC165" s="39"/>
      <c r="AD165" s="39">
        <f>+AD149</f>
        <v>290909.38734501507</v>
      </c>
      <c r="AE165" s="39">
        <f>+AE$83</f>
        <v>14.6</v>
      </c>
      <c r="AF165" s="39"/>
      <c r="AG165" s="39"/>
      <c r="AH165" s="39"/>
    </row>
    <row r="166" spans="3:34" ht="16.899999999999999" customHeight="1" x14ac:dyDescent="0.25">
      <c r="D166" s="21">
        <v>3</v>
      </c>
      <c r="K166" s="104" t="str">
        <f t="shared" si="61"/>
        <v>13th Year Terminal Value</v>
      </c>
      <c r="L166" s="100"/>
      <c r="M166" s="63"/>
      <c r="N166" s="78">
        <f>+N164/N165</f>
        <v>7075414.5732040443</v>
      </c>
      <c r="O166" s="101"/>
      <c r="P166" s="38"/>
      <c r="Q166" s="112" t="s">
        <v>64</v>
      </c>
      <c r="R166" s="100"/>
      <c r="S166" s="63"/>
      <c r="T166" s="100"/>
      <c r="U166" s="113">
        <f>ROUND((0.33*U164)+(0.67*U165),0)</f>
        <v>4023726</v>
      </c>
      <c r="V166" s="39"/>
      <c r="W166" s="39"/>
      <c r="X166" s="39"/>
      <c r="Y166" s="39"/>
      <c r="AB166" s="39"/>
      <c r="AC166" s="39"/>
      <c r="AD166" s="39">
        <f>+AD150</f>
        <v>387487.06014501507</v>
      </c>
      <c r="AE166" s="39">
        <f>+AE$84</f>
        <v>10.1</v>
      </c>
      <c r="AF166" s="39"/>
      <c r="AG166" s="39"/>
      <c r="AH166" s="39"/>
    </row>
    <row r="167" spans="3:34" ht="16.899999999999999" customHeight="1" x14ac:dyDescent="0.25">
      <c r="D167" s="21">
        <v>3</v>
      </c>
      <c r="K167" s="104" t="str">
        <f t="shared" si="61"/>
        <v>13th Year Present Value Factor (12)</v>
      </c>
      <c r="L167" s="100"/>
      <c r="M167" s="63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3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</row>
    <row r="168" spans="3:34" ht="16.899999999999999" customHeight="1" x14ac:dyDescent="0.25">
      <c r="D168" s="21">
        <v>3</v>
      </c>
      <c r="K168" s="104" t="str">
        <f t="shared" si="61"/>
        <v>Present Value of Terminal Value</v>
      </c>
      <c r="L168" s="116"/>
      <c r="M168" s="63"/>
      <c r="N168" s="117">
        <f>+N167*N166</f>
        <v>4417888.8595086047</v>
      </c>
      <c r="O168" s="101"/>
      <c r="P168" s="38"/>
      <c r="Q168" s="105" t="s">
        <v>65</v>
      </c>
      <c r="R168" s="116"/>
      <c r="S168" s="63"/>
      <c r="T168" s="78"/>
      <c r="U168" s="118">
        <f>+U167*U166</f>
        <v>2512414.5143999998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4" ht="16.899999999999999" customHeight="1" x14ac:dyDescent="0.25">
      <c r="D169" s="21">
        <v>3</v>
      </c>
      <c r="K169" s="104" t="str">
        <f t="shared" si="61"/>
        <v>Present Value Debt Free Net</v>
      </c>
      <c r="L169" s="116"/>
      <c r="M169" s="63"/>
      <c r="N169" s="100"/>
      <c r="O169" s="101"/>
      <c r="P169" s="38"/>
      <c r="Q169" s="105" t="s">
        <v>66</v>
      </c>
      <c r="R169" s="116"/>
      <c r="S169" s="63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4" ht="16.899999999999999" customHeight="1" x14ac:dyDescent="0.25">
      <c r="D170" s="21">
        <v>3</v>
      </c>
      <c r="K170" s="104" t="str">
        <f t="shared" si="61"/>
        <v>Cash Flow for 13 Years</v>
      </c>
      <c r="L170" s="116"/>
      <c r="M170" s="63"/>
      <c r="N170" s="121">
        <f>+AB171</f>
        <v>1952495.281088134</v>
      </c>
      <c r="O170" s="101"/>
      <c r="P170" s="38"/>
      <c r="Q170" s="105" t="str">
        <f>+Q$88</f>
        <v>Cash Flow for 13 Years</v>
      </c>
      <c r="R170" s="116"/>
      <c r="S170" s="63"/>
      <c r="T170" s="78"/>
      <c r="U170" s="109">
        <f>+AD171</f>
        <v>1952495.281088134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4" ht="16.899999999999999" customHeight="1" x14ac:dyDescent="0.25">
      <c r="D171" s="21">
        <v>3</v>
      </c>
      <c r="K171" s="104"/>
      <c r="L171" s="116"/>
      <c r="M171" s="63"/>
      <c r="N171" s="100"/>
      <c r="O171" s="101"/>
      <c r="P171" s="38"/>
      <c r="Q171" s="105"/>
      <c r="R171" s="116"/>
      <c r="S171" s="63"/>
      <c r="T171" s="100"/>
      <c r="U171" s="103"/>
      <c r="V171" s="39"/>
      <c r="W171" s="39"/>
      <c r="X171" s="39"/>
      <c r="Y171" s="39"/>
      <c r="AB171" s="39">
        <f>+AB72</f>
        <v>1952495.281088134</v>
      </c>
      <c r="AC171" s="39"/>
      <c r="AD171" s="39">
        <f>+AB171</f>
        <v>1952495.281088134</v>
      </c>
      <c r="AE171" s="39"/>
      <c r="AF171" s="39"/>
      <c r="AG171" s="39"/>
      <c r="AH171" s="39"/>
    </row>
    <row r="172" spans="3:34" ht="16.899999999999999" customHeight="1" thickBot="1" x14ac:dyDescent="0.3">
      <c r="D172" s="21">
        <v>3</v>
      </c>
      <c r="K172" s="104" t="s">
        <v>67</v>
      </c>
      <c r="L172" s="116"/>
      <c r="M172" s="63"/>
      <c r="N172" s="66">
        <f>+N168+N170</f>
        <v>6370384.140596739</v>
      </c>
      <c r="O172" s="101"/>
      <c r="P172" s="38"/>
      <c r="Q172" s="105" t="s">
        <v>67</v>
      </c>
      <c r="R172" s="116"/>
      <c r="S172" s="63"/>
      <c r="T172" s="78"/>
      <c r="U172" s="122">
        <f>+U168+U170</f>
        <v>4464909.795488134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4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4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4" ht="15" x14ac:dyDescent="0.25">
      <c r="D175" s="21">
        <v>3</v>
      </c>
      <c r="H175" s="100"/>
      <c r="I175" s="100"/>
      <c r="J175" s="63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4" ht="15.75" x14ac:dyDescent="0.25">
      <c r="D176" s="21">
        <v>3</v>
      </c>
      <c r="G176" s="81" t="s">
        <v>56</v>
      </c>
      <c r="H176" s="100"/>
      <c r="I176" s="100"/>
      <c r="J176" s="63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27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27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27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27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27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27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27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27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27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27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27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27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27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27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3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3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3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3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1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1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3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3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0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0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1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2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2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17</v>
      </c>
      <c r="D248" s="21">
        <v>1</v>
      </c>
      <c r="G248" s="162" t="str">
        <f t="shared" si="62"/>
        <v>(4)</v>
      </c>
      <c r="H248" s="1" t="str">
        <f>+"Line "&amp;B248&amp;" + line "&amp;B248-2&amp;"."</f>
        <v>Line 17 + line 15.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17</v>
      </c>
      <c r="D249" s="21">
        <v>1</v>
      </c>
      <c r="G249" s="162" t="str">
        <f t="shared" si="62"/>
        <v>(5)</v>
      </c>
      <c r="H249" s="1" t="str">
        <f>+"Line "&amp;B249&amp;"."</f>
        <v>Line 17.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0</v>
      </c>
      <c r="G250" s="159" t="str">
        <f t="shared" si="62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1</v>
      </c>
      <c r="F251" s="48"/>
      <c r="G251" s="159" t="str">
        <f t="shared" si="62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2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1</v>
      </c>
      <c r="G256" s="159" t="str">
        <f t="shared" ref="G256:G264" si="63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1</v>
      </c>
      <c r="G257" s="159" t="str">
        <f t="shared" si="63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0</v>
      </c>
      <c r="G258" s="159" t="str">
        <f t="shared" si="63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0</v>
      </c>
      <c r="G259" s="159" t="str">
        <f t="shared" si="63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27</v>
      </c>
      <c r="D260" s="21">
        <v>1</v>
      </c>
      <c r="G260" s="162" t="str">
        <f t="shared" si="63"/>
        <v>(10)</v>
      </c>
      <c r="H260" s="1" t="str">
        <f>+"Final year shown, line "&amp;B260&amp;"."</f>
        <v>Final year shown, line 27.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29</v>
      </c>
      <c r="D261" s="21">
        <f>IF($C$10="SUBJECT",0,1)</f>
        <v>1</v>
      </c>
      <c r="G261" s="162" t="str">
        <f t="shared" si="63"/>
        <v>(11)</v>
      </c>
      <c r="H261" s="1" t="str">
        <f>+"Final year shown, line "&amp;B261&amp;"."</f>
        <v>Final year shown, line 29.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31</v>
      </c>
      <c r="D262" s="21">
        <f>IF($C$10="SUBJECT",0,1)</f>
        <v>1</v>
      </c>
      <c r="G262" s="162" t="str">
        <f t="shared" si="63"/>
        <v>(12)</v>
      </c>
      <c r="H262" s="1" t="str">
        <f>+"Final year shown, line "&amp;B262&amp;"."</f>
        <v>Final year shown, line 31.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3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3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4">+H19</f>
        <v>2013</v>
      </c>
      <c r="I285" s="20">
        <f t="shared" si="64"/>
        <v>2014</v>
      </c>
      <c r="J285" s="20">
        <f t="shared" si="64"/>
        <v>2015</v>
      </c>
      <c r="K285" s="20">
        <f t="shared" si="64"/>
        <v>2016</v>
      </c>
      <c r="L285" s="20">
        <f t="shared" si="64"/>
        <v>2017</v>
      </c>
      <c r="M285" s="20">
        <f t="shared" si="64"/>
        <v>2018</v>
      </c>
      <c r="N285" s="178">
        <f t="shared" si="64"/>
        <v>2019</v>
      </c>
      <c r="O285" s="178">
        <f t="shared" si="64"/>
        <v>2020</v>
      </c>
      <c r="P285" s="20">
        <f t="shared" si="64"/>
        <v>2021</v>
      </c>
      <c r="Q285" s="20">
        <f t="shared" si="64"/>
        <v>2022</v>
      </c>
      <c r="R285" s="20">
        <f t="shared" si="64"/>
        <v>2023</v>
      </c>
      <c r="S285" s="20">
        <f t="shared" si="64"/>
        <v>2024</v>
      </c>
      <c r="T285" s="20">
        <f t="shared" si="64"/>
        <v>2025</v>
      </c>
      <c r="U285" s="20">
        <f t="shared" si="64"/>
        <v>2026</v>
      </c>
      <c r="V285" s="20">
        <f t="shared" si="64"/>
        <v>2027</v>
      </c>
      <c r="W285" s="20">
        <f t="shared" si="64"/>
        <v>2028</v>
      </c>
      <c r="X285" s="20">
        <f t="shared" si="64"/>
        <v>2029</v>
      </c>
      <c r="Y285" s="20">
        <f t="shared" si="64"/>
        <v>2030</v>
      </c>
      <c r="Z285" s="20">
        <f t="shared" si="64"/>
        <v>2031</v>
      </c>
      <c r="AA285" s="20">
        <f t="shared" ref="AA285" si="65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6">+I449</f>
        <v>0</v>
      </c>
      <c r="J287" s="179">
        <f t="shared" si="66"/>
        <v>0</v>
      </c>
      <c r="K287" s="179"/>
      <c r="L287" s="179">
        <v>4931649</v>
      </c>
      <c r="M287" s="179">
        <f>+L287+M304-M309</f>
        <v>4931649</v>
      </c>
      <c r="N287" s="179">
        <f>+M287+N304-N309</f>
        <v>4997755</v>
      </c>
      <c r="O287" s="179">
        <f>+N287+O304-O309</f>
        <v>5064227</v>
      </c>
      <c r="P287" s="179">
        <f>+O287+P304-P309</f>
        <v>5131586</v>
      </c>
      <c r="Q287" s="179">
        <f>+P287+Q304-Q309</f>
        <v>5199842</v>
      </c>
      <c r="R287" s="179">
        <f>+Q287+R304-R309</f>
        <v>5269005</v>
      </c>
      <c r="S287" s="179">
        <f>+R287+S304-S309</f>
        <v>5339087</v>
      </c>
      <c r="T287" s="179">
        <f>+S287+T304-T309</f>
        <v>5410102</v>
      </c>
      <c r="U287" s="179">
        <f>+T287+U304-U309</f>
        <v>5483220</v>
      </c>
      <c r="V287" s="179">
        <f>+U287+V304-V309</f>
        <v>5557326</v>
      </c>
      <c r="W287" s="179">
        <f>+V287+W304-W309</f>
        <v>5632433</v>
      </c>
      <c r="X287" s="179">
        <f>+W287+X304-X309</f>
        <v>5708556</v>
      </c>
      <c r="Y287" s="179">
        <f>+X287+Y304-Y309</f>
        <v>5785707</v>
      </c>
      <c r="Z287" s="179">
        <f>+Y287+Z304-Z309</f>
        <v>5863901</v>
      </c>
      <c r="AA287" s="20"/>
    </row>
    <row r="288" spans="4:29" x14ac:dyDescent="0.2">
      <c r="G288" s="1" t="s">
        <v>116</v>
      </c>
      <c r="H288" s="179">
        <f t="shared" ref="H288:J288" si="67">+H450</f>
        <v>0</v>
      </c>
      <c r="I288" s="179">
        <f t="shared" si="67"/>
        <v>0</v>
      </c>
      <c r="J288" s="179">
        <f t="shared" si="67"/>
        <v>0</v>
      </c>
      <c r="K288" s="179"/>
      <c r="L288" s="179">
        <v>1696790</v>
      </c>
      <c r="M288" s="179">
        <f>+L288+M312-M309</f>
        <v>1778655.3733999999</v>
      </c>
      <c r="N288" s="179">
        <f>+M288+N312-N309</f>
        <v>1849307.0911999999</v>
      </c>
      <c r="O288" s="179">
        <f>+N288+O312-O309</f>
        <v>1920994.1061999998</v>
      </c>
      <c r="P288" s="179">
        <f>+O288+P312-P309</f>
        <v>1993633.9501999998</v>
      </c>
      <c r="Q288" s="179">
        <f>+P288+Q312-Q309</f>
        <v>2067239.3307999999</v>
      </c>
      <c r="R288" s="179">
        <f>+Q288+R312-R309</f>
        <v>2141824.105</v>
      </c>
      <c r="S288" s="179">
        <f>+R288+S312-S309</f>
        <v>2217400.2791999998</v>
      </c>
      <c r="T288" s="179">
        <f>+S288+T312-T309</f>
        <v>2293982.0921999998</v>
      </c>
      <c r="U288" s="179">
        <f>+T288+U312-U309</f>
        <v>2371386.5955999997</v>
      </c>
      <c r="V288" s="179">
        <f>+U288+V312-V309</f>
        <v>2449837.9693999998</v>
      </c>
      <c r="W288" s="179">
        <f>+V288+W312-W309</f>
        <v>2529348.5645999997</v>
      </c>
      <c r="X288" s="179">
        <f>+W288+X312-X309</f>
        <v>2609933.9645999996</v>
      </c>
      <c r="Y288" s="179">
        <f>+X288+Y312-Y309</f>
        <v>2691607.9851999995</v>
      </c>
      <c r="Z288" s="179">
        <f>+Y288+Z312-Z309</f>
        <v>2774386.6579999994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8">+I287-I288</f>
        <v>0</v>
      </c>
      <c r="J289" s="181">
        <f t="shared" si="68"/>
        <v>0</v>
      </c>
      <c r="K289" s="181"/>
      <c r="L289" s="181">
        <v>3234859</v>
      </c>
      <c r="M289" s="181">
        <f t="shared" si="68"/>
        <v>3152993.6266000001</v>
      </c>
      <c r="N289" s="181">
        <f t="shared" si="68"/>
        <v>3148447.9088000003</v>
      </c>
      <c r="O289" s="181">
        <f t="shared" si="68"/>
        <v>3143232.8938000002</v>
      </c>
      <c r="P289" s="181">
        <f t="shared" si="68"/>
        <v>3137952.0498000002</v>
      </c>
      <c r="Q289" s="181">
        <f t="shared" si="68"/>
        <v>3132602.6692000004</v>
      </c>
      <c r="R289" s="181">
        <f t="shared" si="68"/>
        <v>3127180.895</v>
      </c>
      <c r="S289" s="181">
        <f t="shared" si="68"/>
        <v>3121686.7208000002</v>
      </c>
      <c r="T289" s="181">
        <f t="shared" si="68"/>
        <v>3116119.9078000002</v>
      </c>
      <c r="U289" s="181">
        <f t="shared" si="68"/>
        <v>3111833.4044000003</v>
      </c>
      <c r="V289" s="181">
        <f t="shared" si="68"/>
        <v>3107488.0306000002</v>
      </c>
      <c r="W289" s="181">
        <f t="shared" si="68"/>
        <v>3103084.4354000003</v>
      </c>
      <c r="X289" s="181">
        <f t="shared" si="68"/>
        <v>3098622.0354000004</v>
      </c>
      <c r="Y289" s="181">
        <f t="shared" si="68"/>
        <v>3094099.0148000005</v>
      </c>
      <c r="Z289" s="181">
        <f t="shared" si="68"/>
        <v>3089514.3420000006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9">+I453</f>
        <v>0</v>
      </c>
      <c r="J291" s="179">
        <f t="shared" si="69"/>
        <v>0</v>
      </c>
      <c r="K291" s="179">
        <f t="shared" si="69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9"/>
        <v>0</v>
      </c>
      <c r="J292" s="179">
        <f t="shared" si="69"/>
        <v>0</v>
      </c>
      <c r="K292" s="179">
        <f t="shared" si="69"/>
        <v>2723127</v>
      </c>
      <c r="L292" s="183">
        <f>+K292</f>
        <v>2723127</v>
      </c>
      <c r="M292" s="183">
        <f t="shared" ref="M292:N292" si="70">+L292</f>
        <v>2723127</v>
      </c>
      <c r="N292" s="183">
        <f t="shared" si="70"/>
        <v>2723127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1">SUM(I291:I292)</f>
        <v>0</v>
      </c>
      <c r="J293" s="181">
        <f t="shared" si="71"/>
        <v>0</v>
      </c>
      <c r="K293" s="181">
        <f t="shared" si="71"/>
        <v>2723127</v>
      </c>
      <c r="L293" s="181">
        <f t="shared" si="71"/>
        <v>2723127</v>
      </c>
      <c r="M293" s="187">
        <f>SUM(M291:M292)</f>
        <v>2723127</v>
      </c>
      <c r="N293" s="187">
        <f>SUM(N291:N292)</f>
        <v>2723127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1.66E-2</v>
      </c>
      <c r="L296" s="188">
        <v>1.66E-2</v>
      </c>
      <c r="M296" s="188">
        <v>1.66E-2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2">+M323</f>
        <v>0</v>
      </c>
      <c r="N300" s="166">
        <f t="shared" si="72"/>
        <v>77772.104729999992</v>
      </c>
      <c r="O300" s="166">
        <f t="shared" si="72"/>
        <v>78201.831909999994</v>
      </c>
      <c r="P300" s="166">
        <f t="shared" si="72"/>
        <v>79246.164250000016</v>
      </c>
      <c r="Q300" s="166">
        <f t="shared" si="72"/>
        <v>80300.501799999998</v>
      </c>
      <c r="R300" s="166">
        <f t="shared" si="72"/>
        <v>81367.861569999994</v>
      </c>
      <c r="S300" s="166">
        <f t="shared" si="72"/>
        <v>82450.285489999995</v>
      </c>
      <c r="T300" s="166">
        <f t="shared" si="72"/>
        <v>83546.965490000002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3">IF($C$10="IOU",1-$K301,1)</f>
        <v>1</v>
      </c>
      <c r="O301" s="190">
        <f t="shared" si="73"/>
        <v>1</v>
      </c>
      <c r="P301" s="190">
        <f t="shared" si="73"/>
        <v>1</v>
      </c>
      <c r="Q301" s="190">
        <f t="shared" si="73"/>
        <v>1</v>
      </c>
      <c r="R301" s="190">
        <f t="shared" si="73"/>
        <v>1</v>
      </c>
      <c r="S301" s="190">
        <f t="shared" si="73"/>
        <v>1</v>
      </c>
      <c r="T301" s="190">
        <f t="shared" si="73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4">+Q303</f>
        <v>1.5900000000000001E-2</v>
      </c>
      <c r="S303" s="188">
        <f t="shared" si="74"/>
        <v>1.5900000000000001E-2</v>
      </c>
      <c r="T303" s="188">
        <f t="shared" si="74"/>
        <v>1.5900000000000001E-2</v>
      </c>
      <c r="U303" s="188">
        <f t="shared" si="74"/>
        <v>1.5900000000000001E-2</v>
      </c>
      <c r="V303" s="188">
        <f t="shared" si="74"/>
        <v>1.5900000000000001E-2</v>
      </c>
      <c r="W303" s="188">
        <f t="shared" si="74"/>
        <v>1.5900000000000001E-2</v>
      </c>
      <c r="X303" s="188">
        <f t="shared" si="74"/>
        <v>1.5900000000000001E-2</v>
      </c>
      <c r="Y303" s="188">
        <f t="shared" si="74"/>
        <v>1.5900000000000001E-2</v>
      </c>
      <c r="Z303" s="188">
        <f t="shared" si="74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5">+M323</f>
        <v>0</v>
      </c>
      <c r="N304" s="166">
        <f>+ROUND(+N301*N300,0)</f>
        <v>77772</v>
      </c>
      <c r="O304" s="166">
        <f t="shared" ref="O304:T304" si="76">+ROUND(+O301*O300,0)</f>
        <v>78202</v>
      </c>
      <c r="P304" s="166">
        <f t="shared" si="76"/>
        <v>79246</v>
      </c>
      <c r="Q304" s="166">
        <f t="shared" si="76"/>
        <v>80301</v>
      </c>
      <c r="R304" s="166">
        <f t="shared" si="76"/>
        <v>81368</v>
      </c>
      <c r="S304" s="166">
        <f t="shared" si="76"/>
        <v>82450</v>
      </c>
      <c r="T304" s="166">
        <f t="shared" si="76"/>
        <v>83547</v>
      </c>
      <c r="U304" s="192">
        <f>ROUND(+U303*T287,0)</f>
        <v>86021</v>
      </c>
      <c r="V304" s="192">
        <f>ROUND(+V303*U287,0)</f>
        <v>87183</v>
      </c>
      <c r="W304" s="192">
        <f>ROUND(+W303*V287,0)</f>
        <v>88361</v>
      </c>
      <c r="X304" s="192">
        <f>ROUND(+X303*W287,0)</f>
        <v>89556</v>
      </c>
      <c r="Y304" s="192">
        <f>ROUND(+Y303*X287,0)</f>
        <v>90766</v>
      </c>
      <c r="Z304" s="192">
        <f>ROUND(+Z303*Y287,0)</f>
        <v>91993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1.66E-2</v>
      </c>
      <c r="M305" s="193">
        <f>+M296</f>
        <v>1.66E-2</v>
      </c>
      <c r="N305" s="193">
        <f>+M296</f>
        <v>1.66E-2</v>
      </c>
      <c r="O305" s="193">
        <f t="shared" ref="O305:Z305" si="77">+N305</f>
        <v>1.66E-2</v>
      </c>
      <c r="P305" s="193">
        <f t="shared" si="77"/>
        <v>1.66E-2</v>
      </c>
      <c r="Q305" s="193">
        <f t="shared" si="77"/>
        <v>1.66E-2</v>
      </c>
      <c r="R305" s="193">
        <f t="shared" si="77"/>
        <v>1.66E-2</v>
      </c>
      <c r="S305" s="193">
        <f t="shared" si="77"/>
        <v>1.66E-2</v>
      </c>
      <c r="T305" s="193">
        <f t="shared" si="77"/>
        <v>1.66E-2</v>
      </c>
      <c r="U305" s="193">
        <f t="shared" si="77"/>
        <v>1.66E-2</v>
      </c>
      <c r="V305" s="193">
        <f t="shared" si="77"/>
        <v>1.66E-2</v>
      </c>
      <c r="W305" s="193">
        <f t="shared" si="77"/>
        <v>1.66E-2</v>
      </c>
      <c r="X305" s="193">
        <f t="shared" si="77"/>
        <v>1.66E-2</v>
      </c>
      <c r="Y305" s="193">
        <f t="shared" si="77"/>
        <v>1.66E-2</v>
      </c>
      <c r="Z305" s="193">
        <f t="shared" si="77"/>
        <v>1.66E-2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8.3000000000000001E-3</v>
      </c>
      <c r="M306" s="188">
        <f>+M305*0.5</f>
        <v>8.3000000000000001E-3</v>
      </c>
      <c r="N306" s="188">
        <f>+N305*0.5</f>
        <v>8.3000000000000001E-3</v>
      </c>
      <c r="O306" s="188">
        <f t="shared" ref="O306:Z306" si="78">+O305*0.5</f>
        <v>8.3000000000000001E-3</v>
      </c>
      <c r="P306" s="188">
        <f t="shared" si="78"/>
        <v>8.3000000000000001E-3</v>
      </c>
      <c r="Q306" s="188">
        <f t="shared" si="78"/>
        <v>8.3000000000000001E-3</v>
      </c>
      <c r="R306" s="188">
        <f t="shared" si="78"/>
        <v>8.3000000000000001E-3</v>
      </c>
      <c r="S306" s="188">
        <f t="shared" si="78"/>
        <v>8.3000000000000001E-3</v>
      </c>
      <c r="T306" s="188">
        <f t="shared" si="78"/>
        <v>8.3000000000000001E-3</v>
      </c>
      <c r="U306" s="188">
        <f t="shared" si="78"/>
        <v>8.3000000000000001E-3</v>
      </c>
      <c r="V306" s="188">
        <f t="shared" si="78"/>
        <v>8.3000000000000001E-3</v>
      </c>
      <c r="W306" s="188">
        <f t="shared" si="78"/>
        <v>8.3000000000000001E-3</v>
      </c>
      <c r="X306" s="188">
        <f t="shared" si="78"/>
        <v>8.3000000000000001E-3</v>
      </c>
      <c r="Y306" s="188">
        <f t="shared" si="78"/>
        <v>8.3000000000000001E-3</v>
      </c>
      <c r="Z306" s="188">
        <f t="shared" si="78"/>
        <v>8.3000000000000001E-3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646</v>
      </c>
      <c r="O307" s="192">
        <f t="shared" ref="O307:Z307" si="79">ROUND(+O306*O304,0)</f>
        <v>649</v>
      </c>
      <c r="P307" s="192">
        <f t="shared" si="79"/>
        <v>658</v>
      </c>
      <c r="Q307" s="192">
        <f t="shared" si="79"/>
        <v>666</v>
      </c>
      <c r="R307" s="192">
        <f t="shared" si="79"/>
        <v>675</v>
      </c>
      <c r="S307" s="192">
        <f t="shared" si="79"/>
        <v>684</v>
      </c>
      <c r="T307" s="192">
        <f t="shared" si="79"/>
        <v>693</v>
      </c>
      <c r="U307" s="192">
        <f t="shared" si="79"/>
        <v>714</v>
      </c>
      <c r="V307" s="192">
        <f t="shared" si="79"/>
        <v>724</v>
      </c>
      <c r="W307" s="192">
        <f t="shared" si="79"/>
        <v>733</v>
      </c>
      <c r="X307" s="192">
        <f t="shared" si="79"/>
        <v>743</v>
      </c>
      <c r="Y307" s="192">
        <f t="shared" si="79"/>
        <v>753</v>
      </c>
      <c r="Z307" s="192">
        <f t="shared" si="79"/>
        <v>764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80">+N308</f>
        <v>0.15</v>
      </c>
      <c r="P308" s="194">
        <f t="shared" si="80"/>
        <v>0.15</v>
      </c>
      <c r="Q308" s="194">
        <f t="shared" si="80"/>
        <v>0.15</v>
      </c>
      <c r="R308" s="194">
        <f t="shared" si="80"/>
        <v>0.15</v>
      </c>
      <c r="S308" s="194">
        <f t="shared" si="80"/>
        <v>0.15</v>
      </c>
      <c r="T308" s="194">
        <f t="shared" si="80"/>
        <v>0.15</v>
      </c>
      <c r="U308" s="194">
        <f t="shared" si="80"/>
        <v>0.15</v>
      </c>
      <c r="V308" s="194">
        <f t="shared" si="80"/>
        <v>0.15</v>
      </c>
      <c r="W308" s="194">
        <f t="shared" si="80"/>
        <v>0.15</v>
      </c>
      <c r="X308" s="194">
        <f t="shared" si="80"/>
        <v>0.15</v>
      </c>
      <c r="Y308" s="194">
        <f t="shared" si="80"/>
        <v>0.15</v>
      </c>
      <c r="Z308" s="194">
        <f t="shared" si="80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1">ROUND(+N308*N304,0)</f>
        <v>11666</v>
      </c>
      <c r="O309" s="192">
        <f t="shared" si="81"/>
        <v>11730</v>
      </c>
      <c r="P309" s="192">
        <f t="shared" si="81"/>
        <v>11887</v>
      </c>
      <c r="Q309" s="192">
        <f t="shared" si="81"/>
        <v>12045</v>
      </c>
      <c r="R309" s="192">
        <f t="shared" si="81"/>
        <v>12205</v>
      </c>
      <c r="S309" s="192">
        <f t="shared" si="81"/>
        <v>12368</v>
      </c>
      <c r="T309" s="192">
        <f t="shared" si="81"/>
        <v>12532</v>
      </c>
      <c r="U309" s="192">
        <f t="shared" si="81"/>
        <v>12903</v>
      </c>
      <c r="V309" s="192">
        <f t="shared" si="81"/>
        <v>13077</v>
      </c>
      <c r="W309" s="192">
        <f t="shared" si="81"/>
        <v>13254</v>
      </c>
      <c r="X309" s="192">
        <f t="shared" si="81"/>
        <v>13433</v>
      </c>
      <c r="Y309" s="192">
        <f t="shared" si="81"/>
        <v>13615</v>
      </c>
      <c r="Z309" s="192">
        <f t="shared" si="81"/>
        <v>13799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2">+M309*M305</f>
        <v>0</v>
      </c>
      <c r="N310" s="192">
        <f t="shared" si="82"/>
        <v>193.65559999999999</v>
      </c>
      <c r="O310" s="192">
        <f t="shared" si="82"/>
        <v>194.71799999999999</v>
      </c>
      <c r="P310" s="192">
        <f t="shared" si="82"/>
        <v>197.32419999999999</v>
      </c>
      <c r="Q310" s="192">
        <f t="shared" si="82"/>
        <v>199.947</v>
      </c>
      <c r="R310" s="192">
        <f t="shared" si="82"/>
        <v>202.60300000000001</v>
      </c>
      <c r="S310" s="192">
        <f t="shared" si="82"/>
        <v>205.30879999999999</v>
      </c>
      <c r="T310" s="192">
        <f t="shared" si="82"/>
        <v>208.03120000000001</v>
      </c>
      <c r="U310" s="192">
        <f t="shared" si="82"/>
        <v>214.18979999999999</v>
      </c>
      <c r="V310" s="192">
        <f t="shared" si="82"/>
        <v>217.07820000000001</v>
      </c>
      <c r="W310" s="192">
        <f t="shared" si="82"/>
        <v>220.0164</v>
      </c>
      <c r="X310" s="192">
        <f t="shared" si="82"/>
        <v>222.98779999999999</v>
      </c>
      <c r="Y310" s="192">
        <f t="shared" si="82"/>
        <v>226.00900000000001</v>
      </c>
      <c r="Z310" s="192">
        <f t="shared" si="82"/>
        <v>229.0634</v>
      </c>
      <c r="AA310" s="20"/>
    </row>
    <row r="311" spans="7:27" x14ac:dyDescent="0.2">
      <c r="H311" s="20"/>
      <c r="K311" s="7" t="s">
        <v>132</v>
      </c>
      <c r="L311" s="192">
        <f>+K314</f>
        <v>70773</v>
      </c>
      <c r="M311" s="192">
        <f>+M305*L287</f>
        <v>81865.373399999997</v>
      </c>
      <c r="N311" s="192">
        <f>+N305*M287</f>
        <v>81865.373399999997</v>
      </c>
      <c r="O311" s="192">
        <f>+O305*N287</f>
        <v>82962.733000000007</v>
      </c>
      <c r="P311" s="192">
        <f>+P305*O287</f>
        <v>84066.1682</v>
      </c>
      <c r="Q311" s="192">
        <f>+Q305*P287</f>
        <v>85184.327600000004</v>
      </c>
      <c r="R311" s="192">
        <f>+R305*Q287</f>
        <v>86317.377200000003</v>
      </c>
      <c r="S311" s="192">
        <f>+S305*R287</f>
        <v>87465.483000000007</v>
      </c>
      <c r="T311" s="192">
        <f>+T305*S287</f>
        <v>88628.844200000007</v>
      </c>
      <c r="U311" s="192">
        <f>+U305*T287</f>
        <v>89807.693199999994</v>
      </c>
      <c r="V311" s="192">
        <f>+V305*U287</f>
        <v>91021.452000000005</v>
      </c>
      <c r="W311" s="192">
        <f>+W305*V287</f>
        <v>92251.611600000004</v>
      </c>
      <c r="X311" s="192">
        <f>+X305*W287</f>
        <v>93498.387799999997</v>
      </c>
      <c r="Y311" s="192">
        <f>+Y305*X287</f>
        <v>94762.029599999994</v>
      </c>
      <c r="Z311" s="192">
        <f>+Z305*Y287</f>
        <v>96042.736199999999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70773</v>
      </c>
      <c r="M312" s="181">
        <f t="shared" ref="M312:Z312" si="83">+M311+M307-M310</f>
        <v>81865.373399999997</v>
      </c>
      <c r="N312" s="181">
        <f t="shared" si="83"/>
        <v>82317.717799999999</v>
      </c>
      <c r="O312" s="181">
        <f t="shared" si="83"/>
        <v>83417.015000000014</v>
      </c>
      <c r="P312" s="181">
        <f t="shared" si="83"/>
        <v>84526.843999999997</v>
      </c>
      <c r="Q312" s="181">
        <f t="shared" si="83"/>
        <v>85650.380600000004</v>
      </c>
      <c r="R312" s="181">
        <f t="shared" si="83"/>
        <v>86789.7742</v>
      </c>
      <c r="S312" s="181">
        <f t="shared" si="83"/>
        <v>87944.174200000009</v>
      </c>
      <c r="T312" s="181">
        <f t="shared" si="83"/>
        <v>89113.813000000009</v>
      </c>
      <c r="U312" s="181">
        <f t="shared" si="83"/>
        <v>90307.503400000001</v>
      </c>
      <c r="V312" s="181">
        <f t="shared" si="83"/>
        <v>91528.373800000001</v>
      </c>
      <c r="W312" s="181">
        <f t="shared" si="83"/>
        <v>92764.595200000011</v>
      </c>
      <c r="X312" s="181">
        <f t="shared" si="83"/>
        <v>94018.4</v>
      </c>
      <c r="Y312" s="181">
        <f t="shared" si="83"/>
        <v>95289.020599999989</v>
      </c>
      <c r="Z312" s="181">
        <f t="shared" si="83"/>
        <v>96577.6728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70773</v>
      </c>
      <c r="L314" s="195">
        <f>+L312</f>
        <v>70773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77772.104729999992</v>
      </c>
      <c r="O323" s="192">
        <f>+N312*0.95</f>
        <v>78201.831909999994</v>
      </c>
      <c r="P323" s="192">
        <f>+O312*0.95</f>
        <v>79246.164250000016</v>
      </c>
      <c r="Q323" s="192">
        <f>+P312*0.95</f>
        <v>80300.501799999998</v>
      </c>
      <c r="R323" s="192">
        <f t="shared" ref="R323:T323" si="84">+Q312*0.95</f>
        <v>81367.861569999994</v>
      </c>
      <c r="S323" s="192">
        <f t="shared" si="84"/>
        <v>82450.285489999995</v>
      </c>
      <c r="T323" s="192">
        <f t="shared" si="84"/>
        <v>83546.965490000002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33250</v>
      </c>
      <c r="N330" s="198">
        <f t="shared" ref="N330:Q330" si="85">4750*N334</f>
        <v>33250</v>
      </c>
      <c r="O330" s="198">
        <f t="shared" si="85"/>
        <v>33250</v>
      </c>
      <c r="P330" s="198">
        <f t="shared" si="85"/>
        <v>33250</v>
      </c>
      <c r="Q330" s="198">
        <f t="shared" si="85"/>
        <v>33250</v>
      </c>
      <c r="R330" s="199">
        <f>4750*R334</f>
        <v>33250</v>
      </c>
      <c r="S330" s="199">
        <f t="shared" ref="S330:Z330" si="86">4750*S334</f>
        <v>33250</v>
      </c>
      <c r="T330" s="199">
        <f t="shared" si="86"/>
        <v>38000</v>
      </c>
      <c r="U330" s="199">
        <f t="shared" si="86"/>
        <v>38000</v>
      </c>
      <c r="V330" s="199">
        <f t="shared" si="86"/>
        <v>38000</v>
      </c>
      <c r="W330" s="199">
        <f t="shared" si="86"/>
        <v>38000</v>
      </c>
      <c r="X330" s="199">
        <f t="shared" si="86"/>
        <v>38000</v>
      </c>
      <c r="Y330" s="199">
        <f t="shared" si="86"/>
        <v>38000</v>
      </c>
      <c r="Z330" s="199">
        <f t="shared" si="86"/>
        <v>38000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1115704</v>
      </c>
      <c r="L332" s="38">
        <f>+L21</f>
        <v>1157542.9000000001</v>
      </c>
      <c r="M332" s="38">
        <f>+M21</f>
        <v>1283059.5999999999</v>
      </c>
      <c r="N332" s="38">
        <f>ROUND(+N335*N337,0)</f>
        <v>672290</v>
      </c>
      <c r="O332" s="38">
        <f>ROUND(+O335*O337,0)</f>
        <v>675510</v>
      </c>
      <c r="P332" s="38">
        <f>ROUND(+P335*P337,0)</f>
        <v>678730</v>
      </c>
      <c r="Q332" s="39">
        <f>ROUND(+Q335*Q337,0)</f>
        <v>681950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1451</v>
      </c>
      <c r="L333" s="1">
        <f>1451</f>
        <v>1451</v>
      </c>
      <c r="M333" s="1">
        <f t="shared" ref="M333:Z333" si="87">+L333+M334</f>
        <v>1458</v>
      </c>
      <c r="N333" s="1">
        <f t="shared" si="87"/>
        <v>1465</v>
      </c>
      <c r="O333" s="1">
        <f t="shared" si="87"/>
        <v>1472</v>
      </c>
      <c r="P333" s="1">
        <f t="shared" si="87"/>
        <v>1479</v>
      </c>
      <c r="Q333" s="1">
        <f t="shared" si="87"/>
        <v>1486</v>
      </c>
      <c r="R333" s="1">
        <f t="shared" si="87"/>
        <v>1493</v>
      </c>
      <c r="S333" s="1">
        <f t="shared" si="87"/>
        <v>1500</v>
      </c>
      <c r="T333" s="1">
        <f t="shared" si="87"/>
        <v>1508</v>
      </c>
      <c r="U333" s="1">
        <f t="shared" si="87"/>
        <v>1516</v>
      </c>
      <c r="V333" s="1">
        <f t="shared" si="87"/>
        <v>1524</v>
      </c>
      <c r="W333" s="1">
        <f t="shared" si="87"/>
        <v>1532</v>
      </c>
      <c r="X333" s="1">
        <f t="shared" si="87"/>
        <v>1540</v>
      </c>
      <c r="Y333" s="1">
        <f t="shared" si="87"/>
        <v>1548</v>
      </c>
      <c r="Z333" s="1">
        <f t="shared" si="87"/>
        <v>1556</v>
      </c>
      <c r="AA333" s="20"/>
    </row>
    <row r="334" spans="7:27" ht="13.5" thickBot="1" x14ac:dyDescent="0.25">
      <c r="L334" s="200">
        <v>0</v>
      </c>
      <c r="M334" s="201">
        <f>ROUND(0.005*L333,0)</f>
        <v>7</v>
      </c>
      <c r="N334" s="201">
        <f t="shared" ref="N334:Q334" si="88">ROUND(0.005*M333,0)</f>
        <v>7</v>
      </c>
      <c r="O334" s="201">
        <f t="shared" si="88"/>
        <v>7</v>
      </c>
      <c r="P334" s="201">
        <f t="shared" si="88"/>
        <v>7</v>
      </c>
      <c r="Q334" s="201">
        <f t="shared" si="88"/>
        <v>7</v>
      </c>
      <c r="R334" s="7">
        <f>ROUND(+Q333*(R344),0)</f>
        <v>7</v>
      </c>
      <c r="S334" s="7">
        <f t="shared" ref="S334:Z334" si="89">ROUND(+R333*(S344),0)</f>
        <v>7</v>
      </c>
      <c r="T334" s="7">
        <f t="shared" si="89"/>
        <v>8</v>
      </c>
      <c r="U334" s="7">
        <f t="shared" si="89"/>
        <v>8</v>
      </c>
      <c r="V334" s="7">
        <f t="shared" si="89"/>
        <v>8</v>
      </c>
      <c r="W334" s="7">
        <f t="shared" si="89"/>
        <v>8</v>
      </c>
      <c r="X334" s="7">
        <f t="shared" si="89"/>
        <v>8</v>
      </c>
      <c r="Y334" s="7">
        <f t="shared" si="89"/>
        <v>8</v>
      </c>
      <c r="Z334" s="7">
        <f t="shared" si="89"/>
        <v>8</v>
      </c>
      <c r="AA334" s="20"/>
    </row>
    <row r="335" spans="7:27" x14ac:dyDescent="0.2">
      <c r="I335" s="1">
        <f t="shared" ref="I335:Q335" si="90">AVERAGE(H333:I333)</f>
        <v>0</v>
      </c>
      <c r="J335" s="1">
        <f t="shared" si="90"/>
        <v>0</v>
      </c>
      <c r="K335" s="1">
        <f t="shared" si="90"/>
        <v>725.5</v>
      </c>
      <c r="L335" s="1">
        <f t="shared" si="90"/>
        <v>1451</v>
      </c>
      <c r="M335" s="1">
        <f t="shared" si="90"/>
        <v>1454.5</v>
      </c>
      <c r="N335" s="1">
        <f t="shared" si="90"/>
        <v>1461.5</v>
      </c>
      <c r="O335" s="1">
        <f t="shared" si="90"/>
        <v>1468.5</v>
      </c>
      <c r="P335" s="1">
        <f t="shared" si="90"/>
        <v>1475.5</v>
      </c>
      <c r="Q335" s="1">
        <f t="shared" si="90"/>
        <v>1482.5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768.92074431426602</v>
      </c>
      <c r="L336" s="1">
        <f>+L332/L333</f>
        <v>797.75527222605115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1">+I332/I335</f>
        <v>#DIV/0!</v>
      </c>
      <c r="J338" s="1" t="e">
        <f t="shared" si="91"/>
        <v>#DIV/0!</v>
      </c>
      <c r="K338" s="1">
        <f t="shared" si="91"/>
        <v>1537.841488628532</v>
      </c>
      <c r="L338" s="1">
        <f t="shared" si="91"/>
        <v>797.75527222605115</v>
      </c>
      <c r="M338" s="1">
        <f t="shared" si="91"/>
        <v>882.13104159504974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1451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1451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2">+M334</f>
        <v>7</v>
      </c>
      <c r="N344" s="205">
        <f t="shared" si="92"/>
        <v>7</v>
      </c>
      <c r="O344" s="205">
        <f t="shared" si="92"/>
        <v>7</v>
      </c>
      <c r="P344" s="205">
        <f t="shared" si="92"/>
        <v>7</v>
      </c>
      <c r="Q344" s="205">
        <f t="shared" si="92"/>
        <v>7</v>
      </c>
      <c r="R344" s="188">
        <v>5.0000000000000001E-3</v>
      </c>
      <c r="S344" s="188">
        <f t="shared" ref="S344:Z344" si="93">+R344</f>
        <v>5.0000000000000001E-3</v>
      </c>
      <c r="T344" s="188">
        <f t="shared" si="93"/>
        <v>5.0000000000000001E-3</v>
      </c>
      <c r="U344" s="188">
        <f t="shared" si="93"/>
        <v>5.0000000000000001E-3</v>
      </c>
      <c r="V344" s="188">
        <f t="shared" si="93"/>
        <v>5.0000000000000001E-3</v>
      </c>
      <c r="W344" s="188">
        <f t="shared" si="93"/>
        <v>5.0000000000000001E-3</v>
      </c>
      <c r="X344" s="188">
        <f t="shared" si="93"/>
        <v>5.0000000000000001E-3</v>
      </c>
      <c r="Y344" s="188">
        <f t="shared" si="93"/>
        <v>5.0000000000000001E-3</v>
      </c>
      <c r="Z344" s="188">
        <f t="shared" si="93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161474.84493452791</v>
      </c>
      <c r="L345" s="208">
        <f>+L346*K350</f>
        <v>161474.84493452791</v>
      </c>
      <c r="M345" s="208">
        <f>+M346*L350</f>
        <v>162253.84142973239</v>
      </c>
      <c r="N345" s="208">
        <f t="shared" ref="N345:Z345" si="94">+N346*M350</f>
        <v>163032.83792493687</v>
      </c>
      <c r="O345" s="208">
        <f t="shared" si="94"/>
        <v>163811.83442014136</v>
      </c>
      <c r="P345" s="208">
        <f t="shared" si="94"/>
        <v>164590.83091534584</v>
      </c>
      <c r="Q345" s="208">
        <f t="shared" si="94"/>
        <v>165369.82741055032</v>
      </c>
      <c r="R345" s="208">
        <f t="shared" si="94"/>
        <v>166196.67654760307</v>
      </c>
      <c r="S345" s="208">
        <f t="shared" si="94"/>
        <v>167027.65993034106</v>
      </c>
      <c r="T345" s="208">
        <f t="shared" si="94"/>
        <v>167862.79822999274</v>
      </c>
      <c r="U345" s="208">
        <f t="shared" si="94"/>
        <v>168702.11222114271</v>
      </c>
      <c r="V345" s="208">
        <f t="shared" si="94"/>
        <v>169545.62278224839</v>
      </c>
      <c r="W345" s="208">
        <f t="shared" si="94"/>
        <v>170393.35089615959</v>
      </c>
      <c r="X345" s="208">
        <f t="shared" si="94"/>
        <v>171245.31765064038</v>
      </c>
      <c r="Y345" s="208">
        <f t="shared" si="94"/>
        <v>172101.54423889355</v>
      </c>
      <c r="Z345" s="208">
        <f t="shared" si="94"/>
        <v>172962.05196008799</v>
      </c>
      <c r="AA345" s="20"/>
    </row>
    <row r="346" spans="8:29" ht="13.5" thickBot="1" x14ac:dyDescent="0.25">
      <c r="H346" s="20"/>
      <c r="I346" s="14" t="s">
        <v>147</v>
      </c>
      <c r="J346" s="208">
        <v>1451</v>
      </c>
      <c r="K346" s="208">
        <v>1451</v>
      </c>
      <c r="L346" s="208">
        <v>1451</v>
      </c>
      <c r="M346" s="209">
        <f>+L346+($M342*M344)</f>
        <v>1458</v>
      </c>
      <c r="N346" s="209">
        <f t="shared" ref="N346:P346" si="95">+M346+($M342*N344)</f>
        <v>1465</v>
      </c>
      <c r="O346" s="209">
        <f t="shared" si="95"/>
        <v>1472</v>
      </c>
      <c r="P346" s="209">
        <f t="shared" si="95"/>
        <v>1479</v>
      </c>
      <c r="Q346" s="209">
        <f>+P346+($M342*Q344)</f>
        <v>1486</v>
      </c>
      <c r="R346" s="208">
        <f t="shared" ref="R346:Z346" si="96">+Q346*(1+R344)</f>
        <v>1493.4299999999998</v>
      </c>
      <c r="S346" s="208">
        <f t="shared" si="96"/>
        <v>1500.8971499999998</v>
      </c>
      <c r="T346" s="208">
        <f t="shared" si="96"/>
        <v>1508.4016357499995</v>
      </c>
      <c r="U346" s="208">
        <f t="shared" si="96"/>
        <v>1515.9436439287495</v>
      </c>
      <c r="V346" s="208">
        <f t="shared" si="96"/>
        <v>1523.5233621483931</v>
      </c>
      <c r="W346" s="208">
        <f t="shared" si="96"/>
        <v>1531.1409789591348</v>
      </c>
      <c r="X346" s="208">
        <f t="shared" si="96"/>
        <v>1538.7966838539303</v>
      </c>
      <c r="Y346" s="208">
        <f t="shared" si="96"/>
        <v>1546.4906672731997</v>
      </c>
      <c r="Z346" s="208">
        <f t="shared" si="96"/>
        <v>1554.2231206095655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1151216</v>
      </c>
      <c r="L347" s="38">
        <f>+L24-0</f>
        <v>1193054.9000000001</v>
      </c>
      <c r="M347" s="38">
        <f>+M24-0</f>
        <v>1318571.5999999999</v>
      </c>
      <c r="N347" s="38">
        <f>+N24-0</f>
        <v>1357249</v>
      </c>
      <c r="O347" s="38">
        <f>+O24-0</f>
        <v>1396004</v>
      </c>
      <c r="P347" s="38">
        <f>+P24-0</f>
        <v>1798912</v>
      </c>
      <c r="Q347" s="38">
        <f>+Q24-0</f>
        <v>1807278</v>
      </c>
      <c r="R347" s="38">
        <f>+R24-0</f>
        <v>1815901</v>
      </c>
      <c r="S347" s="38">
        <f>+S24-0</f>
        <v>1887428</v>
      </c>
      <c r="T347" s="38">
        <f>+T24-0</f>
        <v>1896687</v>
      </c>
      <c r="U347" s="38">
        <f>+U24-0</f>
        <v>1905993</v>
      </c>
      <c r="V347" s="38">
        <f>+V24-0</f>
        <v>1981140</v>
      </c>
      <c r="W347" s="38">
        <f>+W24-0</f>
        <v>1990868</v>
      </c>
      <c r="X347" s="38">
        <f>+X24-0</f>
        <v>2000645</v>
      </c>
      <c r="Y347" s="38">
        <f>+Y24-0</f>
        <v>2079594</v>
      </c>
      <c r="Z347" s="38">
        <f>+Z24-0</f>
        <v>2089814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0.99991804901460657</v>
      </c>
      <c r="R348" s="20"/>
      <c r="S348" s="20"/>
      <c r="T348" s="210">
        <f>+T349/S349</f>
        <v>0.9999060871559905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793.39490006891799</v>
      </c>
      <c r="L349" s="207">
        <f>+L347/L346</f>
        <v>822.22942798070301</v>
      </c>
      <c r="M349" s="207">
        <f>+M347/M346</f>
        <v>904.3700960219478</v>
      </c>
      <c r="N349" s="207">
        <f t="shared" ref="N349:Z349" si="97">+N347/N346</f>
        <v>926.44982935153587</v>
      </c>
      <c r="O349" s="207">
        <f t="shared" si="97"/>
        <v>948.37228260869563</v>
      </c>
      <c r="P349" s="207">
        <f t="shared" si="97"/>
        <v>1216.3029073698444</v>
      </c>
      <c r="Q349" s="207">
        <f t="shared" si="97"/>
        <v>1216.2032301480485</v>
      </c>
      <c r="R349" s="207">
        <f t="shared" si="97"/>
        <v>1215.9264244055632</v>
      </c>
      <c r="S349" s="207">
        <f t="shared" si="97"/>
        <v>1257.5332027247839</v>
      </c>
      <c r="T349" s="207">
        <f t="shared" si="97"/>
        <v>1257.4151042052797</v>
      </c>
      <c r="U349" s="207">
        <f t="shared" si="97"/>
        <v>1257.2980582974649</v>
      </c>
      <c r="V349" s="207">
        <f t="shared" si="97"/>
        <v>1300.3673256485545</v>
      </c>
      <c r="W349" s="207">
        <f t="shared" si="97"/>
        <v>1300.2512684059873</v>
      </c>
      <c r="X349" s="207">
        <f t="shared" si="97"/>
        <v>1300.1360225116721</v>
      </c>
      <c r="Y349" s="207">
        <f t="shared" si="97"/>
        <v>1344.7181053260267</v>
      </c>
      <c r="Z349" s="207">
        <f t="shared" si="97"/>
        <v>1344.6035979572714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111.28521360063949</v>
      </c>
      <c r="L350" s="206">
        <f>+L345/L346</f>
        <v>111.28521360063949</v>
      </c>
      <c r="M350" s="206">
        <f>+M345/M346</f>
        <v>111.28521360063949</v>
      </c>
      <c r="N350" s="206">
        <f t="shared" ref="N350:Z350" si="98">+N345/N346</f>
        <v>111.28521360063951</v>
      </c>
      <c r="O350" s="206">
        <f t="shared" si="98"/>
        <v>111.28521360063951</v>
      </c>
      <c r="P350" s="206">
        <f t="shared" si="98"/>
        <v>111.28521360063951</v>
      </c>
      <c r="Q350" s="206">
        <f t="shared" si="98"/>
        <v>111.28521360063952</v>
      </c>
      <c r="R350" s="206">
        <f t="shared" si="98"/>
        <v>111.28521360063952</v>
      </c>
      <c r="S350" s="206">
        <f t="shared" si="98"/>
        <v>111.28521360063951</v>
      </c>
      <c r="T350" s="206">
        <f t="shared" si="98"/>
        <v>111.28521360063952</v>
      </c>
      <c r="U350" s="206">
        <f t="shared" si="98"/>
        <v>111.28521360063952</v>
      </c>
      <c r="V350" s="206">
        <f t="shared" si="98"/>
        <v>111.28521360063951</v>
      </c>
      <c r="W350" s="206">
        <f t="shared" si="98"/>
        <v>111.28521360063951</v>
      </c>
      <c r="X350" s="206">
        <f t="shared" si="98"/>
        <v>111.28521360063951</v>
      </c>
      <c r="Y350" s="206">
        <f t="shared" si="98"/>
        <v>111.28521360063951</v>
      </c>
      <c r="Z350" s="206">
        <f t="shared" si="98"/>
        <v>111.28521360063951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9">+K347/K333</f>
        <v>793.39490006891799</v>
      </c>
      <c r="L352" s="207">
        <f t="shared" si="99"/>
        <v>822.22942798070301</v>
      </c>
      <c r="M352" s="207">
        <f t="shared" si="99"/>
        <v>904.3700960219478</v>
      </c>
      <c r="N352" s="207">
        <f t="shared" si="99"/>
        <v>926.44982935153587</v>
      </c>
      <c r="O352" s="207">
        <f t="shared" si="99"/>
        <v>948.37228260869563</v>
      </c>
      <c r="P352" s="207">
        <f t="shared" si="99"/>
        <v>1216.3029073698444</v>
      </c>
      <c r="Q352" s="207">
        <f t="shared" si="99"/>
        <v>1216.2032301480485</v>
      </c>
      <c r="R352" s="207">
        <f t="shared" si="99"/>
        <v>1216.2766242464836</v>
      </c>
      <c r="S352" s="207">
        <f t="shared" si="99"/>
        <v>1258.2853333333333</v>
      </c>
      <c r="T352" s="207">
        <f t="shared" si="99"/>
        <v>1257.75</v>
      </c>
      <c r="U352" s="207">
        <f t="shared" si="99"/>
        <v>1257.2513192612137</v>
      </c>
      <c r="V352" s="207">
        <f t="shared" si="99"/>
        <v>1299.9606299212599</v>
      </c>
      <c r="W352" s="207">
        <f t="shared" si="99"/>
        <v>1299.5221932114882</v>
      </c>
      <c r="X352" s="207">
        <f t="shared" si="99"/>
        <v>1299.1201298701299</v>
      </c>
      <c r="Y352" s="207">
        <f t="shared" si="99"/>
        <v>1343.4069767441861</v>
      </c>
      <c r="Z352" s="207">
        <f t="shared" si="99"/>
        <v>1343.0681233933162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100">+K345/K333</f>
        <v>111.28521360063949</v>
      </c>
      <c r="L353" s="206">
        <f t="shared" si="100"/>
        <v>111.28521360063949</v>
      </c>
      <c r="M353" s="206">
        <f t="shared" si="100"/>
        <v>111.28521360063949</v>
      </c>
      <c r="N353" s="206">
        <f t="shared" si="100"/>
        <v>111.28521360063951</v>
      </c>
      <c r="O353" s="206">
        <f t="shared" si="100"/>
        <v>111.28521360063951</v>
      </c>
      <c r="P353" s="206">
        <f t="shared" si="100"/>
        <v>111.28521360063951</v>
      </c>
      <c r="Q353" s="206">
        <f t="shared" si="100"/>
        <v>111.28521360063952</v>
      </c>
      <c r="R353" s="206">
        <f t="shared" si="100"/>
        <v>111.31726493476428</v>
      </c>
      <c r="S353" s="206">
        <f t="shared" si="100"/>
        <v>111.35177328689404</v>
      </c>
      <c r="T353" s="206">
        <f t="shared" si="100"/>
        <v>111.31485293766097</v>
      </c>
      <c r="U353" s="206">
        <f t="shared" si="100"/>
        <v>111.2810766630229</v>
      </c>
      <c r="V353" s="206">
        <f t="shared" si="100"/>
        <v>111.25040864976928</v>
      </c>
      <c r="W353" s="206">
        <f t="shared" si="100"/>
        <v>111.22281390088746</v>
      </c>
      <c r="X353" s="206">
        <f t="shared" si="100"/>
        <v>111.19825821470155</v>
      </c>
      <c r="Y353" s="206">
        <f t="shared" si="100"/>
        <v>111.17670816465991</v>
      </c>
      <c r="Z353" s="206">
        <f t="shared" si="100"/>
        <v>111.15813107974807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1198810.505995865</v>
      </c>
      <c r="N355" s="192">
        <f>AVERAGE(M346:N346)*M349</f>
        <v>1321736.8953360766</v>
      </c>
      <c r="O355" s="192">
        <f t="shared" ref="O355:Z355" si="101">AVERAGE(N346:O346)*N349</f>
        <v>1360491.5744027304</v>
      </c>
      <c r="P355" s="192">
        <f t="shared" si="101"/>
        <v>1399323.3029891304</v>
      </c>
      <c r="Q355" s="192">
        <f t="shared" si="101"/>
        <v>1803169.0601757944</v>
      </c>
      <c r="R355" s="192">
        <f t="shared" si="101"/>
        <v>1811796.1950000001</v>
      </c>
      <c r="S355" s="192">
        <f t="shared" si="101"/>
        <v>1820440.7525000002</v>
      </c>
      <c r="T355" s="192">
        <f t="shared" si="101"/>
        <v>1892146.57</v>
      </c>
      <c r="U355" s="192">
        <f t="shared" si="101"/>
        <v>1901428.7174999998</v>
      </c>
      <c r="V355" s="192">
        <f t="shared" si="101"/>
        <v>1910757.9824999999</v>
      </c>
      <c r="W355" s="192">
        <f t="shared" si="101"/>
        <v>1986092.8499999999</v>
      </c>
      <c r="X355" s="192">
        <f t="shared" si="101"/>
        <v>1995845.17</v>
      </c>
      <c r="Y355" s="192">
        <f t="shared" si="101"/>
        <v>2005646.6124999998</v>
      </c>
      <c r="Z355" s="192">
        <f t="shared" si="101"/>
        <v>2084792.9849999999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>
        <v>0.28999999999999998</v>
      </c>
      <c r="Q359" s="97"/>
      <c r="R359" s="97"/>
      <c r="S359" s="97">
        <v>3.5000000000000003E-2</v>
      </c>
      <c r="T359" s="97"/>
      <c r="U359" s="97"/>
      <c r="V359" s="97">
        <v>3.5000000000000003E-2</v>
      </c>
      <c r="W359" s="97"/>
      <c r="X359" s="97"/>
      <c r="Y359" s="97">
        <v>3.5000000000000003E-2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822.22942798070301</v>
      </c>
      <c r="M360" s="215">
        <f>+M349</f>
        <v>904.3700960219478</v>
      </c>
      <c r="N360" s="215">
        <f>+N349</f>
        <v>926.44982935153587</v>
      </c>
      <c r="O360" s="216">
        <f>N360*(1+O359)</f>
        <v>926.44982935153587</v>
      </c>
      <c r="P360" s="217">
        <f t="shared" ref="P360:Z360" si="102">O360*(1+P359)</f>
        <v>1195.1202798634813</v>
      </c>
      <c r="Q360" s="217">
        <f t="shared" si="102"/>
        <v>1195.1202798634813</v>
      </c>
      <c r="R360" s="217">
        <f t="shared" si="102"/>
        <v>1195.1202798634813</v>
      </c>
      <c r="S360" s="217">
        <f t="shared" si="102"/>
        <v>1236.949489658703</v>
      </c>
      <c r="T360" s="217">
        <f t="shared" si="102"/>
        <v>1236.949489658703</v>
      </c>
      <c r="U360" s="217">
        <f t="shared" si="102"/>
        <v>1236.949489658703</v>
      </c>
      <c r="V360" s="217">
        <f t="shared" si="102"/>
        <v>1280.2427217967575</v>
      </c>
      <c r="W360" s="217">
        <f t="shared" si="102"/>
        <v>1280.2427217967575</v>
      </c>
      <c r="X360" s="218">
        <f t="shared" si="102"/>
        <v>1280.2427217967575</v>
      </c>
      <c r="Y360" s="219">
        <f t="shared" si="102"/>
        <v>1325.0512170596439</v>
      </c>
      <c r="Z360" s="219">
        <f t="shared" si="102"/>
        <v>1325.0512170596439</v>
      </c>
      <c r="AA360" s="220">
        <f>1.04^10</f>
        <v>1.4802442849183446</v>
      </c>
      <c r="AB360" s="215">
        <f>+AA360*M360</f>
        <v>1338.6886660875427</v>
      </c>
      <c r="AC360" s="221">
        <f>+AB360-X360</f>
        <v>58.445944290785292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268.67045051194543</v>
      </c>
      <c r="Q361" s="222">
        <f>+Q360-P360</f>
        <v>0</v>
      </c>
      <c r="R361" s="222">
        <f t="shared" ref="R361:Z361" si="103">+R360-Q360</f>
        <v>0</v>
      </c>
      <c r="S361" s="222">
        <f t="shared" si="103"/>
        <v>41.829209795221686</v>
      </c>
      <c r="T361" s="222">
        <f t="shared" si="103"/>
        <v>0</v>
      </c>
      <c r="U361" s="222">
        <f t="shared" si="103"/>
        <v>0</v>
      </c>
      <c r="V361" s="222">
        <f t="shared" si="103"/>
        <v>43.293232138054464</v>
      </c>
      <c r="W361" s="222">
        <f t="shared" si="103"/>
        <v>0</v>
      </c>
      <c r="X361" s="222">
        <f t="shared" si="103"/>
        <v>0</v>
      </c>
      <c r="Y361" s="222">
        <f t="shared" si="103"/>
        <v>44.808495262886481</v>
      </c>
      <c r="Z361" s="222">
        <f t="shared" si="103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2877.8029979324606</v>
      </c>
      <c r="N363" s="225">
        <f>(((+N346-M346)/2)*M349)</f>
        <v>3165.2953360768174</v>
      </c>
      <c r="O363" s="225">
        <f>(((+O346-N346)/2)*N349)</f>
        <v>3242.5744027303754</v>
      </c>
      <c r="P363" s="225">
        <f>(((+P346-O346)/2)*P360)+(O346*P360)</f>
        <v>1763399.9729385667</v>
      </c>
      <c r="Q363" s="225">
        <f>(((+Q346-P346)/2)*P349)</f>
        <v>4257.0601757944551</v>
      </c>
      <c r="R363" s="225">
        <f>(((+R346-Q346)/2)*Q349)</f>
        <v>4518.1949999999006</v>
      </c>
      <c r="S363" s="225">
        <f>(((+S346-R346)/2)*R349)</f>
        <v>4539.7524999999687</v>
      </c>
      <c r="T363" s="225">
        <f>(((+T346-S346)/2)*S349)</f>
        <v>4718.5699999998315</v>
      </c>
      <c r="U363" s="225">
        <f>(((+U346-T346)/2)*T349)</f>
        <v>4741.7174999999625</v>
      </c>
      <c r="V363" s="225">
        <f>(((+V346-U346)/2)*U349)</f>
        <v>4764.9824999999137</v>
      </c>
      <c r="W363" s="225">
        <f>(((+W346-V346)/2)*V349)</f>
        <v>4952.8499999998703</v>
      </c>
      <c r="X363" s="225">
        <f>(((+X346-W346)/2)*W349)</f>
        <v>4977.1699999998627</v>
      </c>
      <c r="Y363" s="225">
        <f>(((+Y346-X346)/2)*X349)</f>
        <v>5001.6124999998647</v>
      </c>
      <c r="Z363" s="225">
        <f>(((+Z346-Y346)/2)*Y349)</f>
        <v>5198.9849999998523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1195933</v>
      </c>
      <c r="N365" s="225">
        <f>+ROUND((M360*(M346+((N346-M346)/2))),0)</f>
        <v>1321737</v>
      </c>
      <c r="O365" s="225">
        <f>+ROUND((N360*(N346+((O346-N346)/2))),0)</f>
        <v>1360492</v>
      </c>
      <c r="P365" s="225">
        <f>+ROUND((O360*(O346+((P346-O346)/2))),0)</f>
        <v>1366977</v>
      </c>
      <c r="Q365" s="225">
        <f>+ROUND((P360*(P346+((Q346-P346)/2))),0)</f>
        <v>1771766</v>
      </c>
      <c r="R365" s="225">
        <f>+ROUND((Q360*(Q346+((R346-Q346)/2))),0)</f>
        <v>1780389</v>
      </c>
      <c r="S365" s="225">
        <f>+ROUND((R360*(R346+((S346-R346)/2))),0)</f>
        <v>1789291</v>
      </c>
      <c r="T365" s="225">
        <f>+ROUND((S360*(S346+((T346-S346)/2))),0)</f>
        <v>1861175</v>
      </c>
      <c r="U365" s="225">
        <f>+ROUND((T360*(T346+((U346-T346)/2))),0)</f>
        <v>1870481</v>
      </c>
      <c r="V365" s="225">
        <f>+ROUND((U360*(U346+((V346-U346)/2))),0)</f>
        <v>1879834</v>
      </c>
      <c r="W365" s="225">
        <f>+ROUND((V360*(V346+((W346-V346)/2))),0)</f>
        <v>1955356</v>
      </c>
      <c r="X365" s="225">
        <f>+ROUND((W360*(W346+((X346-W346)/2))),0)</f>
        <v>1965133</v>
      </c>
      <c r="Y365" s="225">
        <f>+ROUND((X360*(X346+((Y346-X346)/2))),0)</f>
        <v>1974958</v>
      </c>
      <c r="Z365" s="225">
        <f>+ROUND((Y360*(Y346+((Z346-Y346)/2))),0)</f>
        <v>2054302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396423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62625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65794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69124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4632</v>
      </c>
      <c r="N371" s="238">
        <f>ROUND(+$J371*M289,0)</f>
        <v>4515</v>
      </c>
      <c r="O371" s="238">
        <f>ROUND(+$J371*N289,0)</f>
        <v>4509</v>
      </c>
      <c r="P371" s="238">
        <f>ROUND(+$J371*O289,0)</f>
        <v>4501</v>
      </c>
      <c r="Q371" s="238">
        <f>ROUND(+$J371*P289,0)</f>
        <v>4494</v>
      </c>
      <c r="R371" s="238">
        <f>ROUND(+$J371*Q289,0)</f>
        <v>4486</v>
      </c>
      <c r="S371" s="238">
        <f>ROUND(+$J371*R289,0)</f>
        <v>4478</v>
      </c>
      <c r="T371" s="238">
        <f>ROUND(+$J371*S289,0)</f>
        <v>4470</v>
      </c>
      <c r="U371" s="238">
        <f>ROUND(+$J371*T289,0)</f>
        <v>4462</v>
      </c>
      <c r="V371" s="238">
        <f>ROUND(+$J371*U289,0)</f>
        <v>4456</v>
      </c>
      <c r="W371" s="238">
        <f>ROUND(+$J371*V289,0)</f>
        <v>4450</v>
      </c>
      <c r="X371" s="238">
        <f>ROUND(+$J371*W289,0)</f>
        <v>4444</v>
      </c>
      <c r="Y371" s="238">
        <f>ROUND(+$J371*X289,0)</f>
        <v>4437</v>
      </c>
      <c r="Z371" s="239">
        <f>ROUND(+$J371*Y289,0)</f>
        <v>4431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6788</v>
      </c>
      <c r="N372" s="238">
        <f>ROUND(+$J372*M24,0)</f>
        <v>7503</v>
      </c>
      <c r="O372" s="238">
        <f>ROUND(+$J372*N24,0)</f>
        <v>7723</v>
      </c>
      <c r="P372" s="238">
        <f>ROUND(+$J372*O24,0)</f>
        <v>7943</v>
      </c>
      <c r="Q372" s="238">
        <f>ROUND(+$J372*P24,0)</f>
        <v>10236</v>
      </c>
      <c r="R372" s="238">
        <f>ROUND(+$J372*Q24,0)</f>
        <v>10283</v>
      </c>
      <c r="S372" s="238">
        <f>ROUND(+$J372*R24,0)</f>
        <v>10332</v>
      </c>
      <c r="T372" s="238">
        <f>ROUND(+$J372*S24,0)</f>
        <v>10739</v>
      </c>
      <c r="U372" s="238">
        <f>ROUND(+$J372*T24,0)</f>
        <v>10792</v>
      </c>
      <c r="V372" s="238">
        <f>ROUND(+$J372*U24,0)</f>
        <v>10845</v>
      </c>
      <c r="W372" s="238">
        <f>ROUND(+$J372*V24,0)</f>
        <v>11273</v>
      </c>
      <c r="X372" s="238">
        <f>ROUND(+$J372*W24,0)</f>
        <v>11328</v>
      </c>
      <c r="Y372" s="238">
        <f>ROUND(+$J372*X24,0)</f>
        <v>11384</v>
      </c>
      <c r="Z372" s="239">
        <f>ROUND(+$J372*Y24,0)</f>
        <v>11833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11420</v>
      </c>
      <c r="N373" s="241">
        <f t="shared" ref="N373:Z373" si="104">SUM(N371:N372)</f>
        <v>12018</v>
      </c>
      <c r="O373" s="241">
        <f t="shared" si="104"/>
        <v>12232</v>
      </c>
      <c r="P373" s="241">
        <f t="shared" si="104"/>
        <v>12444</v>
      </c>
      <c r="Q373" s="241">
        <f t="shared" si="104"/>
        <v>14730</v>
      </c>
      <c r="R373" s="241">
        <f t="shared" si="104"/>
        <v>14769</v>
      </c>
      <c r="S373" s="241">
        <f t="shared" si="104"/>
        <v>14810</v>
      </c>
      <c r="T373" s="241">
        <f t="shared" si="104"/>
        <v>15209</v>
      </c>
      <c r="U373" s="241">
        <f t="shared" si="104"/>
        <v>15254</v>
      </c>
      <c r="V373" s="241">
        <f t="shared" si="104"/>
        <v>15301</v>
      </c>
      <c r="W373" s="241">
        <f t="shared" si="104"/>
        <v>15723</v>
      </c>
      <c r="X373" s="241">
        <f t="shared" si="104"/>
        <v>15772</v>
      </c>
      <c r="Y373" s="241">
        <f t="shared" si="104"/>
        <v>15821</v>
      </c>
      <c r="Z373" s="242">
        <f t="shared" si="104"/>
        <v>16264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2723127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4931649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3234859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1193054.9000000001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-173563.5399999998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-244336.5399999998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1451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v>4218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4931649</v>
      </c>
      <c r="M397" s="186">
        <f>+M287</f>
        <v>4931649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3234859</v>
      </c>
      <c r="M398" s="186">
        <f>+M289</f>
        <v>3152993.6266000001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1451</v>
      </c>
      <c r="K400" s="186">
        <f>+K346</f>
        <v>1451</v>
      </c>
      <c r="L400" s="186">
        <f>+L346</f>
        <v>1451</v>
      </c>
      <c r="M400" s="186">
        <f>+M346</f>
        <v>1458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f>+K415</f>
        <v>109158</v>
      </c>
      <c r="L406" s="249">
        <f>+K406*(1+$AC$28)</f>
        <v>111341.16</v>
      </c>
      <c r="M406" s="249">
        <f t="shared" ref="M406:M408" si="105">+L406*(1+$AC$28)</f>
        <v>113567.9832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f>+K424</f>
        <v>136840</v>
      </c>
      <c r="L407" s="249">
        <f t="shared" ref="L407:L408" si="106">+K407*(1+$AC$28)</f>
        <v>139576.79999999999</v>
      </c>
      <c r="M407" s="249">
        <f t="shared" si="105"/>
        <v>142368.33599999998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f>+K419</f>
        <v>22587</v>
      </c>
      <c r="L408" s="249">
        <f t="shared" si="106"/>
        <v>23038.74</v>
      </c>
      <c r="M408" s="249">
        <f t="shared" si="105"/>
        <v>23499.514800000001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109158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7119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15468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v>22587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113945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11424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11471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v>136840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65544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2670112</v>
      </c>
      <c r="L449" s="275">
        <f>+O449</f>
        <v>4931649</v>
      </c>
      <c r="M449" s="260"/>
      <c r="N449" s="260"/>
      <c r="O449" s="276">
        <v>4931649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1259243</v>
      </c>
      <c r="L450" s="275">
        <f>+O450</f>
        <v>1696790</v>
      </c>
      <c r="M450" s="260"/>
      <c r="N450" s="260"/>
      <c r="O450" s="276">
        <v>1696790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1410869</v>
      </c>
      <c r="L451" s="181">
        <f>+L449-L450</f>
        <v>3234859</v>
      </c>
      <c r="M451" s="260"/>
      <c r="N451" s="260"/>
      <c r="O451" s="277">
        <f>+O449-O450</f>
        <v>3234859</v>
      </c>
      <c r="P451" s="181">
        <f>+P449-P450</f>
        <v>0</v>
      </c>
      <c r="Q451" s="278">
        <f>+O451-P451</f>
        <v>3234859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81927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2723127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2723127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2.65056297263935E-2</v>
      </c>
      <c r="L457" s="281">
        <f>+O453/O449</f>
        <v>1.6612496144798625E-2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70773</v>
      </c>
      <c r="L459" s="282">
        <f>+O453</f>
        <v>81927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2018-06-20T20:50:51Z</dcterms:created>
  <dcterms:modified xsi:type="dcterms:W3CDTF">2018-06-20T20:51:06Z</dcterms:modified>
</cp:coreProperties>
</file>