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8800" windowHeight="11310"/>
  </bookViews>
  <sheets>
    <sheet name="Sheet1" sheetId="1" r:id="rId1"/>
  </sheets>
  <externalReferences>
    <externalReference r:id="rId2"/>
  </externalReferences>
  <definedNames>
    <definedName name="abbrev">[1]Sheet1!$B$5</definedName>
    <definedName name="getdate">[1]Sheet1!$B$1</definedName>
    <definedName name="name">[1]Sheet1!$B$3</definedName>
    <definedName name="SPWS_WBID">"282755164459944"</definedName>
    <definedName name="SPWS_WSID" localSheetId="0" hidden="1">"243875663231015"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I25" i="1" s="1"/>
  <c r="K25" i="1" s="1"/>
  <c r="G24" i="1"/>
  <c r="I24" i="1" s="1"/>
  <c r="K24" i="1" s="1"/>
  <c r="G23" i="1"/>
  <c r="G21" i="1"/>
  <c r="I21" i="1" s="1"/>
  <c r="K21" i="1" s="1"/>
  <c r="G20" i="1"/>
  <c r="I20" i="1" s="1"/>
  <c r="K20" i="1" s="1"/>
  <c r="G19" i="1"/>
  <c r="I19" i="1" s="1"/>
  <c r="K19" i="1" s="1"/>
  <c r="A19" i="1"/>
  <c r="K15" i="1"/>
  <c r="B18" i="1"/>
  <c r="N2" i="1"/>
  <c r="N1" i="1"/>
  <c r="M19" i="1" l="1"/>
  <c r="M20" i="1"/>
  <c r="M24" i="1"/>
  <c r="G22" i="1"/>
  <c r="I22" i="1" s="1"/>
  <c r="K22" i="1" s="1"/>
  <c r="M25" i="1"/>
  <c r="I23" i="1"/>
  <c r="K23" i="1" s="1"/>
  <c r="M21" i="1"/>
  <c r="G26" i="1"/>
  <c r="I26" i="1" s="1"/>
  <c r="K26" i="1" s="1"/>
  <c r="A20" i="1"/>
  <c r="A21" i="1" l="1"/>
  <c r="M26" i="1"/>
  <c r="P26" i="1" s="1"/>
  <c r="M23" i="1"/>
  <c r="M22" i="1"/>
  <c r="R20" i="1"/>
  <c r="E37" i="1" s="1"/>
  <c r="S20" i="1"/>
  <c r="H37" i="1" s="1"/>
  <c r="P20" i="1"/>
  <c r="R28" i="1" l="1"/>
  <c r="S26" i="1"/>
  <c r="S28" i="1"/>
  <c r="U37" i="1"/>
  <c r="M37" i="1"/>
  <c r="S23" i="1"/>
  <c r="H40" i="1" s="1"/>
  <c r="P23" i="1"/>
  <c r="R23" i="1"/>
  <c r="E40" i="1" s="1"/>
  <c r="R26" i="1"/>
  <c r="E43" i="1" s="1"/>
  <c r="A22" i="1"/>
  <c r="A23" i="1" s="1"/>
  <c r="A24" i="1" s="1"/>
  <c r="A25" i="1" s="1"/>
  <c r="A26" i="1" s="1"/>
  <c r="A27" i="1" s="1"/>
  <c r="A28" i="1" s="1"/>
  <c r="M28" i="1"/>
  <c r="A37" i="1" l="1"/>
  <c r="P37" i="1"/>
  <c r="R45" i="1"/>
  <c r="H43" i="1"/>
  <c r="M43" i="1" s="1"/>
  <c r="U43" i="1" l="1"/>
  <c r="P43" i="1"/>
  <c r="M45" i="1"/>
  <c r="P45" i="1"/>
  <c r="A38" i="1"/>
  <c r="A40" i="1" l="1"/>
  <c r="A41" i="1" s="1"/>
  <c r="A43" i="1"/>
  <c r="A44" i="1" s="1"/>
</calcChain>
</file>

<file path=xl/sharedStrings.xml><?xml version="1.0" encoding="utf-8"?>
<sst xmlns="http://schemas.openxmlformats.org/spreadsheetml/2006/main" count="55" uniqueCount="47">
  <si>
    <t>Market Multiples Method</t>
  </si>
  <si>
    <t>EBIT</t>
  </si>
  <si>
    <t>2017 Operations</t>
  </si>
  <si>
    <t>EBITDA</t>
  </si>
  <si>
    <t>Market Multiple Method</t>
  </si>
  <si>
    <t>A</t>
  </si>
  <si>
    <t>B</t>
  </si>
  <si>
    <t>C</t>
  </si>
  <si>
    <t>D</t>
  </si>
  <si>
    <t>E</t>
  </si>
  <si>
    <t>(Col B × Col C)</t>
  </si>
  <si>
    <t>(Col A × Col D)</t>
  </si>
  <si>
    <t>Risk Adjusted Multiple</t>
  </si>
  <si>
    <t>Comparison</t>
  </si>
  <si>
    <t>Group's</t>
  </si>
  <si>
    <t>Risk Adjusted</t>
  </si>
  <si>
    <t>Subject</t>
  </si>
  <si>
    <t>Valuation</t>
  </si>
  <si>
    <t>Growth &amp;</t>
  </si>
  <si>
    <t>Market</t>
  </si>
  <si>
    <t>Company</t>
  </si>
  <si>
    <t>Multiples</t>
  </si>
  <si>
    <t>Risk</t>
  </si>
  <si>
    <t>Statistic (1)</t>
  </si>
  <si>
    <t>Adjustment</t>
  </si>
  <si>
    <t>Township of Mahoning Sewer System Assets</t>
  </si>
  <si>
    <t>Investor Provided Capital</t>
  </si>
  <si>
    <t>Gross PP&amp;E</t>
  </si>
  <si>
    <t>Capital Items</t>
  </si>
  <si>
    <t>Net PP&amp;E</t>
  </si>
  <si>
    <t>Revenues</t>
  </si>
  <si>
    <t>Income Statement</t>
  </si>
  <si>
    <t>Customers</t>
  </si>
  <si>
    <t>Population</t>
  </si>
  <si>
    <t>Demographics</t>
  </si>
  <si>
    <t>Average</t>
  </si>
  <si>
    <t>Conclusion of Market Multiple Method Valuation</t>
  </si>
  <si>
    <t>Low</t>
  </si>
  <si>
    <t>High</t>
  </si>
  <si>
    <t>Conclusion</t>
  </si>
  <si>
    <t>(Items 3-4)</t>
  </si>
  <si>
    <t>Income Statement Items</t>
  </si>
  <si>
    <t>-</t>
  </si>
  <si>
    <t>(Items 5 -7)</t>
  </si>
  <si>
    <t>Demographics Items</t>
  </si>
  <si>
    <t>(Item 8)</t>
  </si>
  <si>
    <t>Mahoning's Sewer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</si>
</sst>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7" formatCode="&quot;$&quot;#,##0.00_);\(&quot;$&quot;#,##0.00\)"/>
    <numFmt numFmtId="164" formatCode="0.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u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0" borderId="0" xfId="0" applyFont="1" applyFill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5" fontId="0" fillId="2" borderId="0" xfId="0" applyNumberFormat="1" applyFill="1"/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quotePrefix="1" applyFont="1" applyAlignment="1">
      <alignment horizontal="center"/>
    </xf>
    <xf numFmtId="5" fontId="0" fillId="0" borderId="0" xfId="0" applyNumberFormat="1"/>
    <xf numFmtId="14" fontId="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2" fillId="0" borderId="3" xfId="0" applyFont="1" applyFill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164" fontId="2" fillId="0" borderId="0" xfId="0" applyNumberFormat="1" applyFont="1"/>
    <xf numFmtId="0" fontId="5" fillId="0" borderId="0" xfId="0" applyFont="1" applyAlignment="1">
      <alignment horizontal="left"/>
    </xf>
    <xf numFmtId="5" fontId="2" fillId="0" borderId="0" xfId="0" applyNumberFormat="1" applyFont="1"/>
    <xf numFmtId="39" fontId="2" fillId="0" borderId="0" xfId="0" applyNumberFormat="1" applyFont="1" applyAlignment="1">
      <alignment horizontal="center"/>
    </xf>
    <xf numFmtId="10" fontId="2" fillId="2" borderId="0" xfId="1" applyNumberFormat="1" applyFont="1" applyFill="1"/>
    <xf numFmtId="10" fontId="2" fillId="0" borderId="0" xfId="1" applyNumberFormat="1" applyFont="1" applyAlignment="1">
      <alignment horizontal="center"/>
    </xf>
    <xf numFmtId="5" fontId="2" fillId="0" borderId="0" xfId="0" applyNumberFormat="1" applyFont="1" applyAlignment="1">
      <alignment horizontal="right"/>
    </xf>
    <xf numFmtId="37" fontId="2" fillId="0" borderId="0" xfId="0" applyNumberFormat="1" applyFont="1"/>
    <xf numFmtId="5" fontId="2" fillId="0" borderId="0" xfId="0" applyNumberFormat="1" applyFont="1" applyAlignment="1">
      <alignment horizontal="center"/>
    </xf>
    <xf numFmtId="37" fontId="2" fillId="0" borderId="4" xfId="0" applyNumberFormat="1" applyFont="1" applyBorder="1"/>
    <xf numFmtId="0" fontId="2" fillId="0" borderId="0" xfId="0" applyFont="1" applyAlignment="1">
      <alignment horizontal="left" indent="2"/>
    </xf>
    <xf numFmtId="5" fontId="2" fillId="0" borderId="5" xfId="0" applyNumberFormat="1" applyFont="1" applyBorder="1"/>
    <xf numFmtId="7" fontId="0" fillId="0" borderId="0" xfId="0" applyNumberFormat="1"/>
    <xf numFmtId="39" fontId="5" fillId="0" borderId="0" xfId="0" applyNumberFormat="1" applyFont="1" applyAlignment="1">
      <alignment horizontal="center"/>
    </xf>
    <xf numFmtId="10" fontId="5" fillId="0" borderId="0" xfId="1" applyNumberFormat="1" applyFont="1" applyAlignment="1">
      <alignment horizontal="center"/>
    </xf>
    <xf numFmtId="37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 indent="10"/>
    </xf>
    <xf numFmtId="0" fontId="2" fillId="0" borderId="0" xfId="0" applyFont="1" applyAlignment="1">
      <alignment horizontal="left" indent="11"/>
    </xf>
    <xf numFmtId="37" fontId="2" fillId="0" borderId="0" xfId="0" applyNumberFormat="1" applyFont="1" applyAlignment="1">
      <alignment horizontal="right" indent="4"/>
    </xf>
    <xf numFmtId="0" fontId="2" fillId="0" borderId="0" xfId="0" applyFont="1" applyFill="1" applyAlignment="1">
      <alignment horizontal="left" indent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s%20-%20Mahoning%20SEW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V Est DepEx = CAPX"/>
      <sheetName val="OUT Corp owned DCF"/>
      <sheetName val="Notes"/>
      <sheetName val="Northampton summary"/>
      <sheetName val="MAHONING"/>
      <sheetName val="GROWTH notes Mahoning"/>
      <sheetName val="MUNI mahoning"/>
      <sheetName val="IOU mahoning"/>
      <sheetName val="mahoning DCF results"/>
      <sheetName val="mahoning DCF NOTES"/>
      <sheetName val="MASTER East Bradford"/>
      <sheetName val="Growth Notes East Bradford"/>
      <sheetName val="east bradford MUNI"/>
      <sheetName val="east bradford IOU"/>
      <sheetName val="east bradford results"/>
      <sheetName val="east bradford DCF notes"/>
      <sheetName val="MASTER Kane Borough Authoity"/>
      <sheetName val="TESTIMONY notes for KANE"/>
      <sheetName val="Kane-SUBJECT"/>
      <sheetName val="Kane - MUNI"/>
      <sheetName val="Kane - IOU"/>
      <sheetName val="Kane DCF - MUNI &amp; IOU"/>
      <sheetName val="Kane - FOOTNOTES"/>
      <sheetName val="notes for draft FMV"/>
      <sheetName val="draft summary FMV"/>
      <sheetName val="bond buyer notes"/>
      <sheetName val="AQUA PA Wastewater"/>
      <sheetName val="COST method reference"/>
      <sheetName val="Risk Adjustment for Multiples"/>
      <sheetName val="Get S&amp;P data"/>
      <sheetName val="Market Multiples details"/>
      <sheetName val="Market Multiples Summary"/>
      <sheetName val="Check on OC valuation"/>
      <sheetName val="Selected Transactions summary"/>
      <sheetName val="Selected Transactions details"/>
      <sheetName val="orig mahoning data"/>
      <sheetName val="Plant to customer and poulation"/>
      <sheetName val="transactions"/>
      <sheetName val="OUT Selected Transactions Summ"/>
      <sheetName val="test revised trasaction databas"/>
      <sheetName val="SUMMARY Economic &amp; Market Val"/>
      <sheetName val="Sheet15"/>
    </sheetNames>
    <sheetDataSet>
      <sheetData sheetId="0">
        <row r="1">
          <cell r="B1">
            <v>43220</v>
          </cell>
        </row>
        <row r="3">
          <cell r="B3" t="str">
            <v>Township of Mahoning Sewer System Assets</v>
          </cell>
        </row>
        <row r="5">
          <cell r="B5" t="str">
            <v>Mahoning's Sewer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abSelected="1" workbookViewId="0"/>
  </sheetViews>
  <sheetFormatPr defaultRowHeight="15" x14ac:dyDescent="0.25"/>
  <cols>
    <col min="1" max="1" width="4.42578125" style="1" bestFit="1" customWidth="1"/>
    <col min="2" max="2" width="24.85546875" style="1" customWidth="1"/>
    <col min="3" max="3" width="14.28515625" style="1" customWidth="1"/>
    <col min="4" max="4" width="5.7109375" style="1" customWidth="1"/>
    <col min="5" max="5" width="14.42578125" style="2" bestFit="1" customWidth="1"/>
    <col min="6" max="6" width="4.7109375" style="1" customWidth="1"/>
    <col min="7" max="7" width="8.7109375" style="3" hidden="1" customWidth="1"/>
    <col min="8" max="8" width="14" style="2" bestFit="1" customWidth="1"/>
    <col min="9" max="9" width="8.7109375" style="3" hidden="1" customWidth="1"/>
    <col min="10" max="10" width="5.28515625" style="4" customWidth="1"/>
    <col min="11" max="11" width="11.140625" style="2" bestFit="1" customWidth="1"/>
    <col min="12" max="12" width="5.28515625" style="1" customWidth="1"/>
    <col min="13" max="13" width="14.42578125" style="1" customWidth="1"/>
    <col min="14" max="14" width="5.42578125" style="1" customWidth="1"/>
    <col min="16" max="16" width="20.85546875" bestFit="1" customWidth="1"/>
    <col min="17" max="17" width="10.140625" bestFit="1" customWidth="1"/>
    <col min="18" max="19" width="15.42578125" bestFit="1" customWidth="1"/>
    <col min="20" max="20" width="10.140625" bestFit="1" customWidth="1"/>
    <col min="21" max="21" width="15.42578125" bestFit="1" customWidth="1"/>
  </cols>
  <sheetData>
    <row r="1" spans="2:17" ht="21.75" customHeight="1" x14ac:dyDescent="0.3">
      <c r="N1" s="5" t="str">
        <f>+"EXHIBIT "&amp;O1</f>
        <v>EXHIBIT 18</v>
      </c>
      <c r="O1" s="6">
        <v>18</v>
      </c>
      <c r="P1" s="6"/>
    </row>
    <row r="2" spans="2:17" ht="25.5" customHeight="1" x14ac:dyDescent="0.25">
      <c r="N2" s="7" t="str">
        <f>+"Page "&amp;O2&amp;" of "&amp;P2</f>
        <v>Page 5 of 5</v>
      </c>
      <c r="O2" s="8">
        <v>5</v>
      </c>
      <c r="P2" s="8">
        <v>5</v>
      </c>
      <c r="Q2" s="9"/>
    </row>
    <row r="3" spans="2:17" x14ac:dyDescent="0.25">
      <c r="B3" s="10" t="s">
        <v>0</v>
      </c>
      <c r="C3" s="11"/>
      <c r="D3" s="11"/>
      <c r="E3" s="11"/>
      <c r="F3" s="11"/>
      <c r="G3" s="12"/>
      <c r="H3" s="11"/>
      <c r="I3" s="12"/>
      <c r="J3" s="13"/>
      <c r="K3" s="11"/>
      <c r="L3" s="11"/>
      <c r="M3" s="11"/>
    </row>
    <row r="4" spans="2:17" x14ac:dyDescent="0.25">
      <c r="B4" s="11" t="s">
        <v>25</v>
      </c>
      <c r="C4" s="11"/>
      <c r="D4" s="11"/>
      <c r="E4" s="11"/>
      <c r="F4" s="11"/>
      <c r="G4" s="12"/>
      <c r="H4" s="11"/>
      <c r="I4" s="12"/>
      <c r="J4" s="13"/>
      <c r="K4" s="11"/>
      <c r="L4" s="11"/>
      <c r="M4" s="11"/>
    </row>
    <row r="5" spans="2:17" x14ac:dyDescent="0.25">
      <c r="B5" s="11" t="s">
        <v>2</v>
      </c>
      <c r="C5" s="11"/>
      <c r="D5" s="11"/>
      <c r="E5" s="11"/>
      <c r="F5" s="11"/>
      <c r="G5" s="12"/>
      <c r="H5" s="11"/>
      <c r="I5" s="12"/>
      <c r="J5" s="13"/>
      <c r="K5" s="11"/>
      <c r="L5" s="11"/>
      <c r="M5" s="11"/>
    </row>
    <row r="6" spans="2:17" x14ac:dyDescent="0.25">
      <c r="B6" s="10" t="s">
        <v>4</v>
      </c>
      <c r="C6" s="11"/>
      <c r="D6" s="11"/>
      <c r="E6" s="11"/>
      <c r="F6" s="11"/>
      <c r="G6" s="12"/>
      <c r="H6" s="11"/>
      <c r="I6" s="12"/>
      <c r="J6" s="13"/>
      <c r="K6" s="11"/>
      <c r="L6" s="11"/>
      <c r="M6" s="11"/>
    </row>
    <row r="7" spans="2:17" x14ac:dyDescent="0.25">
      <c r="B7" s="11"/>
    </row>
    <row r="8" spans="2:17" x14ac:dyDescent="0.25">
      <c r="B8" s="11"/>
      <c r="C8" s="15" t="s">
        <v>5</v>
      </c>
      <c r="D8" s="15"/>
      <c r="E8" s="15" t="s">
        <v>6</v>
      </c>
      <c r="F8" s="15"/>
      <c r="G8" s="16"/>
      <c r="H8" s="15" t="s">
        <v>7</v>
      </c>
      <c r="I8" s="16"/>
      <c r="J8" s="17"/>
      <c r="K8" s="15" t="s">
        <v>8</v>
      </c>
      <c r="L8" s="15"/>
      <c r="M8" s="15" t="s">
        <v>9</v>
      </c>
    </row>
    <row r="9" spans="2:17" x14ac:dyDescent="0.25">
      <c r="B9" s="11"/>
      <c r="C9" s="15"/>
      <c r="D9" s="15"/>
      <c r="E9" s="18"/>
      <c r="F9" s="15"/>
      <c r="G9" s="16"/>
      <c r="H9" s="15"/>
      <c r="I9" s="16"/>
      <c r="J9" s="17"/>
      <c r="K9" s="18" t="s">
        <v>10</v>
      </c>
      <c r="L9" s="15"/>
      <c r="M9" s="18" t="s">
        <v>11</v>
      </c>
    </row>
    <row r="10" spans="2:17" x14ac:dyDescent="0.25">
      <c r="B10" s="11"/>
    </row>
    <row r="11" spans="2:17" x14ac:dyDescent="0.25">
      <c r="E11" s="2" t="s">
        <v>13</v>
      </c>
      <c r="K11" s="2" t="s">
        <v>46</v>
      </c>
    </row>
    <row r="12" spans="2:17" x14ac:dyDescent="0.25">
      <c r="E12" s="2" t="s">
        <v>14</v>
      </c>
      <c r="H12" s="2" t="s">
        <v>46</v>
      </c>
      <c r="K12" s="2" t="s">
        <v>15</v>
      </c>
      <c r="M12" s="2" t="s">
        <v>46</v>
      </c>
    </row>
    <row r="13" spans="2:17" x14ac:dyDescent="0.25">
      <c r="C13" s="2" t="s">
        <v>16</v>
      </c>
      <c r="E13" s="2" t="s">
        <v>17</v>
      </c>
      <c r="H13" s="2" t="s">
        <v>18</v>
      </c>
      <c r="K13" s="2" t="s">
        <v>17</v>
      </c>
      <c r="M13" s="2" t="s">
        <v>19</v>
      </c>
    </row>
    <row r="14" spans="2:17" x14ac:dyDescent="0.25">
      <c r="C14" s="2" t="s">
        <v>20</v>
      </c>
      <c r="E14" s="2" t="s">
        <v>21</v>
      </c>
      <c r="H14" s="2" t="s">
        <v>22</v>
      </c>
      <c r="K14" s="2" t="s">
        <v>21</v>
      </c>
      <c r="M14" s="2" t="s">
        <v>21</v>
      </c>
    </row>
    <row r="15" spans="2:17" x14ac:dyDescent="0.25">
      <c r="C15" s="15" t="s">
        <v>23</v>
      </c>
      <c r="E15" s="20">
        <v>43220</v>
      </c>
      <c r="H15" s="15" t="s">
        <v>24</v>
      </c>
      <c r="K15" s="20">
        <f>+E15</f>
        <v>43220</v>
      </c>
      <c r="M15" s="15" t="s">
        <v>17</v>
      </c>
    </row>
    <row r="16" spans="2:17" ht="15.75" thickBot="1" x14ac:dyDescent="0.3">
      <c r="C16" s="15"/>
      <c r="E16" s="15"/>
      <c r="H16" s="15"/>
      <c r="K16" s="15"/>
      <c r="M16" s="15"/>
    </row>
    <row r="17" spans="1:19" ht="15.75" thickBot="1" x14ac:dyDescent="0.3">
      <c r="A17" s="21" t="s">
        <v>12</v>
      </c>
      <c r="B17" s="22"/>
      <c r="C17" s="23"/>
      <c r="D17" s="23"/>
      <c r="E17" s="23"/>
      <c r="F17" s="23"/>
      <c r="G17" s="24"/>
      <c r="H17" s="23"/>
      <c r="I17" s="24"/>
      <c r="J17" s="25"/>
      <c r="K17" s="23"/>
      <c r="L17" s="23"/>
      <c r="M17" s="26"/>
    </row>
    <row r="18" spans="1:19" ht="30" customHeight="1" x14ac:dyDescent="0.25">
      <c r="A18" s="27">
        <v>1</v>
      </c>
      <c r="B18" s="28" t="str">
        <f>+B4</f>
        <v>Township of Mahoning Sewer System Assets</v>
      </c>
    </row>
    <row r="19" spans="1:19" ht="16.149999999999999" customHeight="1" x14ac:dyDescent="0.25">
      <c r="A19" s="27">
        <f t="shared" ref="A19:A28" si="0">1+A18</f>
        <v>2</v>
      </c>
      <c r="B19" s="1" t="s">
        <v>26</v>
      </c>
      <c r="C19" s="29">
        <v>2723127</v>
      </c>
      <c r="E19" s="30">
        <v>1.94</v>
      </c>
      <c r="G19" s="31">
        <f>1/E19</f>
        <v>0.51546391752577325</v>
      </c>
      <c r="H19" s="32">
        <v>0.7</v>
      </c>
      <c r="I19" s="3">
        <f>+G19/H19</f>
        <v>0.73637702503681901</v>
      </c>
      <c r="K19" s="30">
        <f t="shared" ref="K19:K24" si="1">ROUND(1/I19,2)</f>
        <v>1.36</v>
      </c>
      <c r="M19" s="33">
        <f>IF(+K19*C19=0,"NA",K19*C19)</f>
        <v>3703452.72</v>
      </c>
    </row>
    <row r="20" spans="1:19" ht="16.149999999999999" customHeight="1" x14ac:dyDescent="0.25">
      <c r="A20" s="27">
        <f t="shared" si="0"/>
        <v>3</v>
      </c>
      <c r="B20" s="1" t="s">
        <v>27</v>
      </c>
      <c r="C20" s="29">
        <v>4931649</v>
      </c>
      <c r="E20" s="30">
        <v>1.17</v>
      </c>
      <c r="G20" s="31">
        <f t="shared" ref="G20:G26" si="2">1/E20</f>
        <v>0.85470085470085477</v>
      </c>
      <c r="H20" s="32">
        <v>0.95</v>
      </c>
      <c r="I20" s="3">
        <f t="shared" ref="I20:I26" si="3">+G20/H20</f>
        <v>0.89968511021142616</v>
      </c>
      <c r="K20" s="30">
        <f t="shared" si="1"/>
        <v>1.1100000000000001</v>
      </c>
      <c r="M20" s="34">
        <f>IF(+K20*C20=0,"NA",K20*C20)</f>
        <v>5474130.3900000006</v>
      </c>
      <c r="O20" t="s">
        <v>28</v>
      </c>
      <c r="P20" s="19">
        <f>ROUND(AVERAGE(M19:M21),0)</f>
        <v>4633492</v>
      </c>
      <c r="R20" s="19">
        <f>MIN(M19:M21)</f>
        <v>3703452.72</v>
      </c>
      <c r="S20" s="19">
        <f>+MAX(M19:M21)</f>
        <v>5474130.3900000006</v>
      </c>
    </row>
    <row r="21" spans="1:19" ht="16.149999999999999" customHeight="1" x14ac:dyDescent="0.25">
      <c r="A21" s="27">
        <f t="shared" si="0"/>
        <v>4</v>
      </c>
      <c r="B21" s="1" t="s">
        <v>29</v>
      </c>
      <c r="C21" s="29">
        <v>3234859</v>
      </c>
      <c r="E21" s="30">
        <v>1.54</v>
      </c>
      <c r="G21" s="31">
        <f t="shared" si="2"/>
        <v>0.64935064935064934</v>
      </c>
      <c r="H21" s="32">
        <v>0.95</v>
      </c>
      <c r="I21" s="3">
        <f t="shared" si="3"/>
        <v>0.68352699931647298</v>
      </c>
      <c r="K21" s="30">
        <f t="shared" si="1"/>
        <v>1.46</v>
      </c>
      <c r="M21" s="34">
        <f t="shared" ref="M21:M26" si="4">IF(+K21*C21=0,"NA",K21*C21)</f>
        <v>4722894.1399999997</v>
      </c>
    </row>
    <row r="22" spans="1:19" ht="16.149999999999999" customHeight="1" x14ac:dyDescent="0.25">
      <c r="A22" s="27">
        <f t="shared" si="0"/>
        <v>5</v>
      </c>
      <c r="B22" s="1" t="s">
        <v>30</v>
      </c>
      <c r="C22" s="29">
        <v>1193054.9000000001</v>
      </c>
      <c r="E22" s="30">
        <v>6.11</v>
      </c>
      <c r="G22" s="31">
        <f>1/E22</f>
        <v>0.16366612111292961</v>
      </c>
      <c r="H22" s="32">
        <v>0.7</v>
      </c>
      <c r="I22" s="3">
        <f>+G22/H22</f>
        <v>0.2338087444470423</v>
      </c>
      <c r="K22" s="30">
        <f t="shared" si="1"/>
        <v>4.28</v>
      </c>
      <c r="M22" s="34">
        <f t="shared" si="4"/>
        <v>5106274.972000001</v>
      </c>
    </row>
    <row r="23" spans="1:19" ht="16.149999999999999" customHeight="1" x14ac:dyDescent="0.25">
      <c r="A23" s="27">
        <f t="shared" si="0"/>
        <v>6</v>
      </c>
      <c r="B23" s="1" t="s">
        <v>3</v>
      </c>
      <c r="C23" s="29">
        <v>-173563.5399999998</v>
      </c>
      <c r="E23" s="30">
        <v>14.48</v>
      </c>
      <c r="G23" s="31">
        <f>1/E23</f>
        <v>6.9060773480662987E-2</v>
      </c>
      <c r="H23" s="32">
        <v>0.7</v>
      </c>
      <c r="I23" s="3">
        <f>+G23/H23</f>
        <v>9.8658247829518556E-2</v>
      </c>
      <c r="K23" s="30">
        <f t="shared" si="1"/>
        <v>10.14</v>
      </c>
      <c r="M23" s="34">
        <f t="shared" si="4"/>
        <v>-1759934.2955999982</v>
      </c>
      <c r="O23" t="s">
        <v>31</v>
      </c>
      <c r="P23" s="19">
        <f>ROUND(AVERAGE(M22:M24),0)</f>
        <v>-69585</v>
      </c>
      <c r="R23" s="19">
        <f>MIN(M22:M24)</f>
        <v>-3555096.6569999973</v>
      </c>
      <c r="S23" s="19">
        <f>+MAX(M22:M24)</f>
        <v>5106274.972000001</v>
      </c>
    </row>
    <row r="24" spans="1:19" ht="16.149999999999999" customHeight="1" x14ac:dyDescent="0.25">
      <c r="A24" s="27">
        <f t="shared" si="0"/>
        <v>7</v>
      </c>
      <c r="B24" s="1" t="s">
        <v>1</v>
      </c>
      <c r="C24" s="29">
        <v>-244336.5399999998</v>
      </c>
      <c r="E24" s="30">
        <v>20.78</v>
      </c>
      <c r="G24" s="31">
        <f>1/E24</f>
        <v>4.8123195380173241E-2</v>
      </c>
      <c r="H24" s="32">
        <v>0.7</v>
      </c>
      <c r="I24" s="3">
        <f>+G24/H24</f>
        <v>6.8747421971676062E-2</v>
      </c>
      <c r="K24" s="30">
        <f t="shared" si="1"/>
        <v>14.55</v>
      </c>
      <c r="M24" s="34">
        <f t="shared" si="4"/>
        <v>-3555096.6569999973</v>
      </c>
    </row>
    <row r="25" spans="1:19" ht="16.149999999999999" customHeight="1" x14ac:dyDescent="0.25">
      <c r="A25" s="27">
        <f t="shared" si="0"/>
        <v>8</v>
      </c>
      <c r="B25" s="1" t="s">
        <v>32</v>
      </c>
      <c r="C25" s="34">
        <v>1451</v>
      </c>
      <c r="E25" s="35">
        <v>7131</v>
      </c>
      <c r="G25" s="31">
        <f t="shared" si="2"/>
        <v>1.4023278642546626E-4</v>
      </c>
      <c r="H25" s="32">
        <v>0.75</v>
      </c>
      <c r="I25" s="3">
        <f t="shared" si="3"/>
        <v>1.8697704856728836E-4</v>
      </c>
      <c r="K25" s="35">
        <f>ROUND(1/I25,0)</f>
        <v>5348</v>
      </c>
      <c r="M25" s="34">
        <f t="shared" si="4"/>
        <v>7759948</v>
      </c>
    </row>
    <row r="26" spans="1:19" ht="16.149999999999999" customHeight="1" x14ac:dyDescent="0.25">
      <c r="A26" s="27">
        <f t="shared" si="0"/>
        <v>9</v>
      </c>
      <c r="B26" s="1" t="s">
        <v>33</v>
      </c>
      <c r="C26" s="34">
        <v>4218</v>
      </c>
      <c r="E26" s="35">
        <v>1843</v>
      </c>
      <c r="G26" s="31">
        <f t="shared" si="2"/>
        <v>5.4259359739555074E-4</v>
      </c>
      <c r="H26" s="32">
        <v>0.75</v>
      </c>
      <c r="I26" s="3">
        <f t="shared" si="3"/>
        <v>7.2345812986073432E-4</v>
      </c>
      <c r="K26" s="35">
        <f>ROUND(1/I26,0)</f>
        <v>1382</v>
      </c>
      <c r="M26" s="34">
        <f t="shared" si="4"/>
        <v>5829276</v>
      </c>
      <c r="O26" t="s">
        <v>34</v>
      </c>
      <c r="P26" s="19">
        <f>ROUND(AVERAGE(M25:M26),0)</f>
        <v>6794612</v>
      </c>
      <c r="R26" s="19">
        <f>MIN(M25:M26)</f>
        <v>5829276</v>
      </c>
      <c r="S26" s="19">
        <f>+MAX(M25:M26)</f>
        <v>7759948</v>
      </c>
    </row>
    <row r="27" spans="1:19" x14ac:dyDescent="0.25">
      <c r="A27" s="27">
        <f t="shared" si="0"/>
        <v>10</v>
      </c>
      <c r="E27" s="30"/>
      <c r="K27" s="30"/>
      <c r="M27" s="36"/>
    </row>
    <row r="28" spans="1:19" ht="15.75" thickBot="1" x14ac:dyDescent="0.3">
      <c r="A28" s="27">
        <f t="shared" si="0"/>
        <v>11</v>
      </c>
      <c r="B28" s="37" t="s">
        <v>35</v>
      </c>
      <c r="E28" s="30"/>
      <c r="H28" s="32"/>
      <c r="K28" s="30"/>
      <c r="M28" s="38">
        <f>AVERAGE(M19:M26)</f>
        <v>3410118.158675001</v>
      </c>
      <c r="R28" s="19">
        <f>MIN(M19:M26)</f>
        <v>-3555096.6569999973</v>
      </c>
      <c r="S28" s="19">
        <f>MAX(M19:M26)</f>
        <v>7759948</v>
      </c>
    </row>
    <row r="29" spans="1:19" ht="15.75" thickTop="1" x14ac:dyDescent="0.25">
      <c r="E29" s="30"/>
      <c r="H29" s="32"/>
      <c r="K29" s="30"/>
      <c r="M29" s="34"/>
    </row>
    <row r="30" spans="1:19" x14ac:dyDescent="0.25">
      <c r="E30" s="30"/>
      <c r="H30" s="32"/>
      <c r="K30" s="30"/>
      <c r="M30" s="34"/>
    </row>
    <row r="31" spans="1:19" ht="15.75" thickBot="1" x14ac:dyDescent="0.3">
      <c r="E31" s="30"/>
      <c r="H31" s="32"/>
      <c r="K31" s="30"/>
      <c r="M31" s="34"/>
    </row>
    <row r="32" spans="1:19" ht="15.75" thickBot="1" x14ac:dyDescent="0.3">
      <c r="A32" s="21" t="s">
        <v>36</v>
      </c>
      <c r="B32" s="22"/>
      <c r="C32" s="23"/>
      <c r="D32" s="23"/>
      <c r="E32" s="23"/>
      <c r="F32" s="23"/>
      <c r="G32" s="24"/>
      <c r="H32" s="23"/>
      <c r="I32" s="24"/>
      <c r="J32" s="25"/>
      <c r="K32" s="23"/>
      <c r="L32" s="23"/>
      <c r="M32" s="26"/>
    </row>
    <row r="33" spans="1:21" x14ac:dyDescent="0.25">
      <c r="E33" s="30"/>
      <c r="H33" s="32"/>
      <c r="K33" s="30"/>
      <c r="M33" s="34"/>
    </row>
    <row r="34" spans="1:21" x14ac:dyDescent="0.25">
      <c r="E34" s="30"/>
      <c r="H34" s="32"/>
      <c r="K34" s="30"/>
      <c r="M34" s="34"/>
      <c r="P34" s="19"/>
    </row>
    <row r="35" spans="1:21" x14ac:dyDescent="0.25">
      <c r="E35" s="40" t="s">
        <v>37</v>
      </c>
      <c r="F35" s="15"/>
      <c r="G35" s="16"/>
      <c r="H35" s="41" t="s">
        <v>38</v>
      </c>
      <c r="I35" s="16"/>
      <c r="J35" s="17"/>
      <c r="K35" s="40"/>
      <c r="L35" s="15"/>
      <c r="M35" s="42" t="s">
        <v>39</v>
      </c>
    </row>
    <row r="36" spans="1:21" x14ac:dyDescent="0.25">
      <c r="E36" s="30"/>
      <c r="H36" s="32"/>
      <c r="K36" s="30"/>
      <c r="M36" s="34"/>
    </row>
    <row r="37" spans="1:21" x14ac:dyDescent="0.25">
      <c r="A37" s="27">
        <f>1+MAX(A$18:A36)</f>
        <v>12</v>
      </c>
      <c r="B37" s="43" t="s">
        <v>28</v>
      </c>
      <c r="E37" s="29">
        <f>+R20</f>
        <v>3703452.72</v>
      </c>
      <c r="F37" s="29"/>
      <c r="H37" s="29">
        <f>+S20</f>
        <v>5474130.3900000006</v>
      </c>
      <c r="K37" s="30"/>
      <c r="M37" s="29">
        <f>AVERAGE(E37:H37)</f>
        <v>4588791.5550000006</v>
      </c>
      <c r="P37" s="39">
        <f>+Q37*M37</f>
        <v>1514301.2131500002</v>
      </c>
      <c r="Q37">
        <v>0.33</v>
      </c>
      <c r="R37">
        <v>31231349.52</v>
      </c>
      <c r="S37">
        <v>38136227.219999999</v>
      </c>
      <c r="U37" s="19">
        <f>AVERAGE(E37:H37)</f>
        <v>4588791.5550000006</v>
      </c>
    </row>
    <row r="38" spans="1:21" x14ac:dyDescent="0.25">
      <c r="A38" s="27">
        <f t="shared" ref="A38" si="5">1+A37</f>
        <v>13</v>
      </c>
      <c r="B38" s="44" t="s">
        <v>40</v>
      </c>
      <c r="E38" s="29"/>
      <c r="F38" s="29"/>
      <c r="H38" s="30"/>
      <c r="K38" s="30"/>
      <c r="M38" s="34"/>
      <c r="P38" s="19"/>
    </row>
    <row r="39" spans="1:21" x14ac:dyDescent="0.25">
      <c r="B39" s="44"/>
      <c r="E39" s="29"/>
      <c r="F39" s="29"/>
      <c r="H39" s="30"/>
      <c r="K39" s="30"/>
      <c r="M39" s="34"/>
    </row>
    <row r="40" spans="1:21" x14ac:dyDescent="0.25">
      <c r="A40" s="27">
        <f>1+MAX(A$18:A39)</f>
        <v>14</v>
      </c>
      <c r="B40" s="43" t="s">
        <v>41</v>
      </c>
      <c r="E40" s="34">
        <f>+R23</f>
        <v>-3555096.6569999973</v>
      </c>
      <c r="F40" s="29"/>
      <c r="H40" s="34">
        <f>+S23</f>
        <v>5106274.972000001</v>
      </c>
      <c r="K40" s="30"/>
      <c r="M40" s="45" t="s">
        <v>42</v>
      </c>
      <c r="R40">
        <v>13477625.960000001</v>
      </c>
      <c r="S40">
        <v>17409915.931199998</v>
      </c>
    </row>
    <row r="41" spans="1:21" x14ac:dyDescent="0.25">
      <c r="A41" s="27">
        <f t="shared" ref="A41" si="6">1+A40</f>
        <v>15</v>
      </c>
      <c r="B41" s="44" t="s">
        <v>43</v>
      </c>
      <c r="E41" s="34"/>
      <c r="F41" s="29"/>
      <c r="H41" s="34"/>
      <c r="K41" s="30"/>
      <c r="M41" s="34"/>
    </row>
    <row r="42" spans="1:21" x14ac:dyDescent="0.25">
      <c r="B42" s="44"/>
      <c r="E42" s="34"/>
      <c r="F42" s="29"/>
      <c r="H42" s="34"/>
      <c r="K42" s="30"/>
      <c r="M42" s="34"/>
    </row>
    <row r="43" spans="1:21" x14ac:dyDescent="0.25">
      <c r="A43" s="27">
        <f>1+MAX(A$18:A42)</f>
        <v>16</v>
      </c>
      <c r="B43" s="43" t="s">
        <v>44</v>
      </c>
      <c r="E43" s="34">
        <f>+R26</f>
        <v>5829276</v>
      </c>
      <c r="F43" s="29"/>
      <c r="H43" s="34">
        <f>+S26</f>
        <v>7759948</v>
      </c>
      <c r="K43" s="30"/>
      <c r="M43" s="34">
        <f>AVERAGE(E43:H43)</f>
        <v>6794612</v>
      </c>
      <c r="P43" s="39">
        <f>+Q43*M43</f>
        <v>4552390.04</v>
      </c>
      <c r="Q43">
        <v>0.67</v>
      </c>
      <c r="R43">
        <v>22424668</v>
      </c>
      <c r="S43">
        <v>45749640</v>
      </c>
      <c r="U43" s="19">
        <f>AVERAGE(E43:H43)</f>
        <v>6794612</v>
      </c>
    </row>
    <row r="44" spans="1:21" x14ac:dyDescent="0.25">
      <c r="A44" s="27">
        <f t="shared" ref="A44" si="7">1+A43</f>
        <v>17</v>
      </c>
      <c r="B44" s="44" t="s">
        <v>45</v>
      </c>
      <c r="E44" s="34"/>
      <c r="F44" s="29"/>
      <c r="H44" s="34"/>
      <c r="K44" s="30"/>
      <c r="M44" s="36"/>
    </row>
    <row r="45" spans="1:21" ht="15.75" thickBot="1" x14ac:dyDescent="0.3">
      <c r="E45" s="34"/>
      <c r="F45" s="29"/>
      <c r="H45" s="34"/>
      <c r="J45" s="46" t="s">
        <v>39</v>
      </c>
      <c r="K45" s="30"/>
      <c r="M45" s="38">
        <f>AVERAGE(M36:M43)</f>
        <v>5691701.7774999999</v>
      </c>
      <c r="P45" s="39">
        <f>SUM(P37:P43)</f>
        <v>6066691.2531500002</v>
      </c>
      <c r="R45" s="14">
        <f>+S26</f>
        <v>7759948</v>
      </c>
    </row>
    <row r="46" spans="1:21" ht="15.75" thickTop="1" x14ac:dyDescent="0.25">
      <c r="E46" s="29"/>
      <c r="F46" s="29"/>
      <c r="H46" s="30"/>
      <c r="K46" s="30"/>
      <c r="M46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dcterms:created xsi:type="dcterms:W3CDTF">2018-06-21T17:35:02Z</dcterms:created>
  <dcterms:modified xsi:type="dcterms:W3CDTF">2018-06-21T17:37:55Z</dcterms:modified>
</cp:coreProperties>
</file>