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work\1 - WORKING Area\Marketing 4\SUEZ Valuation\Analysis\"/>
    </mc:Choice>
  </mc:AlternateContent>
  <bookViews>
    <workbookView xWindow="0" yWindow="0" windowWidth="28800" windowHeight="11310"/>
  </bookViews>
  <sheets>
    <sheet name="Sheet1" sheetId="1" r:id="rId1"/>
  </sheets>
  <externalReferences>
    <externalReference r:id="rId2"/>
  </externalReferences>
  <definedNames>
    <definedName name="name">[1]Sheet1!$B$3</definedName>
    <definedName name="SPWS_WBID">"476940000867844"</definedName>
    <definedName name="SPWS_WSID" localSheetId="0" hidden="1">"136289413461089"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3" i="1" l="1"/>
  <c r="F63" i="1"/>
  <c r="K63" i="1" s="1"/>
  <c r="I62" i="1"/>
  <c r="F62" i="1"/>
  <c r="I61" i="1"/>
  <c r="D61" i="1"/>
  <c r="F61" i="1" s="1"/>
  <c r="K61" i="1" s="1"/>
  <c r="I60" i="1"/>
  <c r="I59" i="1"/>
  <c r="F59" i="1"/>
  <c r="I58" i="1"/>
  <c r="K58" i="1" s="1"/>
  <c r="F58" i="1"/>
  <c r="I57" i="1"/>
  <c r="K57" i="1" s="1"/>
  <c r="F57" i="1"/>
  <c r="I56" i="1"/>
  <c r="F56" i="1"/>
  <c r="I54" i="1"/>
  <c r="I48" i="1"/>
  <c r="F48" i="1"/>
  <c r="K47" i="1"/>
  <c r="I47" i="1"/>
  <c r="F47" i="1"/>
  <c r="I46" i="1"/>
  <c r="F46" i="1"/>
  <c r="I45" i="1"/>
  <c r="F45" i="1"/>
  <c r="I44" i="1"/>
  <c r="F44" i="1"/>
  <c r="K44" i="1" s="1"/>
  <c r="I43" i="1"/>
  <c r="K43" i="1" s="1"/>
  <c r="F43" i="1"/>
  <c r="I42" i="1"/>
  <c r="F42" i="1"/>
  <c r="I41" i="1"/>
  <c r="K41" i="1" s="1"/>
  <c r="F41" i="1"/>
  <c r="I39" i="1"/>
  <c r="I33" i="1"/>
  <c r="F33" i="1"/>
  <c r="I32" i="1"/>
  <c r="F32" i="1"/>
  <c r="I31" i="1"/>
  <c r="D31" i="1"/>
  <c r="F31" i="1" s="1"/>
  <c r="K31" i="1" s="1"/>
  <c r="I30" i="1"/>
  <c r="F30" i="1"/>
  <c r="D30" i="1"/>
  <c r="I29" i="1"/>
  <c r="K29" i="1" s="1"/>
  <c r="F29" i="1"/>
  <c r="I28" i="1"/>
  <c r="D28" i="1"/>
  <c r="F28" i="1" s="1"/>
  <c r="I27" i="1"/>
  <c r="D27" i="1"/>
  <c r="F27" i="1" s="1"/>
  <c r="I26" i="1"/>
  <c r="D26" i="1"/>
  <c r="F26" i="1" s="1"/>
  <c r="I24" i="1"/>
  <c r="F18" i="1"/>
  <c r="K18" i="1" s="1"/>
  <c r="F17" i="1"/>
  <c r="K17" i="1" s="1"/>
  <c r="F16" i="1"/>
  <c r="K16" i="1" s="1"/>
  <c r="D15" i="1"/>
  <c r="F15" i="1" s="1"/>
  <c r="K15" i="1" s="1"/>
  <c r="F14" i="1"/>
  <c r="K14" i="1" s="1"/>
  <c r="F13" i="1"/>
  <c r="K13" i="1" s="1"/>
  <c r="F12" i="1"/>
  <c r="K12" i="1" s="1"/>
  <c r="B12" i="1"/>
  <c r="D11" i="1"/>
  <c r="F11" i="1" s="1"/>
  <c r="K11" i="1" s="1"/>
  <c r="I9" i="1"/>
  <c r="L2" i="1"/>
  <c r="L1" i="1"/>
  <c r="K30" i="1" l="1"/>
  <c r="K32" i="1"/>
  <c r="K46" i="1"/>
  <c r="K56" i="1"/>
  <c r="Q57" i="1" s="1"/>
  <c r="K62" i="1"/>
  <c r="P30" i="1"/>
  <c r="K28" i="1"/>
  <c r="Q27" i="1" s="1"/>
  <c r="K45" i="1"/>
  <c r="Q45" i="1" s="1"/>
  <c r="K48" i="1"/>
  <c r="K59" i="1"/>
  <c r="K42" i="1"/>
  <c r="Q42" i="1" s="1"/>
  <c r="K26" i="1"/>
  <c r="K27" i="1"/>
  <c r="K35" i="1" s="1"/>
  <c r="K33" i="1"/>
  <c r="D60" i="1"/>
  <c r="F60" i="1" s="1"/>
  <c r="K60" i="1" s="1"/>
  <c r="P60" i="1" s="1"/>
  <c r="N33" i="1"/>
  <c r="N12" i="1"/>
  <c r="P12" i="1"/>
  <c r="Q12" i="1"/>
  <c r="K20" i="1"/>
  <c r="N15" i="1"/>
  <c r="Q15" i="1"/>
  <c r="P15" i="1"/>
  <c r="N63" i="1"/>
  <c r="P63" i="1"/>
  <c r="Q63" i="1"/>
  <c r="Q18" i="1"/>
  <c r="P18" i="1"/>
  <c r="N18" i="1"/>
  <c r="Q30" i="1"/>
  <c r="P48" i="1"/>
  <c r="Q48" i="1"/>
  <c r="Q33" i="1"/>
  <c r="N45" i="1"/>
  <c r="N30" i="1"/>
  <c r="N48" i="1"/>
  <c r="P33" i="1"/>
  <c r="B13" i="1"/>
  <c r="B14" i="1" s="1"/>
  <c r="B15" i="1" s="1"/>
  <c r="P45" i="1" l="1"/>
  <c r="Q60" i="1"/>
  <c r="K65" i="1"/>
  <c r="P42" i="1"/>
  <c r="P57" i="1"/>
  <c r="N57" i="1"/>
  <c r="P27" i="1"/>
  <c r="K50" i="1"/>
  <c r="N27" i="1"/>
  <c r="N60" i="1"/>
  <c r="N42" i="1"/>
  <c r="B16" i="1"/>
  <c r="B17" i="1" l="1"/>
  <c r="B18" i="1" l="1"/>
  <c r="B19" i="1" l="1"/>
  <c r="B20" i="1"/>
  <c r="B26" i="1" l="1"/>
  <c r="B27" i="1" s="1"/>
  <c r="B28" i="1" s="1"/>
  <c r="B29" i="1" l="1"/>
  <c r="B30" i="1"/>
  <c r="B31" i="1" s="1"/>
  <c r="B32" i="1" l="1"/>
  <c r="B33" i="1" s="1"/>
  <c r="B34" i="1" s="1"/>
  <c r="B35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</calcChain>
</file>

<file path=xl/sharedStrings.xml><?xml version="1.0" encoding="utf-8"?>
<sst xmlns="http://schemas.openxmlformats.org/spreadsheetml/2006/main" count="110" uniqueCount="26">
  <si>
    <t>Selected Transactions Method</t>
  </si>
  <si>
    <t>Based on 2016 - 2018 Acquisitions of Assets of Water or Sewer System, Without Discount for Customer Contributions</t>
  </si>
  <si>
    <t>Municipal Authority of the City of Mckeesport</t>
  </si>
  <si>
    <t>Purchase Price was:</t>
  </si>
  <si>
    <t>Selected Transactions Multiples Valuation</t>
  </si>
  <si>
    <t>Subject Company Statistics</t>
  </si>
  <si>
    <t>Transaction Multiple</t>
  </si>
  <si>
    <t>Investor Provided Capital</t>
  </si>
  <si>
    <t>Gross PP&amp;E</t>
  </si>
  <si>
    <t>Capital Items</t>
  </si>
  <si>
    <t>Net PP&amp;E</t>
  </si>
  <si>
    <t>Revenues</t>
  </si>
  <si>
    <t>EBITDA</t>
  </si>
  <si>
    <t>Income Statement</t>
  </si>
  <si>
    <t>EBIT</t>
  </si>
  <si>
    <t>Customers</t>
  </si>
  <si>
    <t>Population</t>
  </si>
  <si>
    <t>Demographics</t>
  </si>
  <si>
    <t>Average</t>
  </si>
  <si>
    <t>New Garden Township and Authority’s Sewage Collection and Treatment System</t>
  </si>
  <si>
    <t>Limerick Township Wastewater System’s Assets</t>
  </si>
  <si>
    <t>East Bradford Township Wastewater System Assets</t>
  </si>
  <si>
    <t>Mahoning Township Water &amp; Sewer System’s Assets</t>
  </si>
  <si>
    <t>NA</t>
  </si>
  <si>
    <t>For Township of Mahoning Sewer System Assets</t>
  </si>
  <si>
    <t>Township of Mahoning Sewer System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</si>
</sst>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43" formatCode="_(* #,##0.00_);_(* \(#,##0.00\);_(* &quot;-&quot;??_);_(@_)"/>
    <numFmt numFmtId="164" formatCode="0.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7"/>
      <color theme="1"/>
      <name val="Times New Roman"/>
      <family val="1"/>
    </font>
    <font>
      <u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/>
    </xf>
    <xf numFmtId="5" fontId="2" fillId="0" borderId="0" xfId="0" applyNumberFormat="1" applyFont="1" applyAlignment="1">
      <alignment horizontal="left" indent="1"/>
    </xf>
    <xf numFmtId="0" fontId="4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/>
    <xf numFmtId="5" fontId="2" fillId="0" borderId="0" xfId="0" applyNumberFormat="1" applyFont="1"/>
    <xf numFmtId="39" fontId="2" fillId="0" borderId="0" xfId="1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/>
    <xf numFmtId="43" fontId="2" fillId="0" borderId="0" xfId="0" applyNumberFormat="1" applyFont="1"/>
    <xf numFmtId="37" fontId="2" fillId="0" borderId="0" xfId="0" applyNumberFormat="1" applyFont="1"/>
    <xf numFmtId="5" fontId="2" fillId="0" borderId="0" xfId="0" applyNumberFormat="1" applyFont="1" applyAlignment="1">
      <alignment horizontal="center"/>
    </xf>
    <xf numFmtId="37" fontId="2" fillId="0" borderId="4" xfId="0" applyNumberFormat="1" applyFont="1" applyBorder="1"/>
    <xf numFmtId="0" fontId="2" fillId="0" borderId="0" xfId="0" applyFont="1" applyAlignment="1">
      <alignment horizontal="left" indent="2"/>
    </xf>
    <xf numFmtId="5" fontId="2" fillId="0" borderId="6" xfId="0" applyNumberFormat="1" applyFont="1" applyBorder="1"/>
    <xf numFmtId="39" fontId="2" fillId="0" borderId="0" xfId="0" applyNumberFormat="1" applyFont="1" applyAlignment="1">
      <alignment horizontal="center"/>
    </xf>
    <xf numFmtId="39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s%20-%20Mahoning%20SEW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V Est DepEx = CAPX"/>
      <sheetName val="OUT Corp owned DCF"/>
      <sheetName val="Notes"/>
      <sheetName val="Northampton summary"/>
      <sheetName val="MAHONING"/>
      <sheetName val="GROWTH notes Mahoning"/>
      <sheetName val="MUNI mahoning"/>
      <sheetName val="IOU mahoning"/>
      <sheetName val="mahoning DCF results"/>
      <sheetName val="mahoning DCF NOTES"/>
      <sheetName val="MASTER East Bradford"/>
      <sheetName val="Growth Notes East Bradford"/>
      <sheetName val="east bradford MUNI"/>
      <sheetName val="east bradford IOU"/>
      <sheetName val="east bradford results"/>
      <sheetName val="east bradford DCF notes"/>
      <sheetName val="MASTER Kane Borough Authoity"/>
      <sheetName val="TESTIMONY notes for KANE"/>
      <sheetName val="Kane-SUBJECT"/>
      <sheetName val="Kane - MUNI"/>
      <sheetName val="Kane - IOU"/>
      <sheetName val="Kane DCF - MUNI &amp; IOU"/>
      <sheetName val="Kane - FOOTNOTES"/>
      <sheetName val="notes for draft FMV"/>
      <sheetName val="draft summary FMV"/>
      <sheetName val="bond buyer notes"/>
      <sheetName val="AQUA PA Wastewater"/>
      <sheetName val="COST method reference"/>
      <sheetName val="Risk Adjustment for Multiples"/>
      <sheetName val="Get S&amp;P data"/>
      <sheetName val="Market Multiples details"/>
      <sheetName val="Market Multiples Summary"/>
      <sheetName val="Check on OC valuation"/>
      <sheetName val="Selected Transactions summary"/>
      <sheetName val="Selected Transactions details"/>
      <sheetName val="orig mahoning data"/>
      <sheetName val="Plant to customer and poulation"/>
      <sheetName val="transactions"/>
      <sheetName val="OUT Selected Transactions Summ"/>
      <sheetName val="test revised trasaction databas"/>
      <sheetName val="SUMMARY Economic &amp; Market Val"/>
      <sheetName val="Sheet15"/>
    </sheetNames>
    <sheetDataSet>
      <sheetData sheetId="0">
        <row r="3">
          <cell r="B3" t="str">
            <v>Township of Mahoning Sewer System Assets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6"/>
  <sheetViews>
    <sheetView tabSelected="1" workbookViewId="0">
      <selection activeCell="R8" sqref="R8"/>
    </sheetView>
  </sheetViews>
  <sheetFormatPr defaultRowHeight="12.75" x14ac:dyDescent="0.2"/>
  <cols>
    <col min="1" max="1" width="9.140625" style="1"/>
    <col min="2" max="2" width="4.42578125" style="1" bestFit="1" customWidth="1"/>
    <col min="3" max="3" width="23.28515625" style="1" customWidth="1"/>
    <col min="4" max="4" width="18.85546875" style="1" customWidth="1"/>
    <col min="5" max="5" width="9.140625" style="1"/>
    <col min="6" max="6" width="16.28515625" style="1" bestFit="1" customWidth="1"/>
    <col min="7" max="7" width="4.85546875" style="1" customWidth="1"/>
    <col min="8" max="8" width="23.42578125" style="1" customWidth="1"/>
    <col min="9" max="9" width="18.140625" style="1" customWidth="1"/>
    <col min="10" max="10" width="9.140625" style="1"/>
    <col min="11" max="11" width="16.85546875" style="1" bestFit="1" customWidth="1"/>
    <col min="12" max="12" width="3" style="1" customWidth="1"/>
    <col min="13" max="13" width="9.140625" style="1"/>
    <col min="14" max="14" width="15.28515625" style="1" bestFit="1" customWidth="1"/>
    <col min="15" max="15" width="12.85546875" style="1" bestFit="1" customWidth="1"/>
    <col min="16" max="18" width="15.28515625" style="1" bestFit="1" customWidth="1"/>
    <col min="19" max="16384" width="9.140625" style="1"/>
  </cols>
  <sheetData>
    <row r="1" spans="2:18" ht="22.5" x14ac:dyDescent="0.35">
      <c r="L1" s="2" t="str">
        <f>+"EXHIBIT "&amp;M1</f>
        <v>EXHIBIT 19</v>
      </c>
      <c r="M1" s="1">
        <v>19</v>
      </c>
    </row>
    <row r="2" spans="2:18" ht="22.5" x14ac:dyDescent="0.2">
      <c r="F2" s="3"/>
      <c r="G2" s="3"/>
      <c r="L2" s="4" t="str">
        <f>+"Page "&amp;M2&amp;" of "&amp;N2</f>
        <v>Page 6 of 6</v>
      </c>
      <c r="M2" s="1">
        <v>6</v>
      </c>
      <c r="N2" s="1">
        <v>6</v>
      </c>
    </row>
    <row r="3" spans="2:18" x14ac:dyDescent="0.2">
      <c r="B3" s="5" t="s">
        <v>0</v>
      </c>
      <c r="C3" s="5"/>
      <c r="D3" s="6"/>
      <c r="E3" s="6"/>
      <c r="F3" s="6"/>
      <c r="G3" s="6"/>
      <c r="H3" s="6"/>
      <c r="I3" s="6"/>
      <c r="J3" s="6"/>
      <c r="K3" s="6"/>
    </row>
    <row r="4" spans="2:18" x14ac:dyDescent="0.2">
      <c r="B4" s="6" t="s">
        <v>24</v>
      </c>
      <c r="C4" s="6"/>
      <c r="D4" s="6"/>
      <c r="E4" s="6"/>
      <c r="F4" s="6"/>
      <c r="G4" s="6"/>
      <c r="H4" s="6"/>
      <c r="I4" s="6"/>
      <c r="J4" s="6"/>
      <c r="K4" s="6"/>
    </row>
    <row r="5" spans="2:18" x14ac:dyDescent="0.2">
      <c r="B5" s="5" t="s">
        <v>1</v>
      </c>
      <c r="C5" s="6"/>
      <c r="D5" s="6"/>
      <c r="E5" s="6"/>
      <c r="F5" s="6"/>
      <c r="G5" s="6"/>
      <c r="H5" s="6"/>
      <c r="I5" s="6"/>
      <c r="J5" s="6"/>
      <c r="K5" s="6"/>
    </row>
    <row r="6" spans="2:18" x14ac:dyDescent="0.2">
      <c r="B6" s="6"/>
      <c r="C6" s="6"/>
      <c r="D6" s="6"/>
      <c r="E6" s="6"/>
      <c r="F6" s="6"/>
      <c r="G6" s="6"/>
      <c r="H6" s="6"/>
      <c r="I6" s="6"/>
      <c r="J6" s="6"/>
    </row>
    <row r="7" spans="2:18" x14ac:dyDescent="0.2">
      <c r="Q7" s="3"/>
    </row>
    <row r="8" spans="2:18" ht="15.95" customHeight="1" x14ac:dyDescent="0.2">
      <c r="C8" s="27" t="s">
        <v>2</v>
      </c>
      <c r="D8" s="28"/>
      <c r="E8" s="7"/>
      <c r="F8" s="8"/>
      <c r="H8" s="9" t="s">
        <v>25</v>
      </c>
      <c r="I8" s="7"/>
      <c r="J8" s="7"/>
      <c r="K8" s="8"/>
      <c r="R8" s="3"/>
    </row>
    <row r="9" spans="2:18" ht="20.100000000000001" customHeight="1" x14ac:dyDescent="0.2">
      <c r="C9" s="10" t="s">
        <v>3</v>
      </c>
      <c r="D9" s="11">
        <v>156000000</v>
      </c>
      <c r="I9" s="29" t="str">
        <f>+H8&amp;"'s Company Statistics"</f>
        <v>Township of Mahoning Sewer System Assets's Company Statistics</v>
      </c>
      <c r="K9" s="29" t="s">
        <v>4</v>
      </c>
      <c r="R9" s="3"/>
    </row>
    <row r="10" spans="2:18" ht="20.100000000000001" customHeight="1" x14ac:dyDescent="0.2">
      <c r="D10" s="12" t="s">
        <v>5</v>
      </c>
      <c r="F10" s="12" t="s">
        <v>6</v>
      </c>
      <c r="I10" s="30"/>
      <c r="K10" s="30"/>
      <c r="R10" s="12"/>
    </row>
    <row r="11" spans="2:18" ht="15" customHeight="1" x14ac:dyDescent="0.2">
      <c r="B11" s="13">
        <v>1</v>
      </c>
      <c r="C11" s="14" t="s">
        <v>7</v>
      </c>
      <c r="D11" s="15">
        <f>74855000+16931854+198452-8082087</f>
        <v>83903219</v>
      </c>
      <c r="F11" s="16">
        <f t="shared" ref="F11:F18" si="0">+D$9/D11</f>
        <v>1.8592850412568795</v>
      </c>
      <c r="G11" s="14"/>
      <c r="H11" s="1" t="s">
        <v>7</v>
      </c>
      <c r="I11" s="15">
        <v>2723127</v>
      </c>
      <c r="K11" s="17">
        <f t="shared" ref="K11:K18" si="1">IF(I11*F11=0,"NA",I11*F11)</f>
        <v>5063069.2965427227</v>
      </c>
    </row>
    <row r="12" spans="2:18" ht="15" customHeight="1" x14ac:dyDescent="0.25">
      <c r="B12" s="13">
        <f>MAX(B$11:B11)+1</f>
        <v>2</v>
      </c>
      <c r="C12" s="14" t="s">
        <v>8</v>
      </c>
      <c r="D12" s="15">
        <v>91435797</v>
      </c>
      <c r="F12" s="16">
        <f t="shared" si="0"/>
        <v>1.7061151662515721</v>
      </c>
      <c r="G12" s="14"/>
      <c r="H12" s="1" t="s">
        <v>8</v>
      </c>
      <c r="I12" s="15">
        <v>4931649</v>
      </c>
      <c r="K12" s="18">
        <f t="shared" si="1"/>
        <v>8413961.1535294</v>
      </c>
      <c r="M12" t="s">
        <v>9</v>
      </c>
      <c r="N12" s="19">
        <f>AVERAGE(K11:K13)</f>
        <v>6771221.9813248413</v>
      </c>
      <c r="P12" s="19">
        <f>MIN(K11:K13)</f>
        <v>5063069.2965427227</v>
      </c>
      <c r="Q12" s="19">
        <f>MAX(K11:K13)</f>
        <v>8413961.1535294</v>
      </c>
    </row>
    <row r="13" spans="2:18" ht="15" customHeight="1" x14ac:dyDescent="0.25">
      <c r="B13" s="13">
        <f>MAX(B$11:B12)+1</f>
        <v>3</v>
      </c>
      <c r="C13" s="14" t="s">
        <v>10</v>
      </c>
      <c r="D13" s="15">
        <v>73813794</v>
      </c>
      <c r="F13" s="16">
        <f t="shared" si="0"/>
        <v>2.1134261165331782</v>
      </c>
      <c r="G13" s="14"/>
      <c r="H13" s="1" t="s">
        <v>10</v>
      </c>
      <c r="I13" s="15">
        <v>3234859</v>
      </c>
      <c r="K13" s="18">
        <f t="shared" si="1"/>
        <v>6836635.4939024001</v>
      </c>
      <c r="M13"/>
    </row>
    <row r="14" spans="2:18" ht="15" customHeight="1" x14ac:dyDescent="0.25">
      <c r="B14" s="13">
        <f>MAX(B$11:B13)+1</f>
        <v>4</v>
      </c>
      <c r="C14" s="14" t="s">
        <v>11</v>
      </c>
      <c r="D14" s="15">
        <v>13047844</v>
      </c>
      <c r="F14" s="16">
        <f t="shared" si="0"/>
        <v>11.955998247679847</v>
      </c>
      <c r="G14" s="14"/>
      <c r="H14" s="1" t="s">
        <v>11</v>
      </c>
      <c r="I14" s="15">
        <v>1193054.9000000001</v>
      </c>
      <c r="K14" s="18">
        <f t="shared" si="1"/>
        <v>14264162.293785857</v>
      </c>
      <c r="M14"/>
    </row>
    <row r="15" spans="2:18" ht="15" customHeight="1" x14ac:dyDescent="0.25">
      <c r="B15" s="13">
        <f>MAX(B$11:B14)+1</f>
        <v>5</v>
      </c>
      <c r="C15" s="14" t="s">
        <v>12</v>
      </c>
      <c r="D15" s="15">
        <f>3811679+2368937</f>
        <v>6180616</v>
      </c>
      <c r="F15" s="16">
        <f t="shared" si="0"/>
        <v>25.240202594692828</v>
      </c>
      <c r="G15" s="14"/>
      <c r="H15" s="1" t="s">
        <v>12</v>
      </c>
      <c r="I15" s="15">
        <v>-173563.5399999998</v>
      </c>
      <c r="K15" s="18">
        <f t="shared" si="1"/>
        <v>-4380778.9126520678</v>
      </c>
      <c r="M15" t="s">
        <v>13</v>
      </c>
      <c r="N15" s="19">
        <f>AVERAGE(K14:K16)</f>
        <v>-38846.866624332346</v>
      </c>
      <c r="P15" s="19">
        <f>MIN(K14:K16)</f>
        <v>-9999923.9810067862</v>
      </c>
      <c r="Q15" s="19">
        <f>MAX(K14:K16)</f>
        <v>14264162.293785857</v>
      </c>
    </row>
    <row r="16" spans="2:18" ht="15" customHeight="1" x14ac:dyDescent="0.25">
      <c r="B16" s="13">
        <f>MAX(B$11:B15)+1</f>
        <v>6</v>
      </c>
      <c r="C16" s="14" t="s">
        <v>14</v>
      </c>
      <c r="D16" s="15">
        <v>3811679</v>
      </c>
      <c r="F16" s="16">
        <f t="shared" si="0"/>
        <v>40.92684614837713</v>
      </c>
      <c r="G16" s="14"/>
      <c r="H16" s="1" t="s">
        <v>14</v>
      </c>
      <c r="I16" s="15">
        <v>-244336.5399999998</v>
      </c>
      <c r="K16" s="18">
        <f t="shared" si="1"/>
        <v>-9999923.9810067862</v>
      </c>
      <c r="M16"/>
    </row>
    <row r="17" spans="2:18" ht="15" customHeight="1" x14ac:dyDescent="0.25">
      <c r="B17" s="13">
        <f>MAX(B$11:B16)+1</f>
        <v>7</v>
      </c>
      <c r="C17" s="14" t="s">
        <v>15</v>
      </c>
      <c r="D17" s="20">
        <v>20320</v>
      </c>
      <c r="F17" s="21">
        <f t="shared" si="0"/>
        <v>7677.1653543307084</v>
      </c>
      <c r="G17" s="14"/>
      <c r="H17" s="1" t="s">
        <v>15</v>
      </c>
      <c r="I17" s="20">
        <v>1451</v>
      </c>
      <c r="K17" s="18">
        <f t="shared" si="1"/>
        <v>11139566.929133859</v>
      </c>
      <c r="M17"/>
      <c r="N17" s="19"/>
      <c r="P17" s="19"/>
    </row>
    <row r="18" spans="2:18" ht="15" customHeight="1" x14ac:dyDescent="0.25">
      <c r="B18" s="13">
        <f>MAX(B$11:B17)+1</f>
        <v>8</v>
      </c>
      <c r="C18" s="14" t="s">
        <v>16</v>
      </c>
      <c r="D18" s="20">
        <v>61752</v>
      </c>
      <c r="F18" s="21">
        <f t="shared" si="0"/>
        <v>2526.2339681305871</v>
      </c>
      <c r="G18" s="14"/>
      <c r="H18" s="14" t="s">
        <v>16</v>
      </c>
      <c r="I18" s="20">
        <v>4218</v>
      </c>
      <c r="K18" s="18">
        <f t="shared" si="1"/>
        <v>10655654.877574816</v>
      </c>
      <c r="M18" t="s">
        <v>17</v>
      </c>
      <c r="N18" s="19">
        <f>AVERAGE(K17:K18)</f>
        <v>10897610.903354337</v>
      </c>
      <c r="P18" s="19">
        <f>MIN(K17:K18)</f>
        <v>10655654.877574816</v>
      </c>
      <c r="Q18" s="19">
        <f>MAX(K17:K18)</f>
        <v>11139566.929133859</v>
      </c>
    </row>
    <row r="19" spans="2:18" x14ac:dyDescent="0.2">
      <c r="B19" s="13">
        <f>MAX(B$11:B18)+1</f>
        <v>9</v>
      </c>
      <c r="D19" s="20"/>
      <c r="F19" s="16"/>
      <c r="I19" s="20"/>
      <c r="K19" s="22"/>
    </row>
    <row r="20" spans="2:18" ht="13.5" thickBot="1" x14ac:dyDescent="0.25">
      <c r="B20" s="13">
        <f>MAX(B$11:B19)+1</f>
        <v>10</v>
      </c>
      <c r="C20" s="23" t="s">
        <v>18</v>
      </c>
      <c r="D20" s="20"/>
      <c r="F20" s="16"/>
      <c r="I20" s="20"/>
      <c r="K20" s="24">
        <f>AVERAGE(K11:K18)</f>
        <v>5249043.3938512746</v>
      </c>
      <c r="N20" s="19"/>
      <c r="Q20" s="19"/>
    </row>
    <row r="21" spans="2:18" ht="13.5" thickTop="1" x14ac:dyDescent="0.2">
      <c r="C21" s="14"/>
      <c r="D21" s="20"/>
      <c r="F21" s="16"/>
      <c r="I21" s="20"/>
      <c r="K21" s="19"/>
      <c r="Q21" s="19"/>
      <c r="R21" s="19"/>
    </row>
    <row r="22" spans="2:18" x14ac:dyDescent="0.2">
      <c r="F22" s="25"/>
    </row>
    <row r="23" spans="2:18" ht="27.95" customHeight="1" x14ac:dyDescent="0.2">
      <c r="C23" s="27" t="s">
        <v>19</v>
      </c>
      <c r="D23" s="28"/>
      <c r="E23" s="7"/>
      <c r="F23" s="26"/>
      <c r="H23" s="9" t="s">
        <v>25</v>
      </c>
      <c r="I23" s="7"/>
      <c r="J23" s="7"/>
      <c r="K23" s="8"/>
    </row>
    <row r="24" spans="2:18" ht="20.100000000000001" customHeight="1" x14ac:dyDescent="0.2">
      <c r="C24" s="10" t="s">
        <v>3</v>
      </c>
      <c r="D24" s="11">
        <v>29500000</v>
      </c>
      <c r="F24" s="25"/>
      <c r="I24" s="29" t="str">
        <f>+H23&amp;"'s Company Statistics"</f>
        <v>Township of Mahoning Sewer System Assets's Company Statistics</v>
      </c>
      <c r="K24" s="29" t="s">
        <v>4</v>
      </c>
    </row>
    <row r="25" spans="2:18" ht="20.100000000000001" customHeight="1" x14ac:dyDescent="0.2">
      <c r="D25" s="12" t="s">
        <v>5</v>
      </c>
      <c r="F25" s="12" t="s">
        <v>6</v>
      </c>
      <c r="I25" s="30"/>
      <c r="K25" s="30"/>
    </row>
    <row r="26" spans="2:18" ht="15" customHeight="1" x14ac:dyDescent="0.2">
      <c r="B26" s="13">
        <f>MAX(B$11:B25)+1</f>
        <v>11</v>
      </c>
      <c r="C26" s="14" t="s">
        <v>7</v>
      </c>
      <c r="D26" s="15">
        <f>713000+1395000+12347026+8546114</f>
        <v>23001140</v>
      </c>
      <c r="F26" s="16">
        <f>+D$24/D26</f>
        <v>1.2825451260241885</v>
      </c>
      <c r="G26" s="14"/>
      <c r="H26" s="1" t="s">
        <v>7</v>
      </c>
      <c r="I26" s="15">
        <f>+I$11</f>
        <v>2723127</v>
      </c>
      <c r="K26" s="17">
        <f t="shared" ref="K26:K33" si="2">IF(I26*F26=0,"NA",I26*F26)</f>
        <v>3492533.2613948705</v>
      </c>
    </row>
    <row r="27" spans="2:18" ht="15" customHeight="1" x14ac:dyDescent="0.25">
      <c r="B27" s="13">
        <f>MAX(B$11:B26)+1</f>
        <v>12</v>
      </c>
      <c r="C27" s="14" t="s">
        <v>8</v>
      </c>
      <c r="D27" s="15">
        <f>3516649+14450670+8021011</f>
        <v>25988330</v>
      </c>
      <c r="F27" s="16">
        <f>+D24/D27</f>
        <v>1.13512488105238</v>
      </c>
      <c r="G27" s="14"/>
      <c r="H27" s="1" t="s">
        <v>8</v>
      </c>
      <c r="I27" s="15">
        <f>+I$12</f>
        <v>4931649</v>
      </c>
      <c r="K27" s="18">
        <f t="shared" si="2"/>
        <v>5598037.4845170882</v>
      </c>
      <c r="M27" t="s">
        <v>9</v>
      </c>
      <c r="N27" s="19">
        <f>AVERAGE(K26:K28)</f>
        <v>4800596.1079273634</v>
      </c>
      <c r="P27" s="19">
        <f>MIN(K26:K28)</f>
        <v>3492533.2613948705</v>
      </c>
      <c r="Q27" s="19">
        <f>MAX(K26:K28)</f>
        <v>5598037.4845170882</v>
      </c>
    </row>
    <row r="28" spans="2:18" ht="15" customHeight="1" x14ac:dyDescent="0.25">
      <c r="B28" s="13">
        <f>MAX(B$11:B27)+1</f>
        <v>13</v>
      </c>
      <c r="C28" s="14" t="s">
        <v>10</v>
      </c>
      <c r="D28" s="15">
        <f>3516649+14450670</f>
        <v>17967319</v>
      </c>
      <c r="F28" s="16">
        <f>+D24/D28</f>
        <v>1.6418698860970855</v>
      </c>
      <c r="G28" s="14"/>
      <c r="H28" s="1" t="s">
        <v>10</v>
      </c>
      <c r="I28" s="15">
        <f>+I$13</f>
        <v>3234859</v>
      </c>
      <c r="K28" s="18">
        <f t="shared" si="2"/>
        <v>5311217.5778701315</v>
      </c>
      <c r="M28"/>
    </row>
    <row r="29" spans="2:18" ht="15" customHeight="1" x14ac:dyDescent="0.25">
      <c r="B29" s="13">
        <f>MAX(B$11:B28)+1</f>
        <v>14</v>
      </c>
      <c r="C29" s="14" t="s">
        <v>11</v>
      </c>
      <c r="D29" s="15">
        <v>2261294</v>
      </c>
      <c r="F29" s="16">
        <f>+D24/D29</f>
        <v>13.045627857324169</v>
      </c>
      <c r="G29" s="14"/>
      <c r="H29" s="1" t="s">
        <v>11</v>
      </c>
      <c r="I29" s="15">
        <f>+I$14</f>
        <v>1193054.9000000001</v>
      </c>
      <c r="K29" s="18">
        <f t="shared" si="2"/>
        <v>15564150.238757102</v>
      </c>
      <c r="M29"/>
    </row>
    <row r="30" spans="2:18" ht="15" customHeight="1" x14ac:dyDescent="0.25">
      <c r="B30" s="13">
        <f>MAX(B$11:B29)+1</f>
        <v>15</v>
      </c>
      <c r="C30" s="14" t="s">
        <v>12</v>
      </c>
      <c r="D30" s="15">
        <f>822029+85357</f>
        <v>907386</v>
      </c>
      <c r="F30" s="16">
        <f>+D24/D30</f>
        <v>32.510971075154345</v>
      </c>
      <c r="G30" s="14"/>
      <c r="H30" s="1" t="s">
        <v>12</v>
      </c>
      <c r="I30" s="15">
        <f>+I$15</f>
        <v>-173563.5399999998</v>
      </c>
      <c r="K30" s="18">
        <f t="shared" si="2"/>
        <v>-5642719.228641388</v>
      </c>
      <c r="M30" t="s">
        <v>13</v>
      </c>
      <c r="N30" s="19">
        <f>AVERAGE(K29:K31)</f>
        <v>-1501623.1638158027</v>
      </c>
      <c r="P30" s="19">
        <f>MIN(K29:K31)</f>
        <v>-14426300.501563121</v>
      </c>
      <c r="Q30" s="19">
        <f>MAX(K29:K31)</f>
        <v>15564150.238757102</v>
      </c>
    </row>
    <row r="31" spans="2:18" ht="15" customHeight="1" x14ac:dyDescent="0.25">
      <c r="B31" s="13">
        <f>MAX(B$11:B30)+1</f>
        <v>16</v>
      </c>
      <c r="C31" s="14" t="s">
        <v>14</v>
      </c>
      <c r="D31" s="15">
        <f>822029-322391</f>
        <v>499638</v>
      </c>
      <c r="F31" s="16">
        <f>+D24/D31</f>
        <v>59.042746948790928</v>
      </c>
      <c r="G31" s="14"/>
      <c r="H31" s="1" t="s">
        <v>14</v>
      </c>
      <c r="I31" s="15">
        <f>+I$16</f>
        <v>-244336.5399999998</v>
      </c>
      <c r="K31" s="18">
        <f t="shared" si="2"/>
        <v>-14426300.501563121</v>
      </c>
      <c r="M31"/>
    </row>
    <row r="32" spans="2:18" ht="15" customHeight="1" x14ac:dyDescent="0.25">
      <c r="B32" s="13">
        <f>MAX(B$11:B31)+1</f>
        <v>17</v>
      </c>
      <c r="C32" s="14" t="s">
        <v>15</v>
      </c>
      <c r="D32" s="20">
        <v>1796</v>
      </c>
      <c r="F32" s="21">
        <f>+D24/D32</f>
        <v>16425.389755011136</v>
      </c>
      <c r="G32" s="14"/>
      <c r="H32" s="1" t="s">
        <v>15</v>
      </c>
      <c r="I32" s="20">
        <f>+I$17</f>
        <v>1451</v>
      </c>
      <c r="K32" s="18">
        <f t="shared" si="2"/>
        <v>23833240.534521159</v>
      </c>
      <c r="M32"/>
      <c r="N32" s="19"/>
      <c r="P32" s="19"/>
    </row>
    <row r="33" spans="2:18" ht="15" customHeight="1" x14ac:dyDescent="0.25">
      <c r="B33" s="13">
        <f>MAX(B$11:B32)+1</f>
        <v>18</v>
      </c>
      <c r="C33" s="14" t="s">
        <v>16</v>
      </c>
      <c r="D33" s="20">
        <v>12085</v>
      </c>
      <c r="F33" s="21">
        <f>+D24/D33</f>
        <v>2441.0426148117499</v>
      </c>
      <c r="G33" s="14"/>
      <c r="H33" s="14" t="s">
        <v>16</v>
      </c>
      <c r="I33" s="20">
        <f>+I$18</f>
        <v>4218</v>
      </c>
      <c r="K33" s="18">
        <f t="shared" si="2"/>
        <v>10296317.749275962</v>
      </c>
      <c r="M33" t="s">
        <v>17</v>
      </c>
      <c r="N33" s="19">
        <f>AVERAGE(K32:K33)</f>
        <v>17064779.141898561</v>
      </c>
      <c r="P33" s="19">
        <f>MIN(K32:K33)</f>
        <v>10296317.749275962</v>
      </c>
      <c r="Q33" s="19">
        <f>MAX(K32:K33)</f>
        <v>23833240.534521159</v>
      </c>
    </row>
    <row r="34" spans="2:18" x14ac:dyDescent="0.2">
      <c r="B34" s="13">
        <f>MAX(B$11:B33)+1</f>
        <v>19</v>
      </c>
      <c r="K34" s="22"/>
    </row>
    <row r="35" spans="2:18" ht="13.5" thickBot="1" x14ac:dyDescent="0.25">
      <c r="B35" s="13">
        <f>MAX(B$11:B34)+1</f>
        <v>20</v>
      </c>
      <c r="C35" s="23" t="s">
        <v>18</v>
      </c>
      <c r="K35" s="24">
        <f>AVERAGE(K26:K33)</f>
        <v>5503309.6395164756</v>
      </c>
      <c r="N35" s="19"/>
      <c r="Q35" s="19"/>
    </row>
    <row r="36" spans="2:18" ht="13.5" thickTop="1" x14ac:dyDescent="0.2">
      <c r="C36" s="14"/>
      <c r="D36" s="20"/>
      <c r="F36" s="16"/>
      <c r="I36" s="20"/>
      <c r="K36" s="19"/>
      <c r="Q36" s="19"/>
      <c r="R36" s="19"/>
    </row>
    <row r="37" spans="2:18" x14ac:dyDescent="0.2">
      <c r="F37" s="25"/>
    </row>
    <row r="38" spans="2:18" ht="15.95" customHeight="1" x14ac:dyDescent="0.2">
      <c r="C38" s="27" t="s">
        <v>20</v>
      </c>
      <c r="D38" s="28"/>
      <c r="E38" s="7"/>
      <c r="F38" s="26"/>
      <c r="H38" s="9" t="s">
        <v>25</v>
      </c>
      <c r="I38" s="7"/>
      <c r="J38" s="7"/>
      <c r="K38" s="8"/>
    </row>
    <row r="39" spans="2:18" ht="20.100000000000001" customHeight="1" x14ac:dyDescent="0.2">
      <c r="C39" s="10" t="s">
        <v>3</v>
      </c>
      <c r="D39" s="11">
        <v>75100000</v>
      </c>
      <c r="F39" s="25"/>
      <c r="I39" s="29" t="str">
        <f>+H38&amp;"'s Company Statistics"</f>
        <v>Township of Mahoning Sewer System Assets's Company Statistics</v>
      </c>
      <c r="K39" s="29" t="s">
        <v>4</v>
      </c>
    </row>
    <row r="40" spans="2:18" ht="20.100000000000001" customHeight="1" x14ac:dyDescent="0.2">
      <c r="D40" s="12" t="s">
        <v>5</v>
      </c>
      <c r="F40" s="12" t="s">
        <v>6</v>
      </c>
      <c r="I40" s="30"/>
      <c r="K40" s="30"/>
    </row>
    <row r="41" spans="2:18" x14ac:dyDescent="0.2">
      <c r="B41" s="13">
        <f>MAX(B$11:B40)+1</f>
        <v>21</v>
      </c>
      <c r="C41" s="14" t="s">
        <v>7</v>
      </c>
      <c r="D41" s="15">
        <v>43501755</v>
      </c>
      <c r="F41" s="16">
        <f>+D$39/D41</f>
        <v>1.7263671316249194</v>
      </c>
      <c r="G41" s="14"/>
      <c r="H41" s="1" t="s">
        <v>7</v>
      </c>
      <c r="I41" s="15">
        <f>+I$11</f>
        <v>2723127</v>
      </c>
      <c r="K41" s="17">
        <f t="shared" ref="K41:K48" si="3">IF(I41*F41=0,"NA",I41*F41)</f>
        <v>4701116.9480403718</v>
      </c>
    </row>
    <row r="42" spans="2:18" ht="15" x14ac:dyDescent="0.25">
      <c r="B42" s="13">
        <f>MAX(B$11:B41)+1</f>
        <v>22</v>
      </c>
      <c r="C42" s="14" t="s">
        <v>8</v>
      </c>
      <c r="D42" s="15">
        <v>60847250</v>
      </c>
      <c r="F42" s="16">
        <f>+D39/D42</f>
        <v>1.2342381948239238</v>
      </c>
      <c r="G42" s="14"/>
      <c r="H42" s="1" t="s">
        <v>8</v>
      </c>
      <c r="I42" s="15">
        <f>+I$12</f>
        <v>4931649</v>
      </c>
      <c r="K42" s="18">
        <f t="shared" si="3"/>
        <v>6086829.5592652094</v>
      </c>
      <c r="M42" t="s">
        <v>9</v>
      </c>
      <c r="N42" s="19">
        <f>AVERAGE(K41:K43)</f>
        <v>5838325.1411869787</v>
      </c>
      <c r="P42" s="19">
        <f>MIN(K41:K43)</f>
        <v>4701116.9480403718</v>
      </c>
      <c r="Q42" s="19">
        <f>MAX(K41:K43)</f>
        <v>6727028.9162553558</v>
      </c>
    </row>
    <row r="43" spans="2:18" ht="15" x14ac:dyDescent="0.25">
      <c r="B43" s="13">
        <f>MAX(B$11:B42)+1</f>
        <v>23</v>
      </c>
      <c r="C43" s="14" t="s">
        <v>10</v>
      </c>
      <c r="D43" s="15">
        <v>36113701</v>
      </c>
      <c r="F43" s="16">
        <f>+D39/D43</f>
        <v>2.0795431628566674</v>
      </c>
      <c r="G43" s="14"/>
      <c r="H43" s="1" t="s">
        <v>10</v>
      </c>
      <c r="I43" s="15">
        <f>+I$13</f>
        <v>3234859</v>
      </c>
      <c r="K43" s="18">
        <f t="shared" si="3"/>
        <v>6727028.9162553558</v>
      </c>
      <c r="M43"/>
    </row>
    <row r="44" spans="2:18" ht="15" x14ac:dyDescent="0.25">
      <c r="B44" s="13">
        <f>MAX(B$11:B43)+1</f>
        <v>24</v>
      </c>
      <c r="C44" s="14" t="s">
        <v>11</v>
      </c>
      <c r="D44" s="15">
        <v>4418775</v>
      </c>
      <c r="F44" s="16">
        <f>+D39/D44</f>
        <v>16.995660562033596</v>
      </c>
      <c r="G44" s="14"/>
      <c r="H44" s="1" t="s">
        <v>11</v>
      </c>
      <c r="I44" s="15">
        <f>+I$14</f>
        <v>1193054.9000000001</v>
      </c>
      <c r="K44" s="18">
        <f t="shared" si="3"/>
        <v>20276756.112270936</v>
      </c>
      <c r="M44"/>
    </row>
    <row r="45" spans="2:18" ht="15" x14ac:dyDescent="0.25">
      <c r="B45" s="13">
        <f>MAX(B$11:B44)+1</f>
        <v>25</v>
      </c>
      <c r="C45" s="14" t="s">
        <v>12</v>
      </c>
      <c r="D45" s="15">
        <v>2487775</v>
      </c>
      <c r="F45" s="16">
        <f>+D39/D45</f>
        <v>30.18761744932721</v>
      </c>
      <c r="G45" s="14"/>
      <c r="H45" s="1" t="s">
        <v>12</v>
      </c>
      <c r="I45" s="15">
        <f>+I$15</f>
        <v>-173563.5399999998</v>
      </c>
      <c r="K45" s="18">
        <f t="shared" si="3"/>
        <v>-5239469.7486709952</v>
      </c>
      <c r="M45" t="s">
        <v>13</v>
      </c>
      <c r="N45" s="19">
        <f>AVERAGE(K44:K46)</f>
        <v>-1832421.3143416431</v>
      </c>
      <c r="P45" s="19">
        <f>MIN(K44:K46)</f>
        <v>-20534550.306624871</v>
      </c>
      <c r="Q45" s="19">
        <f>MAX(K44:K46)</f>
        <v>20276756.112270936</v>
      </c>
    </row>
    <row r="46" spans="2:18" ht="15" x14ac:dyDescent="0.25">
      <c r="B46" s="13">
        <f>MAX(B$11:B45)+1</f>
        <v>26</v>
      </c>
      <c r="C46" s="14" t="s">
        <v>14</v>
      </c>
      <c r="D46" s="15">
        <v>893600</v>
      </c>
      <c r="F46" s="16">
        <f>+D39/D46</f>
        <v>84.042076991942707</v>
      </c>
      <c r="G46" s="14"/>
      <c r="H46" s="1" t="s">
        <v>14</v>
      </c>
      <c r="I46" s="15">
        <f>+I$16</f>
        <v>-244336.5399999998</v>
      </c>
      <c r="K46" s="18">
        <f t="shared" si="3"/>
        <v>-20534550.306624871</v>
      </c>
      <c r="M46"/>
    </row>
    <row r="47" spans="2:18" ht="15" x14ac:dyDescent="0.25">
      <c r="B47" s="13">
        <f>MAX(B$11:B46)+1</f>
        <v>27</v>
      </c>
      <c r="C47" s="14" t="s">
        <v>15</v>
      </c>
      <c r="D47" s="20">
        <v>5416</v>
      </c>
      <c r="F47" s="21">
        <f>+D39/D47</f>
        <v>13866.322008862629</v>
      </c>
      <c r="G47" s="14"/>
      <c r="H47" s="1" t="s">
        <v>15</v>
      </c>
      <c r="I47" s="20">
        <f>+I$17</f>
        <v>1451</v>
      </c>
      <c r="K47" s="18">
        <f t="shared" si="3"/>
        <v>20120033.234859675</v>
      </c>
      <c r="M47"/>
      <c r="N47" s="19"/>
      <c r="P47" s="19"/>
    </row>
    <row r="48" spans="2:18" ht="15" x14ac:dyDescent="0.25">
      <c r="B48" s="13">
        <f>MAX(B$11:B47)+1</f>
        <v>28</v>
      </c>
      <c r="C48" s="14" t="s">
        <v>16</v>
      </c>
      <c r="D48" s="20">
        <v>18798</v>
      </c>
      <c r="F48" s="21">
        <f>+D39/D48</f>
        <v>3995.1058623257795</v>
      </c>
      <c r="G48" s="14"/>
      <c r="H48" s="14" t="s">
        <v>16</v>
      </c>
      <c r="I48" s="20">
        <f>+I$18</f>
        <v>4218</v>
      </c>
      <c r="K48" s="18">
        <f t="shared" si="3"/>
        <v>16851356.527290139</v>
      </c>
      <c r="M48" t="s">
        <v>17</v>
      </c>
      <c r="N48" s="19">
        <f>AVERAGE(K47:K48)</f>
        <v>18485694.881074905</v>
      </c>
      <c r="P48" s="19">
        <f>MIN(K47:K48)</f>
        <v>16851356.527290139</v>
      </c>
      <c r="Q48" s="19">
        <f>MAX(K47:K48)</f>
        <v>20120033.234859675</v>
      </c>
    </row>
    <row r="49" spans="2:17" x14ac:dyDescent="0.2">
      <c r="B49" s="13">
        <f>MAX(B$11:B48)+1</f>
        <v>29</v>
      </c>
      <c r="K49" s="22"/>
    </row>
    <row r="50" spans="2:17" ht="13.5" thickBot="1" x14ac:dyDescent="0.25">
      <c r="B50" s="13">
        <f>MAX(B$11:B49)+1</f>
        <v>30</v>
      </c>
      <c r="C50" s="23" t="s">
        <v>18</v>
      </c>
      <c r="K50" s="24">
        <f>AVERAGE(K41:K48)</f>
        <v>6123637.6553357271</v>
      </c>
      <c r="N50" s="19"/>
      <c r="Q50" s="19"/>
    </row>
    <row r="51" spans="2:17" ht="13.5" thickTop="1" x14ac:dyDescent="0.2">
      <c r="K51" s="19"/>
      <c r="Q51" s="19"/>
    </row>
    <row r="52" spans="2:17" x14ac:dyDescent="0.2">
      <c r="F52" s="25"/>
    </row>
    <row r="53" spans="2:17" ht="17.25" customHeight="1" x14ac:dyDescent="0.2">
      <c r="C53" s="27" t="s">
        <v>21</v>
      </c>
      <c r="D53" s="28"/>
      <c r="E53" s="7"/>
      <c r="F53" s="26"/>
      <c r="H53" s="9" t="s">
        <v>25</v>
      </c>
      <c r="I53" s="7"/>
      <c r="J53" s="7"/>
      <c r="K53" s="8"/>
      <c r="N53" s="1" t="s">
        <v>22</v>
      </c>
    </row>
    <row r="54" spans="2:17" ht="20.100000000000001" customHeight="1" x14ac:dyDescent="0.2">
      <c r="C54" s="10" t="s">
        <v>3</v>
      </c>
      <c r="D54" s="11">
        <v>5000000</v>
      </c>
      <c r="F54" s="25"/>
      <c r="I54" s="29" t="str">
        <f>+H53&amp;"'s Company Statistics"</f>
        <v>Township of Mahoning Sewer System Assets's Company Statistics</v>
      </c>
      <c r="K54" s="29" t="s">
        <v>4</v>
      </c>
    </row>
    <row r="55" spans="2:17" ht="20.100000000000001" customHeight="1" x14ac:dyDescent="0.2">
      <c r="D55" s="12" t="s">
        <v>5</v>
      </c>
      <c r="F55" s="12" t="s">
        <v>6</v>
      </c>
      <c r="I55" s="30"/>
      <c r="K55" s="30"/>
    </row>
    <row r="56" spans="2:17" ht="15.75" customHeight="1" x14ac:dyDescent="0.2">
      <c r="B56" s="13">
        <f>MAX(B$11:B55)+1</f>
        <v>31</v>
      </c>
      <c r="C56" s="14" t="s">
        <v>7</v>
      </c>
      <c r="D56" s="15">
        <v>1298627</v>
      </c>
      <c r="F56" s="16">
        <f>+D$54/D56</f>
        <v>3.8502202711017097</v>
      </c>
      <c r="G56" s="14"/>
      <c r="H56" s="1" t="s">
        <v>7</v>
      </c>
      <c r="I56" s="15">
        <f>+I$11</f>
        <v>2723127</v>
      </c>
      <c r="K56" s="17">
        <f t="shared" ref="K56" si="4">IF(ISERROR(I56*F56),"NA",IF(I56*F56=0,"NA",I56*F56))</f>
        <v>10484638.776184386</v>
      </c>
    </row>
    <row r="57" spans="2:17" ht="15" x14ac:dyDescent="0.25">
      <c r="B57" s="13">
        <f>MAX(B$11:B56)+1</f>
        <v>32</v>
      </c>
      <c r="C57" s="14" t="s">
        <v>8</v>
      </c>
      <c r="D57" s="21" t="s">
        <v>23</v>
      </c>
      <c r="F57" s="16" t="str">
        <f>IF(D57="NA","NA",+D53/D57)</f>
        <v>NA</v>
      </c>
      <c r="G57" s="14"/>
      <c r="H57" s="1" t="s">
        <v>8</v>
      </c>
      <c r="I57" s="15">
        <f>+I$12</f>
        <v>4931649</v>
      </c>
      <c r="K57" s="17" t="str">
        <f>IF(ISERROR(I57*F57),"NA",IF(I57*F57=0,"NA",I57*F57))</f>
        <v>NA</v>
      </c>
      <c r="M57" t="s">
        <v>9</v>
      </c>
      <c r="N57" s="19">
        <f>AVERAGE(K56:K58)</f>
        <v>10484638.776184386</v>
      </c>
      <c r="P57" s="19">
        <f>MIN(K56:K58)</f>
        <v>10484638.776184386</v>
      </c>
      <c r="Q57" s="19">
        <f>MAX(K56:K58)</f>
        <v>10484638.776184386</v>
      </c>
    </row>
    <row r="58" spans="2:17" ht="15" x14ac:dyDescent="0.25">
      <c r="B58" s="13">
        <f>MAX(B$11:B57)+1</f>
        <v>33</v>
      </c>
      <c r="C58" s="14" t="s">
        <v>10</v>
      </c>
      <c r="D58" s="21" t="s">
        <v>23</v>
      </c>
      <c r="F58" s="16" t="str">
        <f>IF(D58="NA","NA",+D54/D58)</f>
        <v>NA</v>
      </c>
      <c r="G58" s="14"/>
      <c r="H58" s="1" t="s">
        <v>10</v>
      </c>
      <c r="I58" s="15">
        <f>+I$13</f>
        <v>3234859</v>
      </c>
      <c r="K58" s="17" t="str">
        <f t="shared" ref="K58" si="5">IF(ISERROR(I58*F58),"NA",IF(I58*F58=0,"NA",I58*F58))</f>
        <v>NA</v>
      </c>
      <c r="M58"/>
    </row>
    <row r="59" spans="2:17" ht="15" x14ac:dyDescent="0.25">
      <c r="B59" s="13">
        <f>MAX(B$11:B58)+1</f>
        <v>34</v>
      </c>
      <c r="C59" s="14" t="s">
        <v>11</v>
      </c>
      <c r="D59" s="15">
        <v>1130372</v>
      </c>
      <c r="F59" s="16">
        <f>+D54/D59</f>
        <v>4.4233225876083271</v>
      </c>
      <c r="G59" s="14"/>
      <c r="H59" s="1" t="s">
        <v>11</v>
      </c>
      <c r="I59" s="15">
        <f>+I$14</f>
        <v>1193054.9000000001</v>
      </c>
      <c r="K59" s="18">
        <f t="shared" ref="K59:K63" si="6">IF(I59*F59=0,"NA",I59*F59)</f>
        <v>5277266.6874267943</v>
      </c>
      <c r="M59"/>
    </row>
    <row r="60" spans="2:17" ht="15" x14ac:dyDescent="0.25">
      <c r="B60" s="13">
        <f>MAX(B$11:B59)+1</f>
        <v>35</v>
      </c>
      <c r="C60" s="14" t="s">
        <v>12</v>
      </c>
      <c r="D60" s="15">
        <f>+D61</f>
        <v>49804</v>
      </c>
      <c r="F60" s="16">
        <f>+D54/D60</f>
        <v>100.39354268733435</v>
      </c>
      <c r="G60" s="14"/>
      <c r="H60" s="1" t="s">
        <v>12</v>
      </c>
      <c r="I60" s="15">
        <f>+I$15</f>
        <v>-173563.5399999998</v>
      </c>
      <c r="K60" s="18">
        <f t="shared" si="6"/>
        <v>-17424658.661954843</v>
      </c>
      <c r="M60" t="s">
        <v>13</v>
      </c>
      <c r="N60" s="19">
        <f>AVERAGE(K59:K61)</f>
        <v>-12225734.277697869</v>
      </c>
      <c r="P60" s="19">
        <f>MIN(K59:K61)</f>
        <v>-24529810.858565558</v>
      </c>
      <c r="Q60" s="19">
        <f>MAX(K59:K61)</f>
        <v>5277266.6874267943</v>
      </c>
    </row>
    <row r="61" spans="2:17" ht="15" x14ac:dyDescent="0.25">
      <c r="B61" s="13">
        <f>MAX(B$11:B60)+1</f>
        <v>36</v>
      </c>
      <c r="C61" s="14" t="s">
        <v>14</v>
      </c>
      <c r="D61" s="15">
        <f>+D59-1095568+15000</f>
        <v>49804</v>
      </c>
      <c r="F61" s="16">
        <f>+D54/D61</f>
        <v>100.39354268733435</v>
      </c>
      <c r="G61" s="14"/>
      <c r="H61" s="1" t="s">
        <v>14</v>
      </c>
      <c r="I61" s="15">
        <f>+I$16</f>
        <v>-244336.5399999998</v>
      </c>
      <c r="K61" s="18">
        <f t="shared" si="6"/>
        <v>-24529810.858565558</v>
      </c>
      <c r="M61"/>
    </row>
    <row r="62" spans="2:17" ht="15" x14ac:dyDescent="0.25">
      <c r="B62" s="13">
        <f>MAX(B$11:B61)+1</f>
        <v>37</v>
      </c>
      <c r="C62" s="14" t="s">
        <v>15</v>
      </c>
      <c r="D62" s="20">
        <v>1248</v>
      </c>
      <c r="F62" s="21">
        <f>+D54/D62</f>
        <v>4006.4102564102564</v>
      </c>
      <c r="G62" s="14"/>
      <c r="H62" s="1" t="s">
        <v>15</v>
      </c>
      <c r="I62" s="20">
        <f>+I$17</f>
        <v>1451</v>
      </c>
      <c r="K62" s="18">
        <f t="shared" si="6"/>
        <v>5813301.282051282</v>
      </c>
      <c r="M62"/>
      <c r="N62" s="19"/>
      <c r="P62" s="19"/>
    </row>
    <row r="63" spans="2:17" ht="15" x14ac:dyDescent="0.25">
      <c r="B63" s="13">
        <f>MAX(B$11:B62)+1</f>
        <v>38</v>
      </c>
      <c r="C63" s="14" t="s">
        <v>16</v>
      </c>
      <c r="D63" s="20">
        <v>9942</v>
      </c>
      <c r="F63" s="21">
        <f>+D54/D63</f>
        <v>502.91691812512573</v>
      </c>
      <c r="G63" s="14"/>
      <c r="H63" s="14" t="s">
        <v>16</v>
      </c>
      <c r="I63" s="20">
        <f>+I$18</f>
        <v>4218</v>
      </c>
      <c r="K63" s="18">
        <f t="shared" si="6"/>
        <v>2121303.5606517806</v>
      </c>
      <c r="M63" t="s">
        <v>17</v>
      </c>
      <c r="N63" s="19">
        <f>AVERAGE(K62:K63)</f>
        <v>3967302.4213515315</v>
      </c>
      <c r="P63" s="19">
        <f>MIN(K62:K63)</f>
        <v>2121303.5606517806</v>
      </c>
      <c r="Q63" s="19">
        <f>MAX(K62:K63)</f>
        <v>5813301.282051282</v>
      </c>
    </row>
    <row r="64" spans="2:17" x14ac:dyDescent="0.2">
      <c r="B64" s="13">
        <f>MAX(B$11:B63)+1</f>
        <v>39</v>
      </c>
      <c r="K64" s="22"/>
    </row>
    <row r="65" spans="2:17" ht="13.5" thickBot="1" x14ac:dyDescent="0.25">
      <c r="B65" s="13">
        <f>MAX(B$11:B64)+1</f>
        <v>40</v>
      </c>
      <c r="C65" s="23" t="s">
        <v>18</v>
      </c>
      <c r="K65" s="24">
        <f>AVERAGE(K56:K63)</f>
        <v>-3042993.2023676932</v>
      </c>
      <c r="N65" s="19"/>
      <c r="Q65" s="19"/>
    </row>
    <row r="66" spans="2:17" ht="13.5" thickTop="1" x14ac:dyDescent="0.2"/>
  </sheetData>
  <mergeCells count="12">
    <mergeCell ref="C8:D8"/>
    <mergeCell ref="I9:I10"/>
    <mergeCell ref="K9:K10"/>
    <mergeCell ref="C23:D23"/>
    <mergeCell ref="I24:I25"/>
    <mergeCell ref="K24:K25"/>
    <mergeCell ref="C38:D38"/>
    <mergeCell ref="I39:I40"/>
    <mergeCell ref="K39:K40"/>
    <mergeCell ref="C53:D53"/>
    <mergeCell ref="I54:I55"/>
    <mergeCell ref="K54:K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Harold, III</dc:creator>
  <cp:lastModifiedBy>Walker, Harold, III</cp:lastModifiedBy>
  <dcterms:created xsi:type="dcterms:W3CDTF">2018-06-21T17:53:03Z</dcterms:created>
  <dcterms:modified xsi:type="dcterms:W3CDTF">2018-06-21T17:54:54Z</dcterms:modified>
</cp:coreProperties>
</file>