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0490" windowHeight="7155" activeTab="1"/>
  </bookViews>
  <sheets>
    <sheet name="Reference Naming" sheetId="6" r:id="rId1"/>
    <sheet name="Risk WP" sheetId="1" r:id="rId2"/>
    <sheet name="Size Table" sheetId="2" r:id="rId3"/>
    <sheet name="Growth and Margin" sheetId="3" r:id="rId4"/>
    <sheet name="CAPX to Plant" sheetId="4" r:id="rId5"/>
    <sheet name="Plant to investment" sheetId="5" r:id="rId6"/>
  </sheets>
  <definedNames>
    <definedName name="abbrev">'Reference Naming'!$B$5</definedName>
    <definedName name="ListOffset" hidden="1">1</definedName>
    <definedName name="name">'Reference Naming'!$B$3</definedName>
    <definedName name="_xlnm.Print_Area" localSheetId="1">'Risk WP'!$A$8:$J$204</definedName>
    <definedName name="_xlnm.Print_Titles" localSheetId="1">'Risk WP'!$1:$6</definedName>
    <definedName name="RecalcRequired" localSheetId="4" hidden="1">""</definedName>
    <definedName name="RecalcRequired" localSheetId="3" hidden="1">""</definedName>
    <definedName name="RecalcRequired" localSheetId="5" hidden="1">""</definedName>
    <definedName name="Set">" "</definedName>
    <definedName name="SPRI_ShowListBox" localSheetId="4" hidden="1">"0"</definedName>
    <definedName name="SPRI_ShowListBox" localSheetId="3" hidden="1">"0"</definedName>
    <definedName name="SPRI_ShowListBox" localSheetId="5" hidden="1">"-1"</definedName>
    <definedName name="SPRI_ShowListBox" localSheetId="0" hidden="1">"0"</definedName>
    <definedName name="SPRI_ShowListBox" localSheetId="1" hidden="1">"-1"</definedName>
    <definedName name="SPRI_ShowListBox" localSheetId="2" hidden="1">"0"</definedName>
    <definedName name="SPWS_WBID">"691454200738668"</definedName>
    <definedName name="SPWS_WSID" localSheetId="4" hidden="1">"796399338358641"</definedName>
    <definedName name="SPWS_WSID" localSheetId="3" hidden="1">"448433563017845"</definedName>
    <definedName name="SPWS_WSID" localSheetId="5" hidden="1">"507555009162426"</definedName>
    <definedName name="SPWS_WSID" localSheetId="0" hidden="1">"130051354570389"</definedName>
    <definedName name="SPWS_WSID" localSheetId="1" hidden="1">"153822377468348"</definedName>
    <definedName name="SPWS_WSID" localSheetId="2" hidden="1">"213079619603753"</definedName>
    <definedName name="Ticker">" 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2" i="1" l="1"/>
  <c r="D112" i="1"/>
  <c r="C112" i="1"/>
  <c r="B112" i="1"/>
  <c r="J95" i="1"/>
  <c r="I95" i="1"/>
  <c r="H95" i="1"/>
  <c r="G95" i="1"/>
  <c r="E95" i="1"/>
  <c r="D95" i="1"/>
  <c r="C95" i="1"/>
  <c r="B95" i="1"/>
  <c r="J60" i="1"/>
  <c r="I60" i="1"/>
  <c r="H60" i="1"/>
  <c r="G60" i="1"/>
  <c r="E60" i="1"/>
  <c r="D60" i="1"/>
  <c r="C60" i="1"/>
  <c r="B60" i="1"/>
  <c r="Z19" i="2"/>
  <c r="Y19" i="2"/>
  <c r="Z18" i="2"/>
  <c r="Y18" i="2"/>
  <c r="Z17" i="2"/>
  <c r="Y17" i="2"/>
  <c r="Z16" i="2"/>
  <c r="Y16" i="2"/>
  <c r="Z15" i="2"/>
  <c r="Y15" i="2"/>
  <c r="Z14" i="2"/>
  <c r="Y14" i="2"/>
  <c r="Z13" i="2"/>
  <c r="Y13" i="2"/>
  <c r="Y12" i="2"/>
  <c r="Z12" i="2"/>
  <c r="I27" i="5"/>
  <c r="D27" i="5"/>
  <c r="B131" i="1" l="1"/>
  <c r="B148" i="1"/>
  <c r="D131" i="1"/>
  <c r="E75" i="1"/>
  <c r="D75" i="1"/>
  <c r="C131" i="1"/>
  <c r="C170" i="1"/>
  <c r="C187" i="1"/>
  <c r="D170" i="1"/>
  <c r="D187" i="1"/>
  <c r="C75" i="1"/>
  <c r="H131" i="1"/>
  <c r="B170" i="1"/>
  <c r="I131" i="1"/>
  <c r="B75" i="1"/>
  <c r="C148" i="1"/>
  <c r="G131" i="1"/>
  <c r="D148" i="1"/>
  <c r="B187" i="1"/>
  <c r="F9" i="2" l="1"/>
  <c r="B9" i="2"/>
  <c r="U32" i="2"/>
  <c r="A187" i="1" l="1"/>
  <c r="A170" i="1"/>
  <c r="A148" i="1"/>
  <c r="A131" i="1"/>
  <c r="A112" i="1"/>
  <c r="A95" i="1"/>
  <c r="A75" i="1"/>
  <c r="A60" i="1"/>
  <c r="A14" i="1"/>
  <c r="A31" i="1" l="1"/>
  <c r="AC20" i="1"/>
  <c r="B33" i="1" l="1"/>
  <c r="M54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7" i="1"/>
  <c r="B37" i="1"/>
  <c r="A37" i="1"/>
  <c r="A8" i="1"/>
  <c r="C24" i="1"/>
  <c r="C23" i="1"/>
  <c r="C22" i="1"/>
  <c r="C21" i="1"/>
  <c r="C20" i="1"/>
  <c r="C19" i="1"/>
  <c r="C18" i="1"/>
  <c r="C17" i="1"/>
  <c r="B24" i="1"/>
  <c r="B23" i="1"/>
  <c r="B22" i="1"/>
  <c r="B21" i="1"/>
  <c r="B20" i="1"/>
  <c r="B19" i="1"/>
  <c r="B18" i="1"/>
  <c r="B17" i="1"/>
  <c r="C14" i="1"/>
  <c r="B14" i="1"/>
  <c r="D46" i="1" l="1"/>
  <c r="D41" i="1"/>
  <c r="D43" i="1"/>
  <c r="D14" i="1"/>
  <c r="D19" i="1"/>
  <c r="D22" i="1"/>
  <c r="D18" i="1"/>
  <c r="D42" i="1"/>
  <c r="D44" i="1"/>
  <c r="D45" i="1"/>
  <c r="D47" i="1"/>
  <c r="D37" i="1"/>
  <c r="D20" i="1"/>
  <c r="D23" i="1"/>
  <c r="D17" i="1"/>
  <c r="D21" i="1"/>
  <c r="D24" i="1"/>
  <c r="D40" i="1"/>
  <c r="I8" i="5"/>
  <c r="I10" i="5"/>
  <c r="A165" i="1"/>
  <c r="A1" i="1"/>
  <c r="M165" i="1"/>
  <c r="A126" i="1"/>
  <c r="A54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19" i="1"/>
  <c r="D119" i="1"/>
  <c r="C119" i="1"/>
  <c r="B11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J105" i="1"/>
  <c r="I105" i="1"/>
  <c r="H105" i="1"/>
  <c r="G105" i="1"/>
  <c r="J104" i="1"/>
  <c r="I104" i="1"/>
  <c r="H104" i="1"/>
  <c r="G104" i="1"/>
  <c r="J103" i="1"/>
  <c r="I103" i="1"/>
  <c r="H103" i="1"/>
  <c r="G103" i="1"/>
  <c r="J102" i="1"/>
  <c r="I102" i="1"/>
  <c r="H102" i="1"/>
  <c r="G102" i="1"/>
  <c r="J101" i="1"/>
  <c r="I101" i="1"/>
  <c r="H101" i="1"/>
  <c r="G101" i="1"/>
  <c r="J100" i="1"/>
  <c r="I100" i="1"/>
  <c r="H100" i="1"/>
  <c r="G100" i="1"/>
  <c r="J99" i="1"/>
  <c r="I99" i="1"/>
  <c r="H99" i="1"/>
  <c r="G99" i="1"/>
  <c r="J98" i="1"/>
  <c r="I98" i="1"/>
  <c r="H98" i="1"/>
  <c r="G98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B105" i="1"/>
  <c r="B104" i="1"/>
  <c r="B103" i="1"/>
  <c r="B102" i="1"/>
  <c r="B101" i="1"/>
  <c r="B100" i="1"/>
  <c r="B99" i="1"/>
  <c r="B98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B70" i="1"/>
  <c r="B69" i="1"/>
  <c r="B68" i="1"/>
  <c r="B67" i="1"/>
  <c r="B66" i="1"/>
  <c r="B65" i="1"/>
  <c r="B64" i="1"/>
  <c r="B63" i="1"/>
  <c r="B92" i="1"/>
  <c r="B109" i="1" s="1"/>
  <c r="B129" i="1" s="1"/>
  <c r="B73" i="1"/>
  <c r="M70" i="1"/>
  <c r="M69" i="1"/>
  <c r="D26" i="1" l="1"/>
  <c r="O60" i="1"/>
  <c r="D49" i="1"/>
  <c r="I5" i="5"/>
  <c r="I7" i="5"/>
  <c r="D9" i="5"/>
  <c r="I6" i="5"/>
  <c r="D5" i="5"/>
  <c r="I9" i="5"/>
  <c r="I11" i="5"/>
  <c r="D11" i="5"/>
  <c r="I4" i="5"/>
  <c r="D6" i="5"/>
  <c r="D4" i="5"/>
  <c r="D10" i="5"/>
  <c r="D8" i="5"/>
  <c r="D7" i="5"/>
  <c r="B146" i="1"/>
  <c r="B168" i="1" s="1"/>
  <c r="B185" i="1" s="1"/>
  <c r="G129" i="1"/>
  <c r="G92" i="1"/>
  <c r="W35" i="3"/>
  <c r="AB18" i="3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K36" i="4"/>
  <c r="J36" i="4"/>
  <c r="I36" i="4"/>
  <c r="H36" i="4"/>
  <c r="F36" i="4"/>
  <c r="E36" i="4"/>
  <c r="D36" i="4"/>
  <c r="C36" i="4"/>
  <c r="H33" i="4"/>
  <c r="I33" i="4" s="1"/>
  <c r="J33" i="4" s="1"/>
  <c r="K33" i="4" s="1"/>
  <c r="D33" i="4"/>
  <c r="E33" i="4" s="1"/>
  <c r="F33" i="4" s="1"/>
  <c r="Z48" i="3"/>
  <c r="Y48" i="3"/>
  <c r="X48" i="3"/>
  <c r="W48" i="3"/>
  <c r="Z47" i="3"/>
  <c r="Y47" i="3"/>
  <c r="X47" i="3"/>
  <c r="W47" i="3"/>
  <c r="Z46" i="3"/>
  <c r="Y46" i="3"/>
  <c r="X46" i="3"/>
  <c r="W46" i="3"/>
  <c r="Z45" i="3"/>
  <c r="Y45" i="3"/>
  <c r="X45" i="3"/>
  <c r="W45" i="3"/>
  <c r="Z44" i="3"/>
  <c r="Y44" i="3"/>
  <c r="X44" i="3"/>
  <c r="W44" i="3"/>
  <c r="Z43" i="3"/>
  <c r="Y43" i="3"/>
  <c r="X43" i="3"/>
  <c r="W43" i="3"/>
  <c r="Z42" i="3"/>
  <c r="Y42" i="3"/>
  <c r="X42" i="3"/>
  <c r="W42" i="3"/>
  <c r="Z41" i="3"/>
  <c r="Y41" i="3"/>
  <c r="X41" i="3"/>
  <c r="W41" i="3"/>
  <c r="AE24" i="3"/>
  <c r="AD24" i="3"/>
  <c r="AC24" i="3"/>
  <c r="AB24" i="3"/>
  <c r="Z31" i="3"/>
  <c r="Y31" i="3"/>
  <c r="X31" i="3"/>
  <c r="Z30" i="3"/>
  <c r="Y30" i="3"/>
  <c r="X30" i="3"/>
  <c r="Z29" i="3"/>
  <c r="Y29" i="3"/>
  <c r="X29" i="3"/>
  <c r="Z28" i="3"/>
  <c r="Y28" i="3"/>
  <c r="X28" i="3"/>
  <c r="Z27" i="3"/>
  <c r="Y27" i="3"/>
  <c r="X27" i="3"/>
  <c r="Z26" i="3"/>
  <c r="Y26" i="3"/>
  <c r="X26" i="3"/>
  <c r="Z25" i="3"/>
  <c r="Y25" i="3"/>
  <c r="X25" i="3"/>
  <c r="Z24" i="3"/>
  <c r="Y24" i="3"/>
  <c r="X24" i="3"/>
  <c r="W31" i="3"/>
  <c r="W30" i="3"/>
  <c r="W29" i="3"/>
  <c r="W28" i="3"/>
  <c r="W27" i="3"/>
  <c r="W26" i="3"/>
  <c r="W24" i="3"/>
  <c r="W25" i="3"/>
  <c r="Z38" i="3"/>
  <c r="Y38" i="3"/>
  <c r="X38" i="3"/>
  <c r="W38" i="3"/>
  <c r="X35" i="3"/>
  <c r="Y35" i="3" s="1"/>
  <c r="Z35" i="3" s="1"/>
  <c r="AE21" i="3"/>
  <c r="AD21" i="3"/>
  <c r="AC21" i="3"/>
  <c r="AB21" i="3"/>
  <c r="Z21" i="3"/>
  <c r="Y21" i="3"/>
  <c r="X21" i="3"/>
  <c r="W21" i="3"/>
  <c r="AC18" i="3"/>
  <c r="AD18" i="3" s="1"/>
  <c r="AE18" i="3" s="1"/>
  <c r="X18" i="3"/>
  <c r="Y18" i="3" s="1"/>
  <c r="Z18" i="3" s="1"/>
  <c r="K9" i="2"/>
  <c r="I9" i="2"/>
  <c r="G9" i="2"/>
  <c r="K19" i="2"/>
  <c r="I19" i="2"/>
  <c r="K18" i="2"/>
  <c r="I18" i="2"/>
  <c r="K17" i="2"/>
  <c r="I17" i="2"/>
  <c r="K16" i="2"/>
  <c r="I16" i="2"/>
  <c r="K15" i="2"/>
  <c r="I15" i="2"/>
  <c r="K14" i="2"/>
  <c r="I14" i="2"/>
  <c r="K13" i="2"/>
  <c r="I13" i="2"/>
  <c r="K12" i="2"/>
  <c r="I12" i="2"/>
  <c r="G19" i="2"/>
  <c r="G18" i="2"/>
  <c r="G17" i="2"/>
  <c r="G16" i="2"/>
  <c r="G15" i="2"/>
  <c r="G14" i="2"/>
  <c r="G13" i="2"/>
  <c r="G12" i="2"/>
  <c r="I13" i="5" l="1"/>
  <c r="D13" i="5"/>
  <c r="AC4" i="5"/>
  <c r="AF4" i="5" s="1"/>
  <c r="AD4" i="5"/>
  <c r="AG4" i="5" s="1"/>
  <c r="K21" i="2"/>
  <c r="G21" i="2"/>
  <c r="I21" i="2"/>
  <c r="AG28" i="4" l="1"/>
  <c r="AF28" i="4"/>
  <c r="AE28" i="4"/>
  <c r="AD28" i="4"/>
  <c r="AC28" i="4"/>
  <c r="AB28" i="4"/>
  <c r="AA28" i="4"/>
  <c r="Z28" i="4"/>
  <c r="Y28" i="4"/>
  <c r="X28" i="4"/>
  <c r="W28" i="4"/>
  <c r="V28" i="4"/>
  <c r="AG27" i="4"/>
  <c r="AF27" i="4"/>
  <c r="AE27" i="4"/>
  <c r="AD27" i="4"/>
  <c r="AC27" i="4"/>
  <c r="AB27" i="4"/>
  <c r="AA27" i="4"/>
  <c r="Z27" i="4"/>
  <c r="Y27" i="4"/>
  <c r="X27" i="4"/>
  <c r="W27" i="4"/>
  <c r="V27" i="4"/>
  <c r="AG26" i="4"/>
  <c r="AF26" i="4"/>
  <c r="AE26" i="4"/>
  <c r="AD26" i="4"/>
  <c r="AC26" i="4"/>
  <c r="AB26" i="4"/>
  <c r="AA26" i="4"/>
  <c r="Z26" i="4"/>
  <c r="Y26" i="4"/>
  <c r="X26" i="4"/>
  <c r="W26" i="4"/>
  <c r="V26" i="4"/>
  <c r="AG25" i="4"/>
  <c r="AF25" i="4"/>
  <c r="AE25" i="4"/>
  <c r="AD25" i="4"/>
  <c r="AC25" i="4"/>
  <c r="AB25" i="4"/>
  <c r="AA25" i="4"/>
  <c r="Z25" i="4"/>
  <c r="Y25" i="4"/>
  <c r="X25" i="4"/>
  <c r="W25" i="4"/>
  <c r="V25" i="4"/>
  <c r="AG24" i="4"/>
  <c r="AF24" i="4"/>
  <c r="AE24" i="4"/>
  <c r="AD24" i="4"/>
  <c r="AC24" i="4"/>
  <c r="AB24" i="4"/>
  <c r="AA24" i="4"/>
  <c r="Z24" i="4"/>
  <c r="Y24" i="4"/>
  <c r="X24" i="4"/>
  <c r="W24" i="4"/>
  <c r="V24" i="4"/>
  <c r="AG23" i="4"/>
  <c r="AF23" i="4"/>
  <c r="AE23" i="4"/>
  <c r="AD23" i="4"/>
  <c r="AC23" i="4"/>
  <c r="AB23" i="4"/>
  <c r="AA23" i="4"/>
  <c r="Z23" i="4"/>
  <c r="Y23" i="4"/>
  <c r="X23" i="4"/>
  <c r="W23" i="4"/>
  <c r="V23" i="4"/>
  <c r="AG22" i="4"/>
  <c r="AF22" i="4"/>
  <c r="AE22" i="4"/>
  <c r="AD22" i="4"/>
  <c r="AC22" i="4"/>
  <c r="AB22" i="4"/>
  <c r="AA22" i="4"/>
  <c r="Z22" i="4"/>
  <c r="Y22" i="4"/>
  <c r="X22" i="4"/>
  <c r="W22" i="4"/>
  <c r="V22" i="4"/>
  <c r="AG21" i="4"/>
  <c r="AG30" i="4" s="1"/>
  <c r="AF21" i="4"/>
  <c r="AF30" i="4" s="1"/>
  <c r="AE21" i="4"/>
  <c r="AE30" i="4" s="1"/>
  <c r="AD21" i="4"/>
  <c r="AD30" i="4" s="1"/>
  <c r="AC21" i="4"/>
  <c r="AC30" i="4" s="1"/>
  <c r="AB21" i="4"/>
  <c r="AB30" i="4" s="1"/>
  <c r="AA21" i="4"/>
  <c r="AA30" i="4" s="1"/>
  <c r="Z21" i="4"/>
  <c r="Z30" i="4" s="1"/>
  <c r="Y21" i="4"/>
  <c r="Y30" i="4" s="1"/>
  <c r="X21" i="4"/>
  <c r="X30" i="4" s="1"/>
  <c r="W21" i="4"/>
  <c r="V21" i="4"/>
  <c r="V30" i="4" s="1"/>
  <c r="O55" i="3"/>
  <c r="N55" i="3"/>
  <c r="M55" i="3"/>
  <c r="J55" i="3"/>
  <c r="I55" i="3"/>
  <c r="H55" i="3"/>
  <c r="A55" i="3"/>
  <c r="O54" i="3"/>
  <c r="N54" i="3"/>
  <c r="M54" i="3"/>
  <c r="J54" i="3"/>
  <c r="I54" i="3"/>
  <c r="H54" i="3"/>
  <c r="A54" i="3"/>
  <c r="O53" i="3"/>
  <c r="N53" i="3"/>
  <c r="M53" i="3"/>
  <c r="J53" i="3"/>
  <c r="I53" i="3"/>
  <c r="H53" i="3"/>
  <c r="A53" i="3"/>
  <c r="O52" i="3"/>
  <c r="N52" i="3"/>
  <c r="M52" i="3"/>
  <c r="J52" i="3"/>
  <c r="I52" i="3"/>
  <c r="H52" i="3"/>
  <c r="A52" i="3"/>
  <c r="O51" i="3"/>
  <c r="N51" i="3"/>
  <c r="M51" i="3"/>
  <c r="J51" i="3"/>
  <c r="I51" i="3"/>
  <c r="H51" i="3"/>
  <c r="A51" i="3"/>
  <c r="O50" i="3"/>
  <c r="N50" i="3"/>
  <c r="M50" i="3"/>
  <c r="J50" i="3"/>
  <c r="I50" i="3"/>
  <c r="H50" i="3"/>
  <c r="A50" i="3"/>
  <c r="O49" i="3"/>
  <c r="N49" i="3"/>
  <c r="M49" i="3"/>
  <c r="J49" i="3"/>
  <c r="I49" i="3"/>
  <c r="H49" i="3"/>
  <c r="A49" i="3"/>
  <c r="O48" i="3"/>
  <c r="N48" i="3"/>
  <c r="M48" i="3"/>
  <c r="J48" i="3"/>
  <c r="I48" i="3"/>
  <c r="H48" i="3"/>
  <c r="A48" i="3"/>
  <c r="P42" i="3"/>
  <c r="O42" i="3"/>
  <c r="N42" i="3"/>
  <c r="M42" i="3"/>
  <c r="K42" i="3"/>
  <c r="J42" i="3"/>
  <c r="I42" i="3"/>
  <c r="H42" i="3"/>
  <c r="F42" i="3"/>
  <c r="E42" i="3"/>
  <c r="D42" i="3"/>
  <c r="C42" i="3"/>
  <c r="A42" i="3"/>
  <c r="P41" i="3"/>
  <c r="O41" i="3"/>
  <c r="N41" i="3"/>
  <c r="M41" i="3"/>
  <c r="K41" i="3"/>
  <c r="J41" i="3"/>
  <c r="I41" i="3"/>
  <c r="H41" i="3"/>
  <c r="F41" i="3"/>
  <c r="E41" i="3"/>
  <c r="D41" i="3"/>
  <c r="C41" i="3"/>
  <c r="A41" i="3"/>
  <c r="P40" i="3"/>
  <c r="O40" i="3"/>
  <c r="N40" i="3"/>
  <c r="M40" i="3"/>
  <c r="K40" i="3"/>
  <c r="J40" i="3"/>
  <c r="I40" i="3"/>
  <c r="H40" i="3"/>
  <c r="F40" i="3"/>
  <c r="E40" i="3"/>
  <c r="D40" i="3"/>
  <c r="C40" i="3"/>
  <c r="A40" i="3"/>
  <c r="P39" i="3"/>
  <c r="O39" i="3"/>
  <c r="N39" i="3"/>
  <c r="M39" i="3"/>
  <c r="K39" i="3"/>
  <c r="J39" i="3"/>
  <c r="I39" i="3"/>
  <c r="H39" i="3"/>
  <c r="F39" i="3"/>
  <c r="E39" i="3"/>
  <c r="D39" i="3"/>
  <c r="C39" i="3"/>
  <c r="A39" i="3"/>
  <c r="P38" i="3"/>
  <c r="O38" i="3"/>
  <c r="N38" i="3"/>
  <c r="M38" i="3"/>
  <c r="K38" i="3"/>
  <c r="J38" i="3"/>
  <c r="I38" i="3"/>
  <c r="H38" i="3"/>
  <c r="F38" i="3"/>
  <c r="E38" i="3"/>
  <c r="D38" i="3"/>
  <c r="C38" i="3"/>
  <c r="A38" i="3"/>
  <c r="P37" i="3"/>
  <c r="O37" i="3"/>
  <c r="N37" i="3"/>
  <c r="M37" i="3"/>
  <c r="K37" i="3"/>
  <c r="J37" i="3"/>
  <c r="I37" i="3"/>
  <c r="H37" i="3"/>
  <c r="F37" i="3"/>
  <c r="E37" i="3"/>
  <c r="D37" i="3"/>
  <c r="C37" i="3"/>
  <c r="A37" i="3"/>
  <c r="P36" i="3"/>
  <c r="O36" i="3"/>
  <c r="N36" i="3"/>
  <c r="M36" i="3"/>
  <c r="K36" i="3"/>
  <c r="J36" i="3"/>
  <c r="I36" i="3"/>
  <c r="H36" i="3"/>
  <c r="F36" i="3"/>
  <c r="E36" i="3"/>
  <c r="D36" i="3"/>
  <c r="C36" i="3"/>
  <c r="A36" i="3"/>
  <c r="P35" i="3"/>
  <c r="O35" i="3"/>
  <c r="N35" i="3"/>
  <c r="M35" i="3"/>
  <c r="K35" i="3"/>
  <c r="J35" i="3"/>
  <c r="I35" i="3"/>
  <c r="H35" i="3"/>
  <c r="F35" i="3"/>
  <c r="E35" i="3"/>
  <c r="D35" i="3"/>
  <c r="C35" i="3"/>
  <c r="A35" i="3"/>
  <c r="M19" i="2"/>
  <c r="M18" i="2"/>
  <c r="M17" i="2"/>
  <c r="M16" i="2"/>
  <c r="M15" i="2"/>
  <c r="M14" i="2"/>
  <c r="M13" i="2"/>
  <c r="M12" i="2"/>
  <c r="M9" i="2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C185" i="1"/>
  <c r="D185" i="1" s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C168" i="1"/>
  <c r="D168" i="1" s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C146" i="1"/>
  <c r="D146" i="1" s="1"/>
  <c r="I141" i="1"/>
  <c r="H141" i="1"/>
  <c r="G141" i="1"/>
  <c r="D141" i="1"/>
  <c r="C141" i="1"/>
  <c r="B141" i="1"/>
  <c r="I140" i="1"/>
  <c r="H140" i="1"/>
  <c r="G140" i="1"/>
  <c r="D140" i="1"/>
  <c r="C140" i="1"/>
  <c r="B140" i="1"/>
  <c r="I139" i="1"/>
  <c r="H139" i="1"/>
  <c r="G139" i="1"/>
  <c r="D139" i="1"/>
  <c r="C139" i="1"/>
  <c r="B139" i="1"/>
  <c r="I138" i="1"/>
  <c r="H138" i="1"/>
  <c r="G138" i="1"/>
  <c r="D138" i="1"/>
  <c r="C138" i="1"/>
  <c r="B138" i="1"/>
  <c r="I137" i="1"/>
  <c r="H137" i="1"/>
  <c r="G137" i="1"/>
  <c r="D137" i="1"/>
  <c r="C137" i="1"/>
  <c r="B137" i="1"/>
  <c r="I136" i="1"/>
  <c r="H136" i="1"/>
  <c r="G136" i="1"/>
  <c r="D136" i="1"/>
  <c r="C136" i="1"/>
  <c r="B136" i="1"/>
  <c r="I135" i="1"/>
  <c r="H135" i="1"/>
  <c r="G135" i="1"/>
  <c r="D135" i="1"/>
  <c r="C135" i="1"/>
  <c r="B135" i="1"/>
  <c r="I134" i="1"/>
  <c r="H134" i="1"/>
  <c r="G134" i="1"/>
  <c r="D134" i="1"/>
  <c r="C134" i="1"/>
  <c r="B134" i="1"/>
  <c r="H129" i="1"/>
  <c r="I129" i="1" s="1"/>
  <c r="C129" i="1"/>
  <c r="D129" i="1" s="1"/>
  <c r="C109" i="1"/>
  <c r="D109" i="1" s="1"/>
  <c r="E109" i="1" s="1"/>
  <c r="H92" i="1"/>
  <c r="I92" i="1" s="1"/>
  <c r="J92" i="1" s="1"/>
  <c r="C92" i="1"/>
  <c r="D92" i="1" s="1"/>
  <c r="E92" i="1" s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E87" i="1" s="1"/>
  <c r="D78" i="1"/>
  <c r="D87" i="1" s="1"/>
  <c r="C78" i="1"/>
  <c r="C87" i="1" s="1"/>
  <c r="B78" i="1"/>
  <c r="B87" i="1" s="1"/>
  <c r="C73" i="1"/>
  <c r="D73" i="1" s="1"/>
  <c r="E73" i="1" s="1"/>
  <c r="O68" i="1"/>
  <c r="P68" i="1" s="1"/>
  <c r="Q68" i="1" s="1"/>
  <c r="G57" i="1"/>
  <c r="H57" i="1" s="1"/>
  <c r="I57" i="1" s="1"/>
  <c r="J57" i="1" s="1"/>
  <c r="C57" i="1"/>
  <c r="D57" i="1" s="1"/>
  <c r="E57" i="1" s="1"/>
  <c r="G143" i="1" l="1"/>
  <c r="D143" i="1"/>
  <c r="F44" i="3"/>
  <c r="K44" i="3"/>
  <c r="W30" i="4"/>
  <c r="D44" i="3"/>
  <c r="I44" i="3"/>
  <c r="N44" i="3"/>
  <c r="H57" i="3"/>
  <c r="C143" i="1"/>
  <c r="I143" i="1"/>
  <c r="E44" i="3"/>
  <c r="B160" i="1"/>
  <c r="B182" i="1"/>
  <c r="B199" i="1"/>
  <c r="B143" i="1"/>
  <c r="H143" i="1"/>
  <c r="Q143" i="1" s="1"/>
  <c r="C182" i="1"/>
  <c r="C199" i="1"/>
  <c r="D160" i="1"/>
  <c r="D182" i="1"/>
  <c r="D199" i="1"/>
  <c r="C160" i="1"/>
  <c r="M21" i="2"/>
  <c r="Q9" i="2" s="1"/>
  <c r="C44" i="3"/>
  <c r="H44" i="3"/>
  <c r="M44" i="3"/>
  <c r="M57" i="3"/>
  <c r="J44" i="3"/>
  <c r="O44" i="3"/>
  <c r="I57" i="3"/>
  <c r="O57" i="3"/>
  <c r="P44" i="3"/>
  <c r="L87" i="1"/>
  <c r="N57" i="3"/>
  <c r="J57" i="3"/>
  <c r="P143" i="1" l="1"/>
  <c r="N160" i="1"/>
  <c r="M143" i="1"/>
  <c r="M160" i="1"/>
  <c r="N143" i="1"/>
  <c r="L75" i="1"/>
  <c r="M82" i="1" s="1"/>
  <c r="M131" i="1"/>
  <c r="N131" i="1"/>
  <c r="Q131" i="1"/>
  <c r="P131" i="1"/>
  <c r="N148" i="1"/>
  <c r="M148" i="1"/>
</calcChain>
</file>

<file path=xl/sharedStrings.xml><?xml version="1.0" encoding="utf-8"?>
<sst xmlns="http://schemas.openxmlformats.org/spreadsheetml/2006/main" count="463" uniqueCount="115">
  <si>
    <t>Property Plant &amp; Equipment Analysis</t>
  </si>
  <si>
    <t>Capital Expenditures Analysis</t>
  </si>
  <si>
    <t>Growth Rate Analyses</t>
  </si>
  <si>
    <t>Profit Margin Analyses</t>
  </si>
  <si>
    <t>PP&amp;E-Total Net</t>
  </si>
  <si>
    <t>Capital Expenditures</t>
  </si>
  <si>
    <t>(Millions of $)</t>
  </si>
  <si>
    <t>Comparable Group</t>
  </si>
  <si>
    <t>American States Water Co</t>
  </si>
  <si>
    <t>American Water Works Co Inc</t>
  </si>
  <si>
    <t>Aqua America Inc</t>
  </si>
  <si>
    <t>Artesian Resources  -CL A</t>
  </si>
  <si>
    <t>California Water Service Gp</t>
  </si>
  <si>
    <t>Middlesex Water Co</t>
  </si>
  <si>
    <t>SJW Corp</t>
  </si>
  <si>
    <t>York Water Co</t>
  </si>
  <si>
    <t>Capital Expenditures / PP&amp;E-Total Net</t>
  </si>
  <si>
    <t>Revenues</t>
  </si>
  <si>
    <t>EBITDA</t>
  </si>
  <si>
    <t>EBIT</t>
  </si>
  <si>
    <t>Revenue Growth</t>
  </si>
  <si>
    <t>EBITDA Growth</t>
  </si>
  <si>
    <t>EBIT Growth</t>
  </si>
  <si>
    <t>EBITDA / Revenue - Margin</t>
  </si>
  <si>
    <t>EBIT / Revenue - Margin</t>
  </si>
  <si>
    <t xml:space="preserve">Source:  </t>
  </si>
  <si>
    <t>S&amp;P Research Insight</t>
  </si>
  <si>
    <t>Customer</t>
  </si>
  <si>
    <t>Customers</t>
  </si>
  <si>
    <t>Population</t>
  </si>
  <si>
    <t>Density</t>
  </si>
  <si>
    <t>(Mill. $)</t>
  </si>
  <si>
    <t>Company Name</t>
  </si>
  <si>
    <t>AMERICAN STATES WATER CO</t>
  </si>
  <si>
    <t>AMERICAN WATER WORKS CO INC</t>
  </si>
  <si>
    <t>AQUA AMERICA INC</t>
  </si>
  <si>
    <t>ARTESIAN RESOURCES  -CL A</t>
  </si>
  <si>
    <t>CALIFORNIA WATER SERVICE GP</t>
  </si>
  <si>
    <t>MIDDLESEX WATER CO</t>
  </si>
  <si>
    <t>SJW CORP</t>
  </si>
  <si>
    <t>YORK WATER CO</t>
  </si>
  <si>
    <t>Growth</t>
  </si>
  <si>
    <t>Margin</t>
  </si>
  <si>
    <t>Revenues (2)</t>
  </si>
  <si>
    <t>EBITDA (3)</t>
  </si>
  <si>
    <t>EBIT (4)</t>
  </si>
  <si>
    <t>SUBJECT NAME:</t>
  </si>
  <si>
    <t>Abbreviation</t>
  </si>
  <si>
    <t>GROUP</t>
  </si>
  <si>
    <t>American Water Works Company Inc</t>
  </si>
  <si>
    <t>Artesian Resources Corp</t>
  </si>
  <si>
    <t>California Water Service Group</t>
  </si>
  <si>
    <t>SJW Corp.</t>
  </si>
  <si>
    <t>York Water Company (The)</t>
  </si>
  <si>
    <t>Median</t>
  </si>
  <si>
    <t>Investor Provided Capital</t>
  </si>
  <si>
    <t>Gross PP&amp;E</t>
  </si>
  <si>
    <t>Net PP&amp;E</t>
  </si>
  <si>
    <t>PP&amp;E-Total Gross[y15]</t>
  </si>
  <si>
    <t>PP&amp;E-Total Net[y15]</t>
  </si>
  <si>
    <t>Capital Expenditures[y15]</t>
  </si>
  <si>
    <t>PP&amp;E-Total Gross[y14]</t>
  </si>
  <si>
    <t>PP&amp;E-Total Net[y14]</t>
  </si>
  <si>
    <t>Capital Expenditures[y14]</t>
  </si>
  <si>
    <t>PP&amp;E-Total Gross[y13]</t>
  </si>
  <si>
    <t>PP&amp;E-Total Net[y13]</t>
  </si>
  <si>
    <t>Capital Expenditures[y13]</t>
  </si>
  <si>
    <t>PP&amp;E-Total Gross[y12]</t>
  </si>
  <si>
    <t>PP&amp;E-Total Net[y12]</t>
  </si>
  <si>
    <t>Capital Expenditures[y12]</t>
  </si>
  <si>
    <t>Sales-Net[y15]</t>
  </si>
  <si>
    <t>Earnings Before Depreciation[y15]</t>
  </si>
  <si>
    <t>Earnings Before Int &amp; Taxes[y15]</t>
  </si>
  <si>
    <t>Sales-Net[y14]</t>
  </si>
  <si>
    <t>Earnings Before Depreciation[y14]</t>
  </si>
  <si>
    <t>Earnings Before Int &amp; Taxes[y14]</t>
  </si>
  <si>
    <t>Sales-Net[y13]</t>
  </si>
  <si>
    <t>Earnings Before Depreciation[y13]</t>
  </si>
  <si>
    <t>Earnings Before Int &amp; Taxes[y13]</t>
  </si>
  <si>
    <t>Revenues (3)</t>
  </si>
  <si>
    <t>EBITDA (4)</t>
  </si>
  <si>
    <t>EBIT (5)</t>
  </si>
  <si>
    <t>CAPX</t>
  </si>
  <si>
    <t>Legal Company Name</t>
  </si>
  <si>
    <t>PP&amp;E Total Gross-Qtly</t>
  </si>
  <si>
    <t>PP&amp;E-Total Net Qtly</t>
  </si>
  <si>
    <t>Gross Property, Plant &amp; Equipment</t>
  </si>
  <si>
    <t>Net Property, Plant &amp; Equipment</t>
  </si>
  <si>
    <t>Percentage of Property, Plant &amp; Equipment Not Depreciated</t>
  </si>
  <si>
    <t>(Current Know Statistics)</t>
  </si>
  <si>
    <t>Invested Capital-Total Qtly</t>
  </si>
  <si>
    <t>Investor's Capital</t>
  </si>
  <si>
    <t>Percentage of Property, Plant &amp; Equipment Net of Contributions</t>
  </si>
  <si>
    <t>EXHIBIT 1</t>
  </si>
  <si>
    <t>Sales-Net[y16]</t>
  </si>
  <si>
    <t>Earnings Before Depreciation[y16]</t>
  </si>
  <si>
    <t>Earnings Before Int &amp; Taxes[y16]</t>
  </si>
  <si>
    <t>PP&amp;E-Total Gross[y16]</t>
  </si>
  <si>
    <t>PP&amp;E-Total Net[y16]</t>
  </si>
  <si>
    <t>Capital Expenditures[y16]</t>
  </si>
  <si>
    <t>SJW Group</t>
  </si>
  <si>
    <t>SUBJECT</t>
  </si>
  <si>
    <t>population</t>
  </si>
  <si>
    <t>na</t>
  </si>
  <si>
    <t>?</t>
  </si>
  <si>
    <t>Township of Mahoning Sewer and Water Systems Assets</t>
  </si>
  <si>
    <t>Mahoning's</t>
  </si>
  <si>
    <t>Sales-Net[y17]</t>
  </si>
  <si>
    <t>Earnings Before Depreciation[y17]</t>
  </si>
  <si>
    <t>Earnings Before Int &amp; Taxes[y17]</t>
  </si>
  <si>
    <t>PP&amp;E-Total Gross[y17]</t>
  </si>
  <si>
    <t>PP&amp;E-Total Net[y17]</t>
  </si>
  <si>
    <t>Capital Expenditures[y17]</t>
  </si>
  <si>
    <t>12/31/2017 data @ 4/30/18 DB</t>
  </si>
  <si>
    <t>Latest Size Statistics For the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</si>
</sst>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0_);\(&quot;$&quot;#,##0.000\)"/>
    <numFmt numFmtId="166" formatCode="#,##0.000_);\(#,##0.000\)"/>
    <numFmt numFmtId="167" formatCode="0.0%"/>
    <numFmt numFmtId="168" formatCode="#,##0.0_);\(#,##0.0\)"/>
    <numFmt numFmtId="169" formatCode="m/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Palatino Linotype"/>
      <family val="1"/>
    </font>
    <font>
      <sz val="11"/>
      <color theme="1"/>
      <name val="Palatino Linotype"/>
      <family val="1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2"/>
      <name val="Times New Roman"/>
      <family val="1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 applyFill="1" applyBorder="1" applyAlignment="1">
      <alignment horizontal="centerContinuous"/>
    </xf>
    <xf numFmtId="0" fontId="3" fillId="0" borderId="5" xfId="0" applyFont="1" applyFill="1" applyBorder="1"/>
    <xf numFmtId="0" fontId="3" fillId="0" borderId="0" xfId="0" applyFont="1" applyFill="1" applyBorder="1"/>
    <xf numFmtId="0" fontId="3" fillId="0" borderId="6" xfId="0" applyFont="1" applyBorder="1" applyAlignment="1">
      <alignment horizontal="center" wrapText="1"/>
    </xf>
    <xf numFmtId="164" fontId="5" fillId="0" borderId="0" xfId="1" applyNumberFormat="1" applyFont="1" applyBorder="1"/>
    <xf numFmtId="3" fontId="5" fillId="0" borderId="0" xfId="0" applyNumberFormat="1" applyFont="1" applyBorder="1"/>
    <xf numFmtId="9" fontId="3" fillId="0" borderId="0" xfId="2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9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quotePrefix="1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165" fontId="3" fillId="0" borderId="0" xfId="0" applyNumberFormat="1" applyFont="1" applyBorder="1"/>
    <xf numFmtId="165" fontId="3" fillId="0" borderId="5" xfId="0" applyNumberFormat="1" applyFont="1" applyBorder="1"/>
    <xf numFmtId="166" fontId="3" fillId="0" borderId="0" xfId="0" applyNumberFormat="1" applyFont="1" applyBorder="1"/>
    <xf numFmtId="166" fontId="3" fillId="0" borderId="5" xfId="0" applyNumberFormat="1" applyFont="1" applyBorder="1"/>
    <xf numFmtId="0" fontId="2" fillId="0" borderId="4" xfId="0" applyFont="1" applyBorder="1"/>
    <xf numFmtId="166" fontId="6" fillId="0" borderId="4" xfId="0" applyNumberFormat="1" applyFont="1" applyBorder="1" applyAlignment="1">
      <alignment horizontal="left" indent="2"/>
    </xf>
    <xf numFmtId="9" fontId="3" fillId="0" borderId="8" xfId="2" applyFont="1" applyBorder="1" applyAlignment="1">
      <alignment horizontal="center"/>
    </xf>
    <xf numFmtId="0" fontId="3" fillId="0" borderId="7" xfId="0" applyFont="1" applyBorder="1"/>
    <xf numFmtId="0" fontId="3" fillId="0" borderId="0" xfId="0" quotePrefix="1" applyFont="1" applyAlignment="1">
      <alignment horizontal="centerContinuous"/>
    </xf>
    <xf numFmtId="165" fontId="3" fillId="0" borderId="0" xfId="0" applyNumberFormat="1" applyFont="1"/>
    <xf numFmtId="0" fontId="2" fillId="0" borderId="0" xfId="0" applyFont="1"/>
    <xf numFmtId="166" fontId="3" fillId="0" borderId="0" xfId="0" applyNumberFormat="1" applyFont="1"/>
    <xf numFmtId="167" fontId="3" fillId="0" borderId="8" xfId="2" applyNumberFormat="1" applyFont="1" applyBorder="1" applyAlignment="1">
      <alignment horizontal="center"/>
    </xf>
    <xf numFmtId="167" fontId="3" fillId="0" borderId="17" xfId="2" applyNumberFormat="1" applyFont="1" applyBorder="1" applyAlignment="1">
      <alignment horizontal="center"/>
    </xf>
    <xf numFmtId="167" fontId="3" fillId="0" borderId="0" xfId="2" applyNumberFormat="1" applyFont="1" applyBorder="1" applyAlignment="1">
      <alignment horizontal="center"/>
    </xf>
    <xf numFmtId="167" fontId="3" fillId="0" borderId="5" xfId="2" applyNumberFormat="1" applyFont="1" applyBorder="1" applyAlignment="1">
      <alignment horizontal="center"/>
    </xf>
    <xf numFmtId="167" fontId="3" fillId="0" borderId="7" xfId="2" applyNumberFormat="1" applyFont="1" applyBorder="1" applyAlignment="1">
      <alignment horizontal="center"/>
    </xf>
    <xf numFmtId="167" fontId="3" fillId="0" borderId="18" xfId="2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17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37" fontId="3" fillId="0" borderId="0" xfId="0" applyNumberFormat="1" applyFont="1"/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9" fontId="3" fillId="0" borderId="0" xfId="0" applyNumberFormat="1" applyFont="1"/>
    <xf numFmtId="0" fontId="3" fillId="2" borderId="0" xfId="0" applyFont="1" applyFill="1"/>
    <xf numFmtId="167" fontId="3" fillId="0" borderId="0" xfId="0" applyNumberFormat="1" applyFont="1"/>
    <xf numFmtId="166" fontId="3" fillId="2" borderId="0" xfId="0" applyNumberFormat="1" applyFont="1" applyFill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0" fontId="3" fillId="4" borderId="4" xfId="0" applyFont="1" applyFill="1" applyBorder="1"/>
    <xf numFmtId="0" fontId="2" fillId="4" borderId="0" xfId="0" applyFont="1" applyFill="1" applyBorder="1" applyAlignment="1">
      <alignment horizontal="centerContinuous"/>
    </xf>
    <xf numFmtId="0" fontId="3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center"/>
    </xf>
    <xf numFmtId="0" fontId="3" fillId="4" borderId="0" xfId="0" quotePrefix="1" applyFont="1" applyFill="1" applyBorder="1"/>
    <xf numFmtId="165" fontId="3" fillId="4" borderId="8" xfId="0" applyNumberFormat="1" applyFont="1" applyFill="1" applyBorder="1"/>
    <xf numFmtId="37" fontId="3" fillId="4" borderId="8" xfId="0" applyNumberFormat="1" applyFont="1" applyFill="1" applyBorder="1"/>
    <xf numFmtId="37" fontId="3" fillId="4" borderId="0" xfId="0" applyNumberFormat="1" applyFont="1" applyFill="1" applyBorder="1"/>
    <xf numFmtId="168" fontId="3" fillId="4" borderId="8" xfId="0" applyNumberFormat="1" applyFont="1" applyFill="1" applyBorder="1" applyAlignment="1">
      <alignment horizontal="center"/>
    </xf>
    <xf numFmtId="7" fontId="3" fillId="0" borderId="0" xfId="0" applyNumberFormat="1" applyFont="1"/>
    <xf numFmtId="166" fontId="3" fillId="4" borderId="0" xfId="0" applyNumberFormat="1" applyFont="1" applyFill="1" applyBorder="1"/>
    <xf numFmtId="39" fontId="3" fillId="4" borderId="0" xfId="0" applyNumberFormat="1" applyFont="1" applyFill="1" applyBorder="1"/>
    <xf numFmtId="168" fontId="3" fillId="4" borderId="0" xfId="0" applyNumberFormat="1" applyFont="1" applyFill="1" applyBorder="1" applyAlignment="1">
      <alignment horizontal="center"/>
    </xf>
    <xf numFmtId="0" fontId="2" fillId="4" borderId="0" xfId="0" applyFont="1" applyFill="1" applyBorder="1"/>
    <xf numFmtId="165" fontId="3" fillId="4" borderId="0" xfId="0" applyNumberFormat="1" applyFont="1" applyFill="1" applyBorder="1"/>
    <xf numFmtId="39" fontId="3" fillId="4" borderId="7" xfId="0" applyNumberFormat="1" applyFont="1" applyFill="1" applyBorder="1"/>
    <xf numFmtId="7" fontId="3" fillId="4" borderId="8" xfId="0" applyNumberFormat="1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166" fontId="7" fillId="0" borderId="0" xfId="0" applyNumberFormat="1" applyFont="1"/>
    <xf numFmtId="9" fontId="7" fillId="0" borderId="0" xfId="2" applyFont="1"/>
    <xf numFmtId="9" fontId="8" fillId="2" borderId="0" xfId="2" applyFont="1" applyFill="1"/>
    <xf numFmtId="166" fontId="7" fillId="2" borderId="0" xfId="0" applyNumberFormat="1" applyFont="1" applyFill="1"/>
    <xf numFmtId="9" fontId="8" fillId="0" borderId="0" xfId="2" applyFont="1"/>
    <xf numFmtId="0" fontId="3" fillId="3" borderId="0" xfId="0" applyFont="1" applyFill="1"/>
    <xf numFmtId="14" fontId="3" fillId="0" borderId="0" xfId="0" applyNumberFormat="1" applyFont="1"/>
    <xf numFmtId="0" fontId="3" fillId="4" borderId="0" xfId="0" applyFont="1" applyFill="1" applyBorder="1" applyAlignment="1">
      <alignment horizontal="left" indent="2"/>
    </xf>
    <xf numFmtId="166" fontId="7" fillId="0" borderId="0" xfId="0" applyNumberFormat="1" applyFont="1" applyAlignment="1">
      <alignment wrapText="1"/>
    </xf>
    <xf numFmtId="166" fontId="7" fillId="3" borderId="0" xfId="0" applyNumberFormat="1" applyFont="1" applyFill="1"/>
    <xf numFmtId="164" fontId="3" fillId="0" borderId="0" xfId="0" applyNumberFormat="1" applyFont="1"/>
    <xf numFmtId="0" fontId="3" fillId="0" borderId="18" xfId="0" applyFont="1" applyBorder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2" borderId="0" xfId="0" applyFont="1" applyFill="1"/>
    <xf numFmtId="166" fontId="0" fillId="0" borderId="0" xfId="0" applyNumberFormat="1"/>
    <xf numFmtId="166" fontId="10" fillId="0" borderId="0" xfId="0" applyNumberFormat="1" applyFont="1"/>
    <xf numFmtId="166" fontId="10" fillId="0" borderId="0" xfId="0" applyNumberFormat="1" applyFont="1" applyAlignment="1">
      <alignment vertical="center" wrapText="1"/>
    </xf>
    <xf numFmtId="166" fontId="11" fillId="0" borderId="0" xfId="0" applyNumberFormat="1" applyFont="1" applyAlignment="1">
      <alignment vertical="center"/>
    </xf>
    <xf numFmtId="166" fontId="11" fillId="6" borderId="0" xfId="0" applyNumberFormat="1" applyFont="1" applyFill="1" applyAlignment="1">
      <alignment vertical="center"/>
    </xf>
    <xf numFmtId="166" fontId="11" fillId="7" borderId="0" xfId="0" applyNumberFormat="1" applyFont="1" applyFill="1" applyAlignment="1">
      <alignment vertical="center"/>
    </xf>
    <xf numFmtId="166" fontId="11" fillId="8" borderId="0" xfId="0" applyNumberFormat="1" applyFont="1" applyFill="1" applyAlignment="1">
      <alignment vertical="center"/>
    </xf>
    <xf numFmtId="9" fontId="0" fillId="2" borderId="0" xfId="2" applyFont="1" applyFill="1"/>
    <xf numFmtId="14" fontId="9" fillId="2" borderId="0" xfId="0" applyNumberFormat="1" applyFont="1" applyFill="1" applyAlignment="1">
      <alignment horizontal="left"/>
    </xf>
    <xf numFmtId="9" fontId="0" fillId="0" borderId="0" xfId="0" applyNumberFormat="1"/>
    <xf numFmtId="0" fontId="0" fillId="3" borderId="0" xfId="0" applyFill="1"/>
    <xf numFmtId="43" fontId="12" fillId="0" borderId="0" xfId="0" applyNumberFormat="1" applyFont="1" applyFill="1" applyBorder="1" applyAlignment="1">
      <alignment horizontal="right"/>
    </xf>
    <xf numFmtId="43" fontId="13" fillId="9" borderId="0" xfId="0" applyNumberFormat="1" applyFont="1" applyFill="1" applyBorder="1" applyAlignment="1">
      <alignment horizontal="right"/>
    </xf>
    <xf numFmtId="9" fontId="5" fillId="0" borderId="0" xfId="2" applyFont="1" applyBorder="1" applyAlignment="1">
      <alignment horizontal="center"/>
    </xf>
    <xf numFmtId="164" fontId="5" fillId="0" borderId="0" xfId="1" applyNumberFormat="1" applyFont="1" applyBorder="1" applyAlignment="1">
      <alignment horizontal="centerContinuous"/>
    </xf>
    <xf numFmtId="0" fontId="3" fillId="10" borderId="0" xfId="0" applyFont="1" applyFill="1"/>
    <xf numFmtId="0" fontId="4" fillId="10" borderId="0" xfId="0" applyFont="1" applyFill="1"/>
    <xf numFmtId="0" fontId="4" fillId="0" borderId="0" xfId="0" applyFont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9" fontId="3" fillId="0" borderId="5" xfId="2" applyFont="1" applyBorder="1" applyAlignment="1">
      <alignment horizontal="center"/>
    </xf>
    <xf numFmtId="0" fontId="9" fillId="0" borderId="0" xfId="0" applyFont="1"/>
    <xf numFmtId="0" fontId="3" fillId="5" borderId="4" xfId="0" applyFont="1" applyFill="1" applyBorder="1" applyAlignment="1">
      <alignment wrapText="1"/>
    </xf>
    <xf numFmtId="165" fontId="3" fillId="5" borderId="0" xfId="0" applyNumberFormat="1" applyFont="1" applyFill="1" applyBorder="1"/>
    <xf numFmtId="9" fontId="3" fillId="5" borderId="8" xfId="2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Border="1"/>
    <xf numFmtId="0" fontId="3" fillId="0" borderId="0" xfId="0" applyFont="1" applyAlignment="1">
      <alignment wrapText="1"/>
    </xf>
    <xf numFmtId="0" fontId="3" fillId="4" borderId="0" xfId="0" applyFont="1" applyFill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2" borderId="6" xfId="0" applyFont="1" applyFill="1" applyBorder="1" applyAlignment="1">
      <alignment horizontal="center"/>
    </xf>
    <xf numFmtId="0" fontId="4" fillId="0" borderId="4" xfId="0" applyFont="1" applyBorder="1"/>
    <xf numFmtId="169" fontId="7" fillId="3" borderId="0" xfId="0" applyNumberFormat="1" applyFont="1" applyFill="1"/>
    <xf numFmtId="166" fontId="10" fillId="2" borderId="0" xfId="0" applyNumberFormat="1" applyFont="1" applyFill="1" applyAlignment="1">
      <alignment vertical="center" wrapText="1"/>
    </xf>
    <xf numFmtId="166" fontId="14" fillId="2" borderId="0" xfId="0" applyNumberFormat="1" applyFont="1" applyFill="1"/>
    <xf numFmtId="37" fontId="15" fillId="2" borderId="0" xfId="0" applyNumberFormat="1" applyFont="1" applyFill="1" applyBorder="1"/>
    <xf numFmtId="37" fontId="14" fillId="2" borderId="0" xfId="0" applyNumberFormat="1" applyFont="1" applyFill="1" applyProtection="1"/>
    <xf numFmtId="3" fontId="14" fillId="2" borderId="0" xfId="0" applyNumberFormat="1" applyFont="1" applyFill="1"/>
    <xf numFmtId="37" fontId="14" fillId="2" borderId="0" xfId="0" applyNumberFormat="1" applyFont="1" applyFill="1"/>
    <xf numFmtId="3" fontId="0" fillId="2" borderId="0" xfId="0" applyNumberFormat="1" applyFill="1"/>
    <xf numFmtId="0" fontId="14" fillId="2" borderId="0" xfId="0" applyFont="1" applyFill="1"/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0" fillId="0" borderId="0" xfId="0" applyFill="1"/>
    <xf numFmtId="166" fontId="10" fillId="0" borderId="0" xfId="0" applyNumberFormat="1" applyFont="1" applyFill="1" applyAlignment="1">
      <alignment vertical="center" wrapText="1"/>
    </xf>
    <xf numFmtId="166" fontId="14" fillId="0" borderId="0" xfId="0" applyNumberFormat="1" applyFont="1" applyFill="1"/>
    <xf numFmtId="37" fontId="15" fillId="0" borderId="0" xfId="0" applyNumberFormat="1" applyFont="1" applyFill="1" applyBorder="1"/>
    <xf numFmtId="37" fontId="14" fillId="0" borderId="0" xfId="0" applyNumberFormat="1" applyFont="1" applyFill="1" applyProtection="1"/>
    <xf numFmtId="3" fontId="14" fillId="0" borderId="0" xfId="0" applyNumberFormat="1" applyFont="1" applyFill="1"/>
    <xf numFmtId="37" fontId="14" fillId="0" borderId="0" xfId="0" applyNumberFormat="1" applyFont="1" applyFill="1"/>
    <xf numFmtId="3" fontId="0" fillId="0" borderId="0" xfId="0" applyNumberFormat="1" applyFill="1"/>
    <xf numFmtId="0" fontId="14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C25" sqref="C25"/>
    </sheetView>
  </sheetViews>
  <sheetFormatPr defaultRowHeight="15" x14ac:dyDescent="0.25"/>
  <cols>
    <col min="1" max="1" width="14.85546875" bestFit="1" customWidth="1"/>
    <col min="2" max="2" width="45.140625" customWidth="1"/>
  </cols>
  <sheetData>
    <row r="3" spans="1:2" x14ac:dyDescent="0.25">
      <c r="A3" t="s">
        <v>46</v>
      </c>
      <c r="B3" t="s">
        <v>105</v>
      </c>
    </row>
    <row r="5" spans="1:2" x14ac:dyDescent="0.25">
      <c r="A5" t="s">
        <v>47</v>
      </c>
      <c r="B5" t="s">
        <v>106</v>
      </c>
    </row>
    <row r="8" spans="1:2" x14ac:dyDescent="0.25">
      <c r="A8" t="s">
        <v>48</v>
      </c>
      <c r="B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view="pageBreakPreview" zoomScale="60" zoomScaleNormal="100" workbookViewId="0">
      <selection activeCell="O45" sqref="O45"/>
    </sheetView>
  </sheetViews>
  <sheetFormatPr defaultColWidth="8.7109375" defaultRowHeight="12.75" x14ac:dyDescent="0.2"/>
  <cols>
    <col min="1" max="1" width="24.85546875" style="3" bestFit="1" customWidth="1"/>
    <col min="2" max="2" width="15.140625" style="3" customWidth="1"/>
    <col min="3" max="3" width="10.7109375" style="3" bestFit="1" customWidth="1"/>
    <col min="4" max="4" width="11.85546875" style="3" customWidth="1"/>
    <col min="5" max="5" width="9.28515625" style="3" bestFit="1" customWidth="1"/>
    <col min="6" max="6" width="1.85546875" style="3" customWidth="1"/>
    <col min="7" max="9" width="8.42578125" style="3" bestFit="1" customWidth="1"/>
    <col min="10" max="10" width="10.5703125" style="3" customWidth="1"/>
    <col min="11" max="11" width="8.7109375" style="58"/>
    <col min="12" max="12" width="3.42578125" style="3" bestFit="1" customWidth="1"/>
    <col min="13" max="13" width="10.42578125" style="3" bestFit="1" customWidth="1"/>
    <col min="14" max="16" width="13.5703125" style="3" bestFit="1" customWidth="1"/>
    <col min="17" max="17" width="12" style="3" bestFit="1" customWidth="1"/>
    <col min="18" max="19" width="8.7109375" style="3"/>
    <col min="20" max="20" width="11" style="3" bestFit="1" customWidth="1"/>
    <col min="21" max="21" width="9" style="3" bestFit="1" customWidth="1"/>
    <col min="22" max="24" width="7" style="3" bestFit="1" customWidth="1"/>
    <col min="25" max="25" width="8.7109375" style="3"/>
    <col min="26" max="26" width="8.7109375" style="92"/>
    <col min="27" max="16384" width="8.7109375" style="3"/>
  </cols>
  <sheetData>
    <row r="1" spans="1:23" x14ac:dyDescent="0.2">
      <c r="A1" s="1" t="str">
        <f>+name</f>
        <v>Township of Mahoning Sewer and Water Systems Assets</v>
      </c>
      <c r="B1" s="2"/>
      <c r="C1" s="2"/>
      <c r="D1" s="2"/>
      <c r="E1" s="2"/>
      <c r="F1" s="2"/>
      <c r="G1" s="2"/>
      <c r="H1" s="2"/>
      <c r="I1" s="2"/>
      <c r="J1" s="2"/>
    </row>
    <row r="2" spans="1:23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23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23" x14ac:dyDescent="0.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23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</row>
    <row r="7" spans="1:23" ht="13.5" thickBot="1" x14ac:dyDescent="0.25">
      <c r="M7" s="58"/>
    </row>
    <row r="8" spans="1:23" ht="13.5" thickBot="1" x14ac:dyDescent="0.25">
      <c r="A8" s="4" t="str">
        <f>+"TABLE "&amp;M8&amp;" Property Plant &amp; Equipment Analysis"</f>
        <v>TABLE 5.1 Property Plant &amp; Equipment Analysis</v>
      </c>
      <c r="B8" s="5"/>
      <c r="C8" s="5"/>
      <c r="D8" s="5"/>
      <c r="E8" s="6"/>
      <c r="F8" s="8"/>
      <c r="M8" s="100">
        <v>5.0999999999999996</v>
      </c>
    </row>
    <row r="9" spans="1:23" x14ac:dyDescent="0.2">
      <c r="A9" s="119"/>
      <c r="B9" s="120"/>
      <c r="C9" s="120"/>
      <c r="D9" s="120"/>
      <c r="E9" s="121"/>
      <c r="F9" s="8"/>
      <c r="M9" s="58"/>
      <c r="P9" s="112">
        <v>27267123</v>
      </c>
    </row>
    <row r="10" spans="1:23" x14ac:dyDescent="0.2">
      <c r="A10" s="7"/>
      <c r="B10" s="10" t="s">
        <v>89</v>
      </c>
      <c r="C10" s="10"/>
      <c r="D10" s="10"/>
      <c r="E10" s="11"/>
      <c r="F10" s="12"/>
    </row>
    <row r="11" spans="1:23" ht="82.5" customHeight="1" x14ac:dyDescent="0.2">
      <c r="A11" s="7"/>
      <c r="B11" s="13" t="s">
        <v>86</v>
      </c>
      <c r="C11" s="13" t="s">
        <v>87</v>
      </c>
      <c r="D11" s="13" t="s">
        <v>88</v>
      </c>
      <c r="E11" s="9"/>
      <c r="F11" s="8"/>
    </row>
    <row r="12" spans="1:23" x14ac:dyDescent="0.2">
      <c r="A12" s="7"/>
      <c r="B12" s="31" t="s">
        <v>6</v>
      </c>
      <c r="C12" s="115"/>
      <c r="D12" s="15"/>
      <c r="E12" s="122"/>
      <c r="F12" s="8"/>
    </row>
    <row r="13" spans="1:23" x14ac:dyDescent="0.2">
      <c r="A13" s="7"/>
      <c r="B13" s="8"/>
      <c r="C13" s="14"/>
      <c r="D13" s="15"/>
      <c r="E13" s="122"/>
      <c r="F13" s="8"/>
    </row>
    <row r="14" spans="1:23" ht="26.25" thickBot="1" x14ac:dyDescent="0.25">
      <c r="A14" s="131" t="str">
        <f>+name</f>
        <v>Township of Mahoning Sewer and Water Systems Assets</v>
      </c>
      <c r="B14" s="33">
        <f>+N15/1000000</f>
        <v>10.225921</v>
      </c>
      <c r="C14" s="33">
        <f>N17/1000000</f>
        <v>6.7419969999999996</v>
      </c>
      <c r="D14" s="39">
        <f>+C14/B14</f>
        <v>0.65930462400403833</v>
      </c>
      <c r="E14" s="122"/>
      <c r="F14" s="8"/>
    </row>
    <row r="15" spans="1:23" ht="13.5" thickTop="1" x14ac:dyDescent="0.2">
      <c r="A15" s="7"/>
      <c r="B15" s="35"/>
      <c r="C15" s="35"/>
      <c r="D15" s="15"/>
      <c r="E15" s="122"/>
      <c r="F15" s="8"/>
      <c r="N15" s="112">
        <v>10225921</v>
      </c>
      <c r="P15" s="93">
        <v>43100</v>
      </c>
    </row>
    <row r="16" spans="1:23" x14ac:dyDescent="0.2">
      <c r="A16" s="37" t="s">
        <v>7</v>
      </c>
      <c r="B16" s="35"/>
      <c r="C16" s="35"/>
      <c r="D16" s="15"/>
      <c r="E16" s="122"/>
      <c r="F16" s="8"/>
      <c r="N16" s="112">
        <v>3483924</v>
      </c>
      <c r="P16" s="3" t="s">
        <v>83</v>
      </c>
      <c r="Q16" s="3" t="s">
        <v>84</v>
      </c>
      <c r="R16" s="3" t="s">
        <v>85</v>
      </c>
      <c r="U16" s="3" t="s">
        <v>83</v>
      </c>
      <c r="V16" s="3" t="s">
        <v>85</v>
      </c>
      <c r="W16" s="3" t="s">
        <v>90</v>
      </c>
    </row>
    <row r="17" spans="1:29" x14ac:dyDescent="0.2">
      <c r="A17" s="7" t="s">
        <v>8</v>
      </c>
      <c r="B17" s="33">
        <f t="shared" ref="B17:B24" si="0">+Q17</f>
        <v>1738.362060546875</v>
      </c>
      <c r="C17" s="33">
        <f t="shared" ref="C17:C24" si="1">+R17</f>
        <v>1204.991943359375</v>
      </c>
      <c r="D17" s="114">
        <f t="shared" ref="D17:D24" si="2">+C17/B17</f>
        <v>0.69317662339012054</v>
      </c>
      <c r="E17" s="122"/>
      <c r="F17" s="8"/>
      <c r="N17" s="113">
        <v>6741997</v>
      </c>
      <c r="P17" s="3" t="s">
        <v>8</v>
      </c>
      <c r="Q17" s="3">
        <v>1738.362060546875</v>
      </c>
      <c r="R17" s="3">
        <v>1204.991943359375</v>
      </c>
      <c r="S17" s="3">
        <v>0.69317662339012054</v>
      </c>
      <c r="U17" s="3" t="s">
        <v>8</v>
      </c>
      <c r="V17" s="3">
        <v>1204.991943359375</v>
      </c>
      <c r="W17" s="3">
        <v>850.98388671875</v>
      </c>
      <c r="X17" s="3">
        <v>0.7062154161349059</v>
      </c>
      <c r="AC17" s="3">
        <v>630</v>
      </c>
    </row>
    <row r="18" spans="1:29" x14ac:dyDescent="0.2">
      <c r="A18" s="7" t="s">
        <v>9</v>
      </c>
      <c r="B18" s="35">
        <f t="shared" si="0"/>
        <v>20440</v>
      </c>
      <c r="C18" s="35">
        <f t="shared" si="1"/>
        <v>14970</v>
      </c>
      <c r="D18" s="114">
        <f t="shared" si="2"/>
        <v>0.73238747553816042</v>
      </c>
      <c r="E18" s="122"/>
      <c r="F18" s="8"/>
      <c r="P18" s="3" t="s">
        <v>49</v>
      </c>
      <c r="Q18" s="3">
        <v>20440</v>
      </c>
      <c r="R18" s="3">
        <v>14970</v>
      </c>
      <c r="S18" s="3">
        <v>0.73238747553816042</v>
      </c>
      <c r="U18" s="3" t="s">
        <v>49</v>
      </c>
      <c r="V18" s="3">
        <v>14970</v>
      </c>
      <c r="W18" s="3">
        <v>11883</v>
      </c>
      <c r="X18" s="3">
        <v>0.79378757515030063</v>
      </c>
      <c r="AC18" s="3">
        <v>999</v>
      </c>
    </row>
    <row r="19" spans="1:29" x14ac:dyDescent="0.2">
      <c r="A19" s="7" t="s">
        <v>10</v>
      </c>
      <c r="B19" s="35">
        <f t="shared" si="0"/>
        <v>7003.9921875</v>
      </c>
      <c r="C19" s="35">
        <f t="shared" si="1"/>
        <v>5399.859375</v>
      </c>
      <c r="D19" s="114">
        <f t="shared" si="2"/>
        <v>0.77096878900537746</v>
      </c>
      <c r="E19" s="122"/>
      <c r="F19" s="8"/>
      <c r="P19" s="3" t="s">
        <v>10</v>
      </c>
      <c r="Q19" s="3">
        <v>7003.9921875</v>
      </c>
      <c r="R19" s="3">
        <v>5399.859375</v>
      </c>
      <c r="S19" s="3">
        <v>0.77096878900537746</v>
      </c>
      <c r="U19" s="3" t="s">
        <v>10</v>
      </c>
      <c r="V19" s="3">
        <v>5399.859375</v>
      </c>
      <c r="W19" s="3">
        <v>3965.3740234375</v>
      </c>
      <c r="X19" s="3">
        <v>0.73434764649542383</v>
      </c>
      <c r="AC19" s="3">
        <v>1343</v>
      </c>
    </row>
    <row r="20" spans="1:29" x14ac:dyDescent="0.2">
      <c r="A20" s="7" t="s">
        <v>11</v>
      </c>
      <c r="B20" s="35">
        <f t="shared" si="0"/>
        <v>582.017822265625</v>
      </c>
      <c r="C20" s="35">
        <f t="shared" si="1"/>
        <v>464.3837890625</v>
      </c>
      <c r="D20" s="114">
        <f t="shared" si="2"/>
        <v>0.79788585726600236</v>
      </c>
      <c r="E20" s="122"/>
      <c r="F20" s="8"/>
      <c r="P20" s="3" t="s">
        <v>50</v>
      </c>
      <c r="Q20" s="3">
        <v>582.017822265625</v>
      </c>
      <c r="R20" s="3">
        <v>464.3837890625</v>
      </c>
      <c r="S20" s="3">
        <v>0.79788585726600236</v>
      </c>
      <c r="U20" s="3" t="s">
        <v>50</v>
      </c>
      <c r="V20" s="3">
        <v>464.3837890625</v>
      </c>
      <c r="W20" s="3">
        <v>252.23100280761719</v>
      </c>
      <c r="X20" s="3">
        <v>0.54315204093756642</v>
      </c>
      <c r="AC20" s="3">
        <f>SUM(AC17:AC19)</f>
        <v>2972</v>
      </c>
    </row>
    <row r="21" spans="1:29" x14ac:dyDescent="0.2">
      <c r="A21" s="7" t="s">
        <v>12</v>
      </c>
      <c r="B21" s="35">
        <f t="shared" si="0"/>
        <v>3025.611083984375</v>
      </c>
      <c r="C21" s="35">
        <f t="shared" si="1"/>
        <v>2083.0380859375</v>
      </c>
      <c r="D21" s="114">
        <f t="shared" si="2"/>
        <v>0.68846855333250001</v>
      </c>
      <c r="E21" s="122"/>
      <c r="F21" s="8"/>
      <c r="P21" s="3" t="s">
        <v>51</v>
      </c>
      <c r="Q21" s="3">
        <v>3025.611083984375</v>
      </c>
      <c r="R21" s="3">
        <v>2083.0380859375</v>
      </c>
      <c r="S21" s="3">
        <v>0.68846855333250001</v>
      </c>
      <c r="U21" s="3" t="s">
        <v>51</v>
      </c>
      <c r="V21" s="3">
        <v>2083.0380859375</v>
      </c>
      <c r="W21" s="3">
        <v>1196.98095703125</v>
      </c>
      <c r="X21" s="3">
        <v>0.57463229554563433</v>
      </c>
    </row>
    <row r="22" spans="1:29" x14ac:dyDescent="0.2">
      <c r="A22" s="7" t="s">
        <v>13</v>
      </c>
      <c r="B22" s="35">
        <f t="shared" si="0"/>
        <v>703.511962890625</v>
      </c>
      <c r="C22" s="35">
        <f t="shared" si="1"/>
        <v>557.239990234375</v>
      </c>
      <c r="D22" s="114">
        <f t="shared" si="2"/>
        <v>0.792083176446296</v>
      </c>
      <c r="E22" s="122"/>
      <c r="F22" s="8"/>
      <c r="P22" s="3" t="s">
        <v>13</v>
      </c>
      <c r="Q22" s="3">
        <v>703.511962890625</v>
      </c>
      <c r="R22" s="3">
        <v>557.239990234375</v>
      </c>
      <c r="S22" s="3">
        <v>0.792083176446296</v>
      </c>
      <c r="U22" s="3" t="s">
        <v>13</v>
      </c>
      <c r="V22" s="3">
        <v>557.239990234375</v>
      </c>
      <c r="W22" s="3">
        <v>370.65283203125</v>
      </c>
      <c r="X22" s="3">
        <v>0.66515834923361028</v>
      </c>
    </row>
    <row r="23" spans="1:29" x14ac:dyDescent="0.2">
      <c r="A23" s="7" t="s">
        <v>14</v>
      </c>
      <c r="B23" s="35">
        <f t="shared" si="0"/>
        <v>1877.992919921875</v>
      </c>
      <c r="C23" s="35">
        <f t="shared" si="1"/>
        <v>1299.718017578125</v>
      </c>
      <c r="D23" s="114">
        <f t="shared" si="2"/>
        <v>0.69207823085520126</v>
      </c>
      <c r="E23" s="122"/>
      <c r="F23" s="8"/>
      <c r="P23" s="3" t="s">
        <v>100</v>
      </c>
      <c r="Q23" s="3">
        <v>1877.992919921875</v>
      </c>
      <c r="R23" s="3">
        <v>1299.718017578125</v>
      </c>
      <c r="S23" s="3">
        <v>0.69207823085520126</v>
      </c>
      <c r="U23" s="3" t="s">
        <v>100</v>
      </c>
      <c r="V23" s="3">
        <v>1299.718017578125</v>
      </c>
      <c r="W23" s="3">
        <v>889.0048828125</v>
      </c>
      <c r="X23" s="3">
        <v>0.68399827561755155</v>
      </c>
    </row>
    <row r="24" spans="1:29" x14ac:dyDescent="0.2">
      <c r="A24" s="7" t="s">
        <v>15</v>
      </c>
      <c r="B24" s="35">
        <f t="shared" si="0"/>
        <v>363.656982421875</v>
      </c>
      <c r="C24" s="35">
        <f t="shared" si="1"/>
        <v>289.52392578125</v>
      </c>
      <c r="D24" s="114">
        <f t="shared" si="2"/>
        <v>0.79614565311817953</v>
      </c>
      <c r="E24" s="122"/>
      <c r="F24" s="8"/>
      <c r="P24" s="3" t="s">
        <v>53</v>
      </c>
      <c r="Q24" s="3">
        <v>363.656982421875</v>
      </c>
      <c r="R24" s="3">
        <v>289.52392578125</v>
      </c>
      <c r="S24" s="3">
        <v>0.79614565311817953</v>
      </c>
      <c r="U24" s="3" t="s">
        <v>53</v>
      </c>
      <c r="V24" s="3">
        <v>289.52392578125</v>
      </c>
      <c r="W24" s="3">
        <v>209.50300598144531</v>
      </c>
      <c r="X24" s="3">
        <v>0.72361206562160063</v>
      </c>
    </row>
    <row r="25" spans="1:29" x14ac:dyDescent="0.2">
      <c r="A25" s="7"/>
      <c r="B25" s="16"/>
      <c r="C25" s="16"/>
      <c r="D25" s="40"/>
      <c r="E25" s="122"/>
      <c r="F25" s="8"/>
    </row>
    <row r="26" spans="1:29" ht="13.5" thickBot="1" x14ac:dyDescent="0.25">
      <c r="A26" s="38" t="s">
        <v>54</v>
      </c>
      <c r="B26" s="16"/>
      <c r="C26" s="16"/>
      <c r="D26" s="17">
        <f>MEDIAN(D17:D24)</f>
        <v>0.75167813227176894</v>
      </c>
      <c r="E26" s="122"/>
      <c r="F26" s="8"/>
      <c r="P26" s="3" t="s">
        <v>54</v>
      </c>
      <c r="S26" s="3">
        <v>0.75167813227176894</v>
      </c>
      <c r="X26" s="118">
        <v>0.69510684587622873</v>
      </c>
      <c r="Y26" s="118"/>
    </row>
    <row r="27" spans="1:29" ht="14.25" thickTop="1" thickBot="1" x14ac:dyDescent="0.25">
      <c r="A27" s="18"/>
      <c r="B27" s="19"/>
      <c r="C27" s="19"/>
      <c r="D27" s="19"/>
      <c r="E27" s="20"/>
      <c r="F27" s="8"/>
    </row>
    <row r="28" spans="1:29" x14ac:dyDescent="0.2">
      <c r="F28" s="8"/>
    </row>
    <row r="29" spans="1:29" x14ac:dyDescent="0.2">
      <c r="F29" s="8"/>
    </row>
    <row r="30" spans="1:29" ht="13.5" thickBot="1" x14ac:dyDescent="0.25">
      <c r="F30" s="8"/>
    </row>
    <row r="31" spans="1:29" ht="13.5" thickBot="1" x14ac:dyDescent="0.25">
      <c r="A31" s="4" t="str">
        <f>+"TABLE "&amp;M8+0.1&amp;" Property Plant &amp; Equipment Analysis for Contributions"</f>
        <v>TABLE 5.2 Property Plant &amp; Equipment Analysis for Contributions</v>
      </c>
      <c r="B31" s="5"/>
      <c r="C31" s="5"/>
      <c r="D31" s="5"/>
      <c r="E31" s="6"/>
      <c r="F31" s="8"/>
    </row>
    <row r="32" spans="1:29" x14ac:dyDescent="0.2">
      <c r="A32" s="119"/>
      <c r="B32" s="120"/>
      <c r="C32" s="120"/>
      <c r="D32" s="120"/>
      <c r="E32" s="121"/>
      <c r="F32" s="8"/>
    </row>
    <row r="33" spans="1:6" x14ac:dyDescent="0.2">
      <c r="A33" s="7"/>
      <c r="B33" s="10" t="str">
        <f>+"(As of "&amp;TEXT(P15,"m/d/yyyy")&amp;")"</f>
        <v>(As of 12/31/2017)</v>
      </c>
      <c r="C33" s="10"/>
      <c r="D33" s="10"/>
      <c r="E33" s="11"/>
      <c r="F33" s="8"/>
    </row>
    <row r="34" spans="1:6" ht="76.5" x14ac:dyDescent="0.2">
      <c r="A34" s="7"/>
      <c r="B34" s="13" t="s">
        <v>87</v>
      </c>
      <c r="C34" s="13" t="s">
        <v>91</v>
      </c>
      <c r="D34" s="13" t="s">
        <v>92</v>
      </c>
      <c r="E34" s="9"/>
      <c r="F34" s="8"/>
    </row>
    <row r="35" spans="1:6" x14ac:dyDescent="0.2">
      <c r="A35" s="7"/>
      <c r="B35" s="31" t="s">
        <v>6</v>
      </c>
      <c r="C35" s="115"/>
      <c r="D35" s="15"/>
      <c r="E35" s="122"/>
      <c r="F35" s="8"/>
    </row>
    <row r="36" spans="1:6" hidden="1" x14ac:dyDescent="0.2">
      <c r="A36" s="7"/>
      <c r="B36" s="8"/>
      <c r="C36" s="14"/>
      <c r="D36" s="15"/>
      <c r="E36" s="122"/>
      <c r="F36" s="8"/>
    </row>
    <row r="37" spans="1:6" ht="13.5" hidden="1" thickBot="1" x14ac:dyDescent="0.25">
      <c r="A37" s="124" t="str">
        <f>+abbrev</f>
        <v>Mahoning's</v>
      </c>
      <c r="B37" s="125">
        <f>+O38/1000000</f>
        <v>0</v>
      </c>
      <c r="C37" s="125">
        <f>O40/1000000</f>
        <v>0</v>
      </c>
      <c r="D37" s="126" t="e">
        <f>+C37/B37</f>
        <v>#DIV/0!</v>
      </c>
      <c r="E37" s="122"/>
      <c r="F37" s="8"/>
    </row>
    <row r="38" spans="1:6" x14ac:dyDescent="0.2">
      <c r="A38" s="7"/>
      <c r="B38" s="35"/>
      <c r="C38" s="35"/>
      <c r="D38" s="15"/>
      <c r="E38" s="122"/>
      <c r="F38" s="8"/>
    </row>
    <row r="39" spans="1:6" x14ac:dyDescent="0.2">
      <c r="A39" s="37" t="s">
        <v>7</v>
      </c>
      <c r="B39" s="35"/>
      <c r="C39" s="35"/>
      <c r="D39" s="15"/>
      <c r="E39" s="122"/>
      <c r="F39" s="8"/>
    </row>
    <row r="40" spans="1:6" x14ac:dyDescent="0.2">
      <c r="A40" s="7" t="s">
        <v>8</v>
      </c>
      <c r="B40" s="33">
        <f t="shared" ref="B40:C47" si="3">+V17</f>
        <v>1204.991943359375</v>
      </c>
      <c r="C40" s="33">
        <f t="shared" si="3"/>
        <v>850.98388671875</v>
      </c>
      <c r="D40" s="114">
        <f t="shared" ref="D40:D47" si="4">+C40/B40</f>
        <v>0.7062154161349059</v>
      </c>
      <c r="E40" s="122"/>
      <c r="F40" s="8"/>
    </row>
    <row r="41" spans="1:6" x14ac:dyDescent="0.2">
      <c r="A41" s="7" t="s">
        <v>9</v>
      </c>
      <c r="B41" s="35">
        <f t="shared" si="3"/>
        <v>14970</v>
      </c>
      <c r="C41" s="35">
        <f t="shared" si="3"/>
        <v>11883</v>
      </c>
      <c r="D41" s="114">
        <f t="shared" si="4"/>
        <v>0.79378757515030063</v>
      </c>
      <c r="E41" s="122"/>
      <c r="F41" s="8"/>
    </row>
    <row r="42" spans="1:6" x14ac:dyDescent="0.2">
      <c r="A42" s="7" t="s">
        <v>10</v>
      </c>
      <c r="B42" s="35">
        <f t="shared" si="3"/>
        <v>5399.859375</v>
      </c>
      <c r="C42" s="35">
        <f t="shared" si="3"/>
        <v>3965.3740234375</v>
      </c>
      <c r="D42" s="114">
        <f t="shared" si="4"/>
        <v>0.73434764649542383</v>
      </c>
      <c r="E42" s="122"/>
      <c r="F42" s="8"/>
    </row>
    <row r="43" spans="1:6" x14ac:dyDescent="0.2">
      <c r="A43" s="7" t="s">
        <v>11</v>
      </c>
      <c r="B43" s="35">
        <f t="shared" si="3"/>
        <v>464.3837890625</v>
      </c>
      <c r="C43" s="35">
        <f t="shared" si="3"/>
        <v>252.23100280761719</v>
      </c>
      <c r="D43" s="114">
        <f t="shared" si="4"/>
        <v>0.54315204093756642</v>
      </c>
      <c r="E43" s="122"/>
      <c r="F43" s="8"/>
    </row>
    <row r="44" spans="1:6" x14ac:dyDescent="0.2">
      <c r="A44" s="7" t="s">
        <v>12</v>
      </c>
      <c r="B44" s="35">
        <f t="shared" si="3"/>
        <v>2083.0380859375</v>
      </c>
      <c r="C44" s="35">
        <f t="shared" si="3"/>
        <v>1196.98095703125</v>
      </c>
      <c r="D44" s="114">
        <f t="shared" si="4"/>
        <v>0.57463229554563433</v>
      </c>
      <c r="E44" s="122"/>
      <c r="F44" s="8"/>
    </row>
    <row r="45" spans="1:6" x14ac:dyDescent="0.2">
      <c r="A45" s="7" t="s">
        <v>13</v>
      </c>
      <c r="B45" s="35">
        <f t="shared" si="3"/>
        <v>557.239990234375</v>
      </c>
      <c r="C45" s="35">
        <f t="shared" si="3"/>
        <v>370.65283203125</v>
      </c>
      <c r="D45" s="114">
        <f t="shared" si="4"/>
        <v>0.66515834923361028</v>
      </c>
      <c r="E45" s="122"/>
      <c r="F45" s="8"/>
    </row>
    <row r="46" spans="1:6" x14ac:dyDescent="0.2">
      <c r="A46" s="7" t="s">
        <v>14</v>
      </c>
      <c r="B46" s="35">
        <f t="shared" si="3"/>
        <v>1299.718017578125</v>
      </c>
      <c r="C46" s="35">
        <f t="shared" si="3"/>
        <v>889.0048828125</v>
      </c>
      <c r="D46" s="114">
        <f t="shared" si="4"/>
        <v>0.68399827561755155</v>
      </c>
      <c r="E46" s="122"/>
      <c r="F46" s="8"/>
    </row>
    <row r="47" spans="1:6" x14ac:dyDescent="0.2">
      <c r="A47" s="7" t="s">
        <v>15</v>
      </c>
      <c r="B47" s="35">
        <f t="shared" si="3"/>
        <v>289.52392578125</v>
      </c>
      <c r="C47" s="35">
        <f t="shared" si="3"/>
        <v>209.50300598144531</v>
      </c>
      <c r="D47" s="114">
        <f t="shared" si="4"/>
        <v>0.72361206562160063</v>
      </c>
      <c r="E47" s="122"/>
      <c r="F47" s="8"/>
    </row>
    <row r="48" spans="1:6" x14ac:dyDescent="0.2">
      <c r="A48" s="7"/>
      <c r="B48" s="16"/>
      <c r="C48" s="16"/>
      <c r="D48" s="40"/>
      <c r="E48" s="122"/>
      <c r="F48" s="8"/>
    </row>
    <row r="49" spans="1:37" ht="13.5" thickBot="1" x14ac:dyDescent="0.25">
      <c r="A49" s="38" t="s">
        <v>54</v>
      </c>
      <c r="B49" s="16"/>
      <c r="C49" s="16"/>
      <c r="D49" s="17">
        <f>MEDIAN(D40:D47)</f>
        <v>0.69510684587622873</v>
      </c>
      <c r="E49" s="122"/>
      <c r="F49" s="8"/>
    </row>
    <row r="50" spans="1:37" ht="14.25" thickTop="1" thickBot="1" x14ac:dyDescent="0.25">
      <c r="A50" s="18"/>
      <c r="B50" s="19"/>
      <c r="C50" s="19"/>
      <c r="D50" s="19"/>
      <c r="E50" s="20"/>
      <c r="F50" s="8"/>
    </row>
    <row r="51" spans="1:37" x14ac:dyDescent="0.2">
      <c r="F51" s="8"/>
    </row>
    <row r="52" spans="1:37" x14ac:dyDescent="0.2">
      <c r="C52" s="8"/>
      <c r="D52" s="8"/>
      <c r="E52" s="21"/>
    </row>
    <row r="53" spans="1:37" ht="13.5" thickBot="1" x14ac:dyDescent="0.25">
      <c r="C53" s="8"/>
      <c r="D53" s="8"/>
      <c r="E53" s="21"/>
      <c r="M53" s="116"/>
    </row>
    <row r="54" spans="1:37" ht="13.5" thickBot="1" x14ac:dyDescent="0.25">
      <c r="A54" s="4" t="str">
        <f>+"TABLE "&amp;$M$54&amp;" Capital Expenditures Analysis"</f>
        <v>TABLE 5.3 Capital Expenditures Analysis</v>
      </c>
      <c r="B54" s="22"/>
      <c r="C54" s="22"/>
      <c r="D54" s="22"/>
      <c r="E54" s="22"/>
      <c r="F54" s="22"/>
      <c r="G54" s="22"/>
      <c r="H54" s="22"/>
      <c r="I54" s="22"/>
      <c r="J54" s="23"/>
      <c r="M54" s="117">
        <f>+M8+0.2</f>
        <v>5.3</v>
      </c>
    </row>
    <row r="55" spans="1:37" x14ac:dyDescent="0.2">
      <c r="A55" s="7"/>
      <c r="B55" s="8"/>
      <c r="C55" s="8"/>
      <c r="D55" s="8"/>
      <c r="E55" s="8"/>
      <c r="F55" s="8"/>
      <c r="G55" s="8"/>
      <c r="H55" s="8"/>
      <c r="I55" s="8"/>
      <c r="J55" s="9"/>
      <c r="M55" s="116"/>
    </row>
    <row r="56" spans="1:37" x14ac:dyDescent="0.2">
      <c r="A56" s="7"/>
      <c r="B56" s="24" t="s">
        <v>4</v>
      </c>
      <c r="C56" s="25"/>
      <c r="D56" s="25"/>
      <c r="E56" s="26"/>
      <c r="F56" s="8"/>
      <c r="G56" s="24" t="s">
        <v>5</v>
      </c>
      <c r="H56" s="25"/>
      <c r="I56" s="25"/>
      <c r="J56" s="27"/>
      <c r="AB56" s="7"/>
      <c r="AC56" s="24" t="s">
        <v>4</v>
      </c>
      <c r="AD56" s="25"/>
      <c r="AE56" s="25"/>
      <c r="AF56" s="26"/>
      <c r="AG56" s="8"/>
      <c r="AH56" s="24" t="s">
        <v>5</v>
      </c>
      <c r="AI56" s="25"/>
      <c r="AJ56" s="25"/>
      <c r="AK56" s="27"/>
    </row>
    <row r="57" spans="1:37" x14ac:dyDescent="0.2">
      <c r="A57" s="7"/>
      <c r="B57" s="28">
        <v>2017</v>
      </c>
      <c r="C57" s="28">
        <f>+B57-1</f>
        <v>2016</v>
      </c>
      <c r="D57" s="28">
        <f t="shared" ref="D57:E57" si="5">+C57-1</f>
        <v>2015</v>
      </c>
      <c r="E57" s="28">
        <f t="shared" si="5"/>
        <v>2014</v>
      </c>
      <c r="F57" s="8"/>
      <c r="G57" s="28">
        <f>+B57</f>
        <v>2017</v>
      </c>
      <c r="H57" s="28">
        <f>+G57-1</f>
        <v>2016</v>
      </c>
      <c r="I57" s="28">
        <f t="shared" ref="I57:J57" si="6">+H57-1</f>
        <v>2015</v>
      </c>
      <c r="J57" s="29">
        <f t="shared" si="6"/>
        <v>2014</v>
      </c>
      <c r="X57" s="3" t="s">
        <v>4</v>
      </c>
      <c r="Z57" s="92" t="s">
        <v>4</v>
      </c>
      <c r="AB57" s="7"/>
      <c r="AC57" s="28">
        <v>2017</v>
      </c>
      <c r="AD57" s="28">
        <v>2016</v>
      </c>
      <c r="AE57" s="28">
        <v>2015</v>
      </c>
      <c r="AF57" s="28">
        <v>2014</v>
      </c>
      <c r="AG57" s="8"/>
      <c r="AH57" s="28">
        <v>2017</v>
      </c>
      <c r="AI57" s="28">
        <v>2016</v>
      </c>
      <c r="AJ57" s="28">
        <v>2015</v>
      </c>
      <c r="AK57" s="29">
        <v>2014</v>
      </c>
    </row>
    <row r="58" spans="1:37" x14ac:dyDescent="0.2">
      <c r="A58" s="7"/>
      <c r="B58" s="30" t="s">
        <v>6</v>
      </c>
      <c r="C58" s="31"/>
      <c r="D58" s="31"/>
      <c r="E58" s="31"/>
      <c r="F58" s="8"/>
      <c r="G58" s="30" t="s">
        <v>6</v>
      </c>
      <c r="H58" s="31"/>
      <c r="I58" s="31"/>
      <c r="J58" s="98"/>
      <c r="X58" s="3" t="s">
        <v>43</v>
      </c>
      <c r="AB58" s="7"/>
      <c r="AC58" s="30" t="s">
        <v>6</v>
      </c>
      <c r="AD58" s="31"/>
      <c r="AE58" s="31"/>
      <c r="AF58" s="31"/>
      <c r="AG58" s="8"/>
      <c r="AH58" s="30" t="s">
        <v>6</v>
      </c>
      <c r="AI58" s="31"/>
      <c r="AJ58" s="31"/>
      <c r="AK58" s="32"/>
    </row>
    <row r="59" spans="1:37" x14ac:dyDescent="0.2">
      <c r="A59" s="7"/>
      <c r="B59" s="8"/>
      <c r="C59" s="8"/>
      <c r="D59" s="8"/>
      <c r="E59" s="8"/>
      <c r="F59" s="8"/>
      <c r="G59" s="8"/>
      <c r="H59" s="8"/>
      <c r="I59" s="8"/>
      <c r="J59" s="9"/>
      <c r="X59" s="3" t="s">
        <v>44</v>
      </c>
      <c r="AB59" s="7"/>
      <c r="AC59" s="8"/>
      <c r="AD59" s="8"/>
      <c r="AE59" s="8"/>
      <c r="AF59" s="8"/>
      <c r="AG59" s="8"/>
      <c r="AH59" s="8"/>
      <c r="AI59" s="8"/>
      <c r="AJ59" s="8"/>
      <c r="AK59" s="9"/>
    </row>
    <row r="60" spans="1:37" ht="25.5" x14ac:dyDescent="0.2">
      <c r="A60" s="131" t="str">
        <f>+name</f>
        <v>Township of Mahoning Sewer and Water Systems Assets</v>
      </c>
      <c r="B60" s="143" t="str">
        <f>IF(ISERROR(ROUND(N70/1000000,3)),"NA",ROUND(N70/1000000,3))</f>
        <v>NA</v>
      </c>
      <c r="C60" s="143" t="str">
        <f>IF(ISERROR(ROUND(O70/1000000,3)),"NA",ROUND(O70/1000000,3))</f>
        <v>NA</v>
      </c>
      <c r="D60" s="143" t="str">
        <f>IF(ISERROR(ROUND(P70/1000000,3)),"NA",ROUND(P70/1000000,3))</f>
        <v>NA</v>
      </c>
      <c r="E60" s="143" t="str">
        <f>IF(ISERROR(ROUND(Q70/1000000,3)),"NA",ROUND(Q70/1000000,3))</f>
        <v>NA</v>
      </c>
      <c r="F60" s="33"/>
      <c r="G60" s="33" t="str">
        <f>IF(ISERROR(ROUND(N69/1000000,3)),"NA",ROUND(N69/1000000,3))</f>
        <v>NA</v>
      </c>
      <c r="H60" s="143" t="str">
        <f>IF(ISERROR(ROUND(O69/1000000,3)),"NA",ROUND(O69/1000000,3))</f>
        <v>NA</v>
      </c>
      <c r="I60" s="143" t="str">
        <f>IF(ISERROR(ROUND(P69/1000000,3)),"NA",ROUND(P69/1000000,3))</f>
        <v>NA</v>
      </c>
      <c r="J60" s="145" t="str">
        <f>IF(ISERROR(ROUND(Q69/1000000,3)),"NA",ROUND(Q69/1000000,3))</f>
        <v>NA</v>
      </c>
      <c r="O60" s="42">
        <f>SUM(G60:J60)</f>
        <v>0</v>
      </c>
      <c r="X60" s="3" t="s">
        <v>45</v>
      </c>
      <c r="AB60" s="7" t="s">
        <v>101</v>
      </c>
      <c r="AC60" s="33">
        <v>0</v>
      </c>
      <c r="AD60" s="33">
        <v>0</v>
      </c>
      <c r="AE60" s="33">
        <v>0</v>
      </c>
      <c r="AF60" s="33">
        <v>0</v>
      </c>
      <c r="AG60" s="33"/>
      <c r="AH60" s="33">
        <v>0</v>
      </c>
      <c r="AI60" s="33">
        <v>0</v>
      </c>
      <c r="AJ60" s="33">
        <v>0</v>
      </c>
      <c r="AK60" s="34">
        <v>0</v>
      </c>
    </row>
    <row r="61" spans="1:37" x14ac:dyDescent="0.2">
      <c r="A61" s="7"/>
      <c r="B61" s="35"/>
      <c r="C61" s="35"/>
      <c r="D61" s="35"/>
      <c r="E61" s="35"/>
      <c r="F61" s="35"/>
      <c r="G61" s="35"/>
      <c r="H61" s="35"/>
      <c r="I61" s="35"/>
      <c r="J61" s="36"/>
      <c r="AB61" s="7"/>
      <c r="AC61" s="35"/>
      <c r="AD61" s="35"/>
      <c r="AE61" s="35"/>
      <c r="AF61" s="35"/>
      <c r="AG61" s="35"/>
      <c r="AH61" s="35"/>
      <c r="AI61" s="35"/>
      <c r="AJ61" s="35"/>
      <c r="AK61" s="36"/>
    </row>
    <row r="62" spans="1:37" x14ac:dyDescent="0.2">
      <c r="A62" s="37" t="s">
        <v>7</v>
      </c>
      <c r="B62" s="35"/>
      <c r="C62" s="35"/>
      <c r="D62" s="35"/>
      <c r="E62" s="35"/>
      <c r="F62" s="35"/>
      <c r="G62" s="35"/>
      <c r="H62" s="35"/>
      <c r="I62" s="35"/>
      <c r="J62" s="36"/>
      <c r="AB62" s="37" t="s">
        <v>7</v>
      </c>
      <c r="AC62" s="35"/>
      <c r="AD62" s="35"/>
      <c r="AE62" s="35"/>
      <c r="AF62" s="35"/>
      <c r="AG62" s="35"/>
      <c r="AH62" s="35"/>
      <c r="AI62" s="35"/>
      <c r="AJ62" s="35"/>
      <c r="AK62" s="36"/>
    </row>
    <row r="63" spans="1:37" x14ac:dyDescent="0.2">
      <c r="A63" s="7" t="s">
        <v>8</v>
      </c>
      <c r="B63" s="33">
        <f>+AC63</f>
        <v>1204.991943359375</v>
      </c>
      <c r="C63" s="33">
        <f t="shared" ref="C63:E70" si="7">+AD63</f>
        <v>1150.926025390625</v>
      </c>
      <c r="D63" s="33">
        <f t="shared" si="7"/>
        <v>1060.7939453125</v>
      </c>
      <c r="E63" s="33">
        <f t="shared" si="7"/>
        <v>1003.52001953125</v>
      </c>
      <c r="F63" s="33"/>
      <c r="G63" s="33">
        <f t="shared" ref="G63:J70" si="8">+AH63</f>
        <v>113.12599945068359</v>
      </c>
      <c r="H63" s="33">
        <f t="shared" si="8"/>
        <v>129.86700439453125</v>
      </c>
      <c r="I63" s="33">
        <f t="shared" si="8"/>
        <v>87.322998046875</v>
      </c>
      <c r="J63" s="34">
        <f t="shared" si="8"/>
        <v>72.553001403808594</v>
      </c>
      <c r="AB63" s="7" t="s">
        <v>8</v>
      </c>
      <c r="AC63" s="33">
        <v>1204.991943359375</v>
      </c>
      <c r="AD63" s="33">
        <v>1150.926025390625</v>
      </c>
      <c r="AE63" s="33">
        <v>1060.7939453125</v>
      </c>
      <c r="AF63" s="33">
        <v>1003.52001953125</v>
      </c>
      <c r="AG63" s="33"/>
      <c r="AH63" s="33">
        <v>113.12599945068359</v>
      </c>
      <c r="AI63" s="33">
        <v>129.86700439453125</v>
      </c>
      <c r="AJ63" s="33">
        <v>87.322998046875</v>
      </c>
      <c r="AK63" s="33">
        <v>72.553001403808594</v>
      </c>
    </row>
    <row r="64" spans="1:37" x14ac:dyDescent="0.2">
      <c r="A64" s="7" t="s">
        <v>9</v>
      </c>
      <c r="B64" s="35">
        <f t="shared" ref="B64:B70" si="9">+AC64</f>
        <v>14970</v>
      </c>
      <c r="C64" s="35">
        <f t="shared" si="7"/>
        <v>13774</v>
      </c>
      <c r="D64" s="35">
        <f t="shared" si="7"/>
        <v>12812</v>
      </c>
      <c r="E64" s="35">
        <f t="shared" si="7"/>
        <v>11824.83203125</v>
      </c>
      <c r="F64" s="35"/>
      <c r="G64" s="35">
        <f t="shared" si="8"/>
        <v>1434</v>
      </c>
      <c r="H64" s="35">
        <f t="shared" si="8"/>
        <v>1311</v>
      </c>
      <c r="I64" s="35">
        <f t="shared" si="8"/>
        <v>1160</v>
      </c>
      <c r="J64" s="36">
        <f t="shared" si="8"/>
        <v>956.1190185546875</v>
      </c>
      <c r="AB64" s="7" t="s">
        <v>9</v>
      </c>
      <c r="AC64" s="33">
        <v>14970</v>
      </c>
      <c r="AD64" s="33">
        <v>13774</v>
      </c>
      <c r="AE64" s="33">
        <v>12812</v>
      </c>
      <c r="AF64" s="33">
        <v>11824.83203125</v>
      </c>
      <c r="AG64" s="35"/>
      <c r="AH64" s="33">
        <v>1434</v>
      </c>
      <c r="AI64" s="33">
        <v>1311</v>
      </c>
      <c r="AJ64" s="33">
        <v>1160</v>
      </c>
      <c r="AK64" s="33">
        <v>956.1190185546875</v>
      </c>
    </row>
    <row r="65" spans="1:37" x14ac:dyDescent="0.2">
      <c r="A65" s="7" t="s">
        <v>10</v>
      </c>
      <c r="B65" s="35">
        <f t="shared" si="9"/>
        <v>5399.85986328125</v>
      </c>
      <c r="C65" s="35">
        <f t="shared" si="7"/>
        <v>5001.615234375</v>
      </c>
      <c r="D65" s="35">
        <f t="shared" si="7"/>
        <v>4688.9248046875</v>
      </c>
      <c r="E65" s="35">
        <f t="shared" si="7"/>
        <v>4401.990234375</v>
      </c>
      <c r="F65" s="35"/>
      <c r="G65" s="35">
        <f t="shared" si="8"/>
        <v>478.0889892578125</v>
      </c>
      <c r="H65" s="35">
        <f t="shared" si="8"/>
        <v>382.99600219726563</v>
      </c>
      <c r="I65" s="35">
        <f t="shared" si="8"/>
        <v>364.68899536132813</v>
      </c>
      <c r="J65" s="36">
        <f t="shared" si="8"/>
        <v>328.60501098632813</v>
      </c>
      <c r="AB65" s="7" t="s">
        <v>10</v>
      </c>
      <c r="AC65" s="33">
        <v>5399.85986328125</v>
      </c>
      <c r="AD65" s="33">
        <v>5001.615234375</v>
      </c>
      <c r="AE65" s="33">
        <v>4688.9248046875</v>
      </c>
      <c r="AF65" s="33">
        <v>4401.990234375</v>
      </c>
      <c r="AG65" s="35"/>
      <c r="AH65" s="33">
        <v>478.0889892578125</v>
      </c>
      <c r="AI65" s="33">
        <v>382.99600219726563</v>
      </c>
      <c r="AJ65" s="33">
        <v>364.68899536132813</v>
      </c>
      <c r="AK65" s="33">
        <v>328.60501098632813</v>
      </c>
    </row>
    <row r="66" spans="1:37" x14ac:dyDescent="0.2">
      <c r="A66" s="7" t="s">
        <v>11</v>
      </c>
      <c r="B66" s="35">
        <f t="shared" si="9"/>
        <v>464.38400268554688</v>
      </c>
      <c r="C66" s="35">
        <f t="shared" si="7"/>
        <v>429.38299560546875</v>
      </c>
      <c r="D66" s="35">
        <f t="shared" si="7"/>
        <v>409.56201171875</v>
      </c>
      <c r="E66" s="35">
        <f t="shared" si="7"/>
        <v>397.822998046875</v>
      </c>
      <c r="F66" s="35"/>
      <c r="G66" s="35">
        <f t="shared" si="8"/>
        <v>41.094001770019531</v>
      </c>
      <c r="H66" s="35">
        <f t="shared" si="8"/>
        <v>28.250999450683594</v>
      </c>
      <c r="I66" s="35">
        <f t="shared" si="8"/>
        <v>20.694000244140625</v>
      </c>
      <c r="J66" s="36">
        <f t="shared" si="8"/>
        <v>23.729999542236328</v>
      </c>
      <c r="R66" s="54"/>
      <c r="AB66" s="7" t="s">
        <v>11</v>
      </c>
      <c r="AC66" s="33">
        <v>464.38400268554688</v>
      </c>
      <c r="AD66" s="33">
        <v>429.38299560546875</v>
      </c>
      <c r="AE66" s="33">
        <v>409.56201171875</v>
      </c>
      <c r="AF66" s="33">
        <v>397.822998046875</v>
      </c>
      <c r="AG66" s="35"/>
      <c r="AH66" s="33">
        <v>41.094001770019531</v>
      </c>
      <c r="AI66" s="33">
        <v>28.250999450683594</v>
      </c>
      <c r="AJ66" s="33">
        <v>20.694000244140625</v>
      </c>
      <c r="AK66" s="33">
        <v>23.729999542236328</v>
      </c>
    </row>
    <row r="67" spans="1:37" x14ac:dyDescent="0.2">
      <c r="A67" s="7" t="s">
        <v>12</v>
      </c>
      <c r="B67" s="35">
        <f t="shared" si="9"/>
        <v>2036.970947265625</v>
      </c>
      <c r="C67" s="35">
        <f t="shared" si="7"/>
        <v>1847.4599609375</v>
      </c>
      <c r="D67" s="35">
        <f t="shared" si="7"/>
        <v>1689.251953125</v>
      </c>
      <c r="E67" s="35">
        <f t="shared" si="7"/>
        <v>1579.06005859375</v>
      </c>
      <c r="F67" s="35"/>
      <c r="G67" s="35">
        <f t="shared" si="8"/>
        <v>259.19400024414063</v>
      </c>
      <c r="H67" s="35">
        <f t="shared" si="8"/>
        <v>228.93800354003906</v>
      </c>
      <c r="I67" s="35">
        <f t="shared" si="8"/>
        <v>176.83299255371094</v>
      </c>
      <c r="J67" s="36">
        <f t="shared" si="8"/>
        <v>132.01499938964844</v>
      </c>
      <c r="AB67" s="7" t="s">
        <v>12</v>
      </c>
      <c r="AC67" s="33">
        <v>2036.970947265625</v>
      </c>
      <c r="AD67" s="33">
        <v>1847.4599609375</v>
      </c>
      <c r="AE67" s="33">
        <v>1689.251953125</v>
      </c>
      <c r="AF67" s="33">
        <v>1579.06005859375</v>
      </c>
      <c r="AG67" s="35"/>
      <c r="AH67" s="33">
        <v>259.19400024414063</v>
      </c>
      <c r="AI67" s="33">
        <v>228.93800354003906</v>
      </c>
      <c r="AJ67" s="33">
        <v>176.83299255371094</v>
      </c>
      <c r="AK67" s="33">
        <v>132.01499938964844</v>
      </c>
    </row>
    <row r="68" spans="1:37" x14ac:dyDescent="0.2">
      <c r="A68" s="7" t="s">
        <v>13</v>
      </c>
      <c r="B68" s="35">
        <f t="shared" si="9"/>
        <v>557.239990234375</v>
      </c>
      <c r="C68" s="35">
        <f t="shared" si="7"/>
        <v>517.7760009765625</v>
      </c>
      <c r="D68" s="35">
        <f t="shared" si="7"/>
        <v>481.8699951171875</v>
      </c>
      <c r="E68" s="35">
        <f t="shared" si="7"/>
        <v>465.406005859375</v>
      </c>
      <c r="F68" s="35"/>
      <c r="G68" s="35">
        <f t="shared" si="8"/>
        <v>50.300998687744141</v>
      </c>
      <c r="H68" s="35">
        <f t="shared" si="8"/>
        <v>47.375</v>
      </c>
      <c r="I68" s="35">
        <f t="shared" si="8"/>
        <v>25.773000717163086</v>
      </c>
      <c r="J68" s="36">
        <f t="shared" si="8"/>
        <v>22.596000671386719</v>
      </c>
      <c r="N68" s="55">
        <v>2016</v>
      </c>
      <c r="O68" s="56">
        <f>+N68-1</f>
        <v>2015</v>
      </c>
      <c r="P68" s="56">
        <f t="shared" ref="P68:Q68" si="10">+O68-1</f>
        <v>2014</v>
      </c>
      <c r="Q68" s="56">
        <f t="shared" si="10"/>
        <v>2013</v>
      </c>
      <c r="AB68" s="7" t="s">
        <v>13</v>
      </c>
      <c r="AC68" s="33">
        <v>557.239990234375</v>
      </c>
      <c r="AD68" s="33">
        <v>517.7760009765625</v>
      </c>
      <c r="AE68" s="33">
        <v>481.8699951171875</v>
      </c>
      <c r="AF68" s="33">
        <v>465.406005859375</v>
      </c>
      <c r="AG68" s="35"/>
      <c r="AH68" s="33">
        <v>50.300998687744141</v>
      </c>
      <c r="AI68" s="33">
        <v>47.375</v>
      </c>
      <c r="AJ68" s="33">
        <v>25.773000717163086</v>
      </c>
      <c r="AK68" s="33">
        <v>22.596000671386719</v>
      </c>
    </row>
    <row r="69" spans="1:37" x14ac:dyDescent="0.2">
      <c r="A69" s="7" t="s">
        <v>14</v>
      </c>
      <c r="B69" s="35">
        <f t="shared" si="9"/>
        <v>1284.344970703125</v>
      </c>
      <c r="C69" s="35">
        <f t="shared" si="7"/>
        <v>1196.822021484375</v>
      </c>
      <c r="D69" s="35">
        <f t="shared" si="7"/>
        <v>1098.2469482421875</v>
      </c>
      <c r="E69" s="35">
        <f t="shared" si="7"/>
        <v>1025.2149658203125</v>
      </c>
      <c r="F69" s="35"/>
      <c r="G69" s="35">
        <f t="shared" si="8"/>
        <v>149.05499267578125</v>
      </c>
      <c r="H69" s="35">
        <f t="shared" si="8"/>
        <v>142.22000122070313</v>
      </c>
      <c r="I69" s="35">
        <f t="shared" si="8"/>
        <v>106.77400207519531</v>
      </c>
      <c r="J69" s="36">
        <f t="shared" si="8"/>
        <v>101.93599700927734</v>
      </c>
      <c r="M69" s="3" t="str">
        <f>+M76</f>
        <v>CAPX</v>
      </c>
      <c r="N69" s="3" t="s">
        <v>103</v>
      </c>
      <c r="O69" s="3" t="s">
        <v>103</v>
      </c>
      <c r="P69" s="3" t="s">
        <v>103</v>
      </c>
      <c r="Q69" s="3" t="s">
        <v>103</v>
      </c>
      <c r="AB69" s="7" t="s">
        <v>14</v>
      </c>
      <c r="AC69" s="33">
        <v>1284.344970703125</v>
      </c>
      <c r="AD69" s="33">
        <v>1196.822021484375</v>
      </c>
      <c r="AE69" s="33">
        <v>1098.2469482421875</v>
      </c>
      <c r="AF69" s="33">
        <v>1025.2149658203125</v>
      </c>
      <c r="AG69" s="35"/>
      <c r="AH69" s="33">
        <v>149.05499267578125</v>
      </c>
      <c r="AI69" s="33">
        <v>142.22000122070313</v>
      </c>
      <c r="AJ69" s="33">
        <v>106.77400207519531</v>
      </c>
      <c r="AK69" s="33">
        <v>101.93599700927734</v>
      </c>
    </row>
    <row r="70" spans="1:37" x14ac:dyDescent="0.2">
      <c r="A70" s="7" t="s">
        <v>15</v>
      </c>
      <c r="B70" s="35">
        <f t="shared" si="9"/>
        <v>289.52398681640625</v>
      </c>
      <c r="C70" s="35">
        <f t="shared" si="7"/>
        <v>271.65200805664063</v>
      </c>
      <c r="D70" s="35">
        <f t="shared" si="7"/>
        <v>262.18899536132813</v>
      </c>
      <c r="E70" s="35">
        <f t="shared" si="7"/>
        <v>253.95899963378906</v>
      </c>
      <c r="F70" s="35"/>
      <c r="G70" s="35">
        <f t="shared" si="8"/>
        <v>24.601999282836914</v>
      </c>
      <c r="H70" s="35">
        <f t="shared" si="8"/>
        <v>13.157999992370605</v>
      </c>
      <c r="I70" s="35">
        <f t="shared" si="8"/>
        <v>13.843999862670898</v>
      </c>
      <c r="J70" s="36">
        <f t="shared" si="8"/>
        <v>14.138999938964844</v>
      </c>
      <c r="M70" s="3" t="str">
        <f>+M77</f>
        <v>PP&amp;E-Total Net</v>
      </c>
      <c r="N70" s="3" t="s">
        <v>103</v>
      </c>
      <c r="O70" s="3" t="s">
        <v>103</v>
      </c>
      <c r="P70" s="3" t="s">
        <v>103</v>
      </c>
      <c r="Q70" s="3" t="s">
        <v>103</v>
      </c>
      <c r="AB70" s="7" t="s">
        <v>15</v>
      </c>
      <c r="AC70" s="33">
        <v>289.52398681640625</v>
      </c>
      <c r="AD70" s="33">
        <v>271.65200805664063</v>
      </c>
      <c r="AE70" s="33">
        <v>262.18899536132813</v>
      </c>
      <c r="AF70" s="33">
        <v>253.95899963378906</v>
      </c>
      <c r="AG70" s="35"/>
      <c r="AH70" s="33">
        <v>24.601999282836914</v>
      </c>
      <c r="AI70" s="33">
        <v>13.157999992370605</v>
      </c>
      <c r="AJ70" s="33">
        <v>13.843999862670898</v>
      </c>
      <c r="AK70" s="33">
        <v>14.138999938964844</v>
      </c>
    </row>
    <row r="71" spans="1:37" x14ac:dyDescent="0.2">
      <c r="A71" s="7"/>
      <c r="B71" s="8"/>
      <c r="C71" s="8"/>
      <c r="D71" s="8"/>
      <c r="E71" s="8"/>
      <c r="F71" s="8"/>
      <c r="G71" s="8"/>
      <c r="H71" s="8"/>
      <c r="I71" s="8"/>
      <c r="J71" s="9"/>
    </row>
    <row r="72" spans="1:37" x14ac:dyDescent="0.2">
      <c r="A72" s="7"/>
      <c r="B72" s="24" t="s">
        <v>16</v>
      </c>
      <c r="C72" s="25"/>
      <c r="D72" s="25"/>
      <c r="E72" s="26"/>
      <c r="F72" s="8"/>
      <c r="G72" s="8"/>
      <c r="H72" s="8"/>
      <c r="I72" s="8"/>
      <c r="J72" s="9"/>
      <c r="N72" s="3">
        <v>2015</v>
      </c>
      <c r="O72" s="3">
        <v>2014</v>
      </c>
      <c r="P72" s="3">
        <v>2013</v>
      </c>
      <c r="Q72" s="3">
        <v>2012</v>
      </c>
      <c r="S72" s="3" t="s">
        <v>104</v>
      </c>
    </row>
    <row r="73" spans="1:37" x14ac:dyDescent="0.2">
      <c r="A73" s="7"/>
      <c r="B73" s="28">
        <f>+B57</f>
        <v>2017</v>
      </c>
      <c r="C73" s="28">
        <f>+B73-1</f>
        <v>2016</v>
      </c>
      <c r="D73" s="28">
        <f t="shared" ref="D73:E73" si="11">+C73-1</f>
        <v>2015</v>
      </c>
      <c r="E73" s="28">
        <f t="shared" si="11"/>
        <v>2014</v>
      </c>
      <c r="F73" s="8"/>
      <c r="G73" s="8"/>
      <c r="H73" s="8"/>
      <c r="I73" s="8"/>
      <c r="J73" s="9"/>
      <c r="M73" s="3" t="s">
        <v>79</v>
      </c>
      <c r="N73" s="3" t="s">
        <v>103</v>
      </c>
      <c r="O73" s="3" t="s">
        <v>103</v>
      </c>
      <c r="P73" s="3" t="s">
        <v>103</v>
      </c>
      <c r="Q73" s="3" t="s">
        <v>103</v>
      </c>
      <c r="S73" s="3" t="s">
        <v>104</v>
      </c>
    </row>
    <row r="74" spans="1:37" x14ac:dyDescent="0.2">
      <c r="A74" s="38"/>
      <c r="B74" s="8"/>
      <c r="C74" s="8"/>
      <c r="D74" s="8"/>
      <c r="E74" s="8"/>
      <c r="F74" s="8"/>
      <c r="G74" s="8"/>
      <c r="H74" s="8"/>
      <c r="I74" s="8"/>
      <c r="J74" s="9"/>
      <c r="M74" s="3" t="s">
        <v>80</v>
      </c>
      <c r="N74" s="3" t="s">
        <v>103</v>
      </c>
      <c r="O74" s="3" t="s">
        <v>103</v>
      </c>
      <c r="P74" s="3" t="s">
        <v>103</v>
      </c>
      <c r="Q74" s="3" t="s">
        <v>103</v>
      </c>
      <c r="S74" s="3" t="s">
        <v>104</v>
      </c>
    </row>
    <row r="75" spans="1:37" ht="26.25" thickBot="1" x14ac:dyDescent="0.25">
      <c r="A75" s="131" t="str">
        <f>+name</f>
        <v>Township of Mahoning Sewer and Water Systems Assets</v>
      </c>
      <c r="B75" s="39" t="str">
        <f>IF(ISERROR(G60/B60),"NA",G60/B60)</f>
        <v>NA</v>
      </c>
      <c r="C75" s="39" t="str">
        <f>IF(ISERROR(H60/C60),"NA",H60/C60)</f>
        <v>NA</v>
      </c>
      <c r="D75" s="39" t="str">
        <f>IF(ISERROR(I60/D60),"NA",I60/D60)</f>
        <v>NA</v>
      </c>
      <c r="E75" s="39" t="str">
        <f>IF(ISERROR(J60/E60),"NA",J60/E60)</f>
        <v>NA</v>
      </c>
      <c r="F75" s="8"/>
      <c r="G75" s="8"/>
      <c r="H75" s="8"/>
      <c r="I75" s="8"/>
      <c r="J75" s="9"/>
      <c r="L75" s="57" t="e">
        <f>AVERAGE(B75:E75)</f>
        <v>#DIV/0!</v>
      </c>
      <c r="M75" s="3" t="s">
        <v>81</v>
      </c>
      <c r="N75" s="3" t="s">
        <v>103</v>
      </c>
      <c r="O75" s="3" t="s">
        <v>103</v>
      </c>
      <c r="P75" s="3" t="s">
        <v>103</v>
      </c>
      <c r="Q75" s="3" t="s">
        <v>103</v>
      </c>
      <c r="S75" s="3" t="s">
        <v>104</v>
      </c>
    </row>
    <row r="76" spans="1:37" ht="13.5" thickTop="1" x14ac:dyDescent="0.2">
      <c r="A76" s="7"/>
      <c r="B76" s="8"/>
      <c r="C76" s="8"/>
      <c r="D76" s="8"/>
      <c r="E76" s="8"/>
      <c r="F76" s="8"/>
      <c r="G76" s="8"/>
      <c r="H76" s="8"/>
      <c r="I76" s="8"/>
      <c r="J76" s="9"/>
      <c r="M76" s="3" t="s">
        <v>82</v>
      </c>
      <c r="N76" s="3" t="s">
        <v>103</v>
      </c>
      <c r="O76" s="3" t="s">
        <v>103</v>
      </c>
      <c r="P76" s="3" t="s">
        <v>103</v>
      </c>
      <c r="Q76" s="3" t="s">
        <v>103</v>
      </c>
      <c r="S76" s="3" t="s">
        <v>104</v>
      </c>
    </row>
    <row r="77" spans="1:37" x14ac:dyDescent="0.2">
      <c r="A77" s="37" t="s">
        <v>7</v>
      </c>
      <c r="B77" s="8"/>
      <c r="C77" s="8"/>
      <c r="D77" s="8"/>
      <c r="E77" s="8"/>
      <c r="F77" s="8"/>
      <c r="G77" s="8"/>
      <c r="H77" s="8"/>
      <c r="I77" s="8"/>
      <c r="J77" s="9"/>
      <c r="M77" s="3" t="s">
        <v>4</v>
      </c>
      <c r="N77" s="3" t="s">
        <v>103</v>
      </c>
      <c r="O77" s="3" t="s">
        <v>103</v>
      </c>
      <c r="P77" s="3" t="s">
        <v>103</v>
      </c>
      <c r="Q77" s="3" t="s">
        <v>103</v>
      </c>
      <c r="S77" s="3" t="s">
        <v>104</v>
      </c>
    </row>
    <row r="78" spans="1:37" x14ac:dyDescent="0.2">
      <c r="A78" s="7" t="s">
        <v>8</v>
      </c>
      <c r="B78" s="16">
        <f t="shared" ref="B78:E85" si="12">+G63/B63</f>
        <v>9.3881125159477566E-2</v>
      </c>
      <c r="C78" s="16">
        <f t="shared" si="12"/>
        <v>0.1128369691270595</v>
      </c>
      <c r="D78" s="16">
        <f t="shared" si="12"/>
        <v>8.2318529845257046E-2</v>
      </c>
      <c r="E78" s="16">
        <f t="shared" si="12"/>
        <v>7.2298509239206332E-2</v>
      </c>
      <c r="F78" s="8"/>
      <c r="G78" s="8"/>
      <c r="H78" s="8"/>
      <c r="I78" s="8"/>
      <c r="J78" s="9"/>
      <c r="S78" s="3" t="s">
        <v>104</v>
      </c>
    </row>
    <row r="79" spans="1:37" x14ac:dyDescent="0.2">
      <c r="A79" s="7" t="s">
        <v>9</v>
      </c>
      <c r="B79" s="16">
        <f t="shared" si="12"/>
        <v>9.5791583166332669E-2</v>
      </c>
      <c r="C79" s="16">
        <f t="shared" si="12"/>
        <v>9.517932336285756E-2</v>
      </c>
      <c r="D79" s="16">
        <f t="shared" si="12"/>
        <v>9.0540118638776146E-2</v>
      </c>
      <c r="E79" s="16">
        <f t="shared" si="12"/>
        <v>8.0856879491218989E-2</v>
      </c>
      <c r="F79" s="8"/>
      <c r="G79" s="8"/>
      <c r="H79" s="8"/>
      <c r="I79" s="8"/>
      <c r="J79" s="9"/>
      <c r="S79" s="3" t="s">
        <v>104</v>
      </c>
    </row>
    <row r="80" spans="1:37" x14ac:dyDescent="0.2">
      <c r="A80" s="7" t="s">
        <v>10</v>
      </c>
      <c r="B80" s="16">
        <f t="shared" si="12"/>
        <v>8.8537295663687746E-2</v>
      </c>
      <c r="C80" s="16">
        <f t="shared" si="12"/>
        <v>7.6574463298379775E-2</v>
      </c>
      <c r="D80" s="16">
        <f t="shared" si="12"/>
        <v>7.7776678140956734E-2</v>
      </c>
      <c r="E80" s="16">
        <f t="shared" si="12"/>
        <v>7.4649191272679841E-2</v>
      </c>
      <c r="F80" s="8"/>
      <c r="G80" s="8"/>
      <c r="H80" s="8"/>
      <c r="I80" s="8"/>
      <c r="J80" s="9"/>
    </row>
    <row r="81" spans="1:38" x14ac:dyDescent="0.2">
      <c r="A81" s="7" t="s">
        <v>11</v>
      </c>
      <c r="B81" s="16">
        <f t="shared" si="12"/>
        <v>8.8491424192848292E-2</v>
      </c>
      <c r="C81" s="16">
        <f t="shared" si="12"/>
        <v>6.5794406718056309E-2</v>
      </c>
      <c r="D81" s="16">
        <f t="shared" si="12"/>
        <v>5.052714766512912E-2</v>
      </c>
      <c r="E81" s="16">
        <f t="shared" si="12"/>
        <v>5.9649642325203762E-2</v>
      </c>
      <c r="F81" s="8"/>
      <c r="G81" s="8"/>
      <c r="H81" s="8"/>
      <c r="I81" s="8"/>
      <c r="J81" s="9"/>
    </row>
    <row r="82" spans="1:38" x14ac:dyDescent="0.2">
      <c r="A82" s="7" t="s">
        <v>12</v>
      </c>
      <c r="B82" s="16">
        <f t="shared" si="12"/>
        <v>0.1272448193687179</v>
      </c>
      <c r="C82" s="16">
        <f t="shared" si="12"/>
        <v>0.12392041417983624</v>
      </c>
      <c r="D82" s="16">
        <f t="shared" si="12"/>
        <v>0.10468124202939771</v>
      </c>
      <c r="E82" s="16">
        <f t="shared" si="12"/>
        <v>8.3603532792296639E-2</v>
      </c>
      <c r="F82" s="8"/>
      <c r="G82" s="8"/>
      <c r="H82" s="8"/>
      <c r="I82" s="8"/>
      <c r="J82" s="9"/>
      <c r="M82" s="3" t="e">
        <f>+L75/L87</f>
        <v>#DIV/0!</v>
      </c>
    </row>
    <row r="83" spans="1:38" x14ac:dyDescent="0.2">
      <c r="A83" s="7" t="s">
        <v>13</v>
      </c>
      <c r="B83" s="16">
        <f t="shared" si="12"/>
        <v>9.0268106326302167E-2</v>
      </c>
      <c r="C83" s="16">
        <f t="shared" si="12"/>
        <v>9.1497095096426576E-2</v>
      </c>
      <c r="D83" s="16">
        <f t="shared" si="12"/>
        <v>5.3485381904501583E-2</v>
      </c>
      <c r="E83" s="16">
        <f t="shared" si="12"/>
        <v>4.8551158315336018E-2</v>
      </c>
      <c r="F83" s="8"/>
      <c r="G83" s="8"/>
      <c r="H83" s="8"/>
      <c r="I83" s="8"/>
      <c r="J83" s="9"/>
    </row>
    <row r="84" spans="1:38" x14ac:dyDescent="0.2">
      <c r="A84" s="7" t="s">
        <v>14</v>
      </c>
      <c r="B84" s="16">
        <f t="shared" si="12"/>
        <v>0.11605526246907004</v>
      </c>
      <c r="C84" s="16">
        <f t="shared" si="12"/>
        <v>0.11883137063630632</v>
      </c>
      <c r="D84" s="16">
        <f t="shared" si="12"/>
        <v>9.7222216047213914E-2</v>
      </c>
      <c r="E84" s="16">
        <f t="shared" si="12"/>
        <v>9.942890067715171E-2</v>
      </c>
      <c r="F84" s="8"/>
      <c r="G84" s="8"/>
      <c r="H84" s="8"/>
      <c r="I84" s="8"/>
      <c r="J84" s="9"/>
    </row>
    <row r="85" spans="1:38" x14ac:dyDescent="0.2">
      <c r="A85" s="7" t="s">
        <v>15</v>
      </c>
      <c r="B85" s="16">
        <f t="shared" si="12"/>
        <v>8.4973958646257522E-2</v>
      </c>
      <c r="C85" s="16">
        <f t="shared" si="12"/>
        <v>4.8436969365700785E-2</v>
      </c>
      <c r="D85" s="16">
        <f t="shared" si="12"/>
        <v>5.2801605359493423E-2</v>
      </c>
      <c r="E85" s="16">
        <f t="shared" si="12"/>
        <v>5.5674340973753227E-2</v>
      </c>
      <c r="F85" s="8"/>
      <c r="G85" s="8"/>
      <c r="H85" s="8"/>
      <c r="I85" s="8"/>
      <c r="J85" s="9"/>
    </row>
    <row r="86" spans="1:38" x14ac:dyDescent="0.2">
      <c r="A86" s="7"/>
      <c r="B86" s="40"/>
      <c r="C86" s="40"/>
      <c r="D86" s="40"/>
      <c r="E86" s="40"/>
      <c r="F86" s="8"/>
      <c r="G86" s="8"/>
      <c r="H86" s="8"/>
      <c r="I86" s="8"/>
      <c r="J86" s="9"/>
    </row>
    <row r="87" spans="1:38" ht="13.5" thickBot="1" x14ac:dyDescent="0.25">
      <c r="A87" s="38" t="s">
        <v>54</v>
      </c>
      <c r="B87" s="17">
        <f>MEDIAN(B78:B85)</f>
        <v>9.2074615742889859E-2</v>
      </c>
      <c r="C87" s="17">
        <f>MEDIAN(C78:C85)</f>
        <v>9.3338209229642061E-2</v>
      </c>
      <c r="D87" s="17">
        <f>MEDIAN(D78:D85)</f>
        <v>8.0047603993106897E-2</v>
      </c>
      <c r="E87" s="17">
        <f>MEDIAN(E78:E85)</f>
        <v>7.347385025594308E-2</v>
      </c>
      <c r="F87" s="8"/>
      <c r="G87" s="8"/>
      <c r="H87" s="8"/>
      <c r="I87" s="8"/>
      <c r="J87" s="9"/>
      <c r="L87" s="57">
        <f>AVERAGE(B87:E87)</f>
        <v>8.4733569805395481E-2</v>
      </c>
    </row>
    <row r="88" spans="1:38" ht="14.25" thickTop="1" thickBot="1" x14ac:dyDescent="0.25">
      <c r="A88" s="18"/>
      <c r="B88" s="19"/>
      <c r="C88" s="19"/>
      <c r="D88" s="19"/>
      <c r="E88" s="19"/>
      <c r="F88" s="19"/>
      <c r="G88" s="19"/>
      <c r="H88" s="19"/>
      <c r="I88" s="19"/>
      <c r="J88" s="20"/>
    </row>
    <row r="91" spans="1:38" ht="15" x14ac:dyDescent="0.25">
      <c r="B91" s="24" t="s">
        <v>17</v>
      </c>
      <c r="C91" s="25"/>
      <c r="D91" s="25"/>
      <c r="E91" s="26"/>
      <c r="G91" s="24" t="s">
        <v>18</v>
      </c>
      <c r="H91" s="25"/>
      <c r="I91" s="25"/>
      <c r="J91" s="26"/>
      <c r="AC91" s="24" t="s">
        <v>17</v>
      </c>
      <c r="AD91" s="25"/>
      <c r="AE91" s="25"/>
      <c r="AF91" s="26"/>
      <c r="AH91" s="24" t="s">
        <v>18</v>
      </c>
      <c r="AI91" s="25"/>
      <c r="AJ91" s="25"/>
      <c r="AK91" s="26"/>
      <c r="AL91" s="87"/>
    </row>
    <row r="92" spans="1:38" ht="15" x14ac:dyDescent="0.25">
      <c r="B92" s="28">
        <f>+B57</f>
        <v>2017</v>
      </c>
      <c r="C92" s="28">
        <f>+B92-1</f>
        <v>2016</v>
      </c>
      <c r="D92" s="28">
        <f t="shared" ref="D92:E92" si="13">+C92-1</f>
        <v>2015</v>
      </c>
      <c r="E92" s="28">
        <f t="shared" si="13"/>
        <v>2014</v>
      </c>
      <c r="G92" s="28">
        <f>+B92</f>
        <v>2017</v>
      </c>
      <c r="H92" s="28">
        <f>+G92-1</f>
        <v>2016</v>
      </c>
      <c r="I92" s="28">
        <f t="shared" ref="I92:J92" si="14">+H92-1</f>
        <v>2015</v>
      </c>
      <c r="J92" s="28">
        <f t="shared" si="14"/>
        <v>2014</v>
      </c>
      <c r="AC92" s="28">
        <v>2017</v>
      </c>
      <c r="AD92" s="28">
        <v>2016</v>
      </c>
      <c r="AE92" s="28">
        <v>2015</v>
      </c>
      <c r="AF92" s="28">
        <v>2014</v>
      </c>
      <c r="AH92" s="28">
        <v>2017</v>
      </c>
      <c r="AI92" s="28">
        <v>2016</v>
      </c>
      <c r="AJ92" s="28">
        <v>2015</v>
      </c>
      <c r="AK92" s="28">
        <v>2014</v>
      </c>
      <c r="AL92" s="87"/>
    </row>
    <row r="93" spans="1:38" ht="15" x14ac:dyDescent="0.25">
      <c r="B93" s="41" t="s">
        <v>6</v>
      </c>
      <c r="C93" s="2"/>
      <c r="D93" s="2"/>
      <c r="E93" s="2"/>
      <c r="G93" s="41" t="s">
        <v>6</v>
      </c>
      <c r="H93" s="2"/>
      <c r="I93" s="2"/>
      <c r="J93" s="2"/>
      <c r="AC93" s="41" t="s">
        <v>6</v>
      </c>
      <c r="AD93" s="2"/>
      <c r="AE93" s="2"/>
      <c r="AF93" s="2"/>
      <c r="AH93" s="41" t="s">
        <v>6</v>
      </c>
      <c r="AI93" s="2"/>
      <c r="AJ93" s="2"/>
      <c r="AK93" s="2"/>
      <c r="AL93" s="87"/>
    </row>
    <row r="94" spans="1:38" ht="15" x14ac:dyDescent="0.25">
      <c r="A94" s="8"/>
      <c r="AL94" s="87"/>
    </row>
    <row r="95" spans="1:38" ht="26.25" x14ac:dyDescent="0.25">
      <c r="A95" s="129" t="str">
        <f>+name</f>
        <v>Township of Mahoning Sewer and Water Systems Assets</v>
      </c>
      <c r="B95" s="144" t="str">
        <f>IF(ISERROR(ROUND(U98/1000000,3)),"NA",ROUND(U98/1000000,3))</f>
        <v>NA</v>
      </c>
      <c r="C95" s="144" t="str">
        <f>IF(ISERROR(ROUND(V98/1000000,3)),"NA",ROUND(V98/1000000,3))</f>
        <v>NA</v>
      </c>
      <c r="D95" s="144" t="str">
        <f>IF(ISERROR(ROUND(W98/1000000,3)),"NA",ROUND(W98/1000000,3))</f>
        <v>NA</v>
      </c>
      <c r="E95" s="144" t="str">
        <f>IF(ISERROR(ROUND(X98/1000000,3)),"NA",ROUND(X98/1000000,3))</f>
        <v>NA</v>
      </c>
      <c r="G95" s="42" t="str">
        <f>IF(ISERROR(ROUND(U99/1000000,3)),"NA",ROUND(U99/1000000,3))</f>
        <v>NA</v>
      </c>
      <c r="H95" s="144" t="str">
        <f>IF(ISERROR(ROUND(V99/1000000,3)),"NA",ROUND(V99/1000000,3))</f>
        <v>NA</v>
      </c>
      <c r="I95" s="144" t="str">
        <f>IF(ISERROR(ROUND(W99/1000000,3)),"NA",ROUND(W99/1000000,3))</f>
        <v>NA</v>
      </c>
      <c r="J95" s="144" t="str">
        <f>IF(ISERROR(ROUND(X99/1000000,3)),"NA",ROUND(X99/1000000,3))</f>
        <v>NA</v>
      </c>
      <c r="AB95" s="3" t="s">
        <v>101</v>
      </c>
      <c r="AC95" s="42">
        <v>0</v>
      </c>
      <c r="AD95" s="42">
        <v>0</v>
      </c>
      <c r="AE95" s="42">
        <v>0</v>
      </c>
      <c r="AF95" s="42">
        <v>0</v>
      </c>
      <c r="AH95" s="42">
        <v>0</v>
      </c>
      <c r="AI95" s="42">
        <v>0</v>
      </c>
      <c r="AJ95" s="42">
        <v>0</v>
      </c>
      <c r="AK95" s="42">
        <v>0</v>
      </c>
      <c r="AL95" s="87"/>
    </row>
    <row r="96" spans="1:38" ht="15" x14ac:dyDescent="0.25">
      <c r="A96" s="8"/>
      <c r="AL96" s="87"/>
    </row>
    <row r="97" spans="1:38" ht="15" x14ac:dyDescent="0.25">
      <c r="A97" s="128" t="s">
        <v>7</v>
      </c>
      <c r="B97" s="44"/>
      <c r="C97" s="44"/>
      <c r="D97" s="44"/>
      <c r="E97" s="44"/>
      <c r="G97" s="44"/>
      <c r="H97" s="44"/>
      <c r="I97" s="44"/>
      <c r="J97" s="44"/>
      <c r="U97" s="55">
        <v>2016</v>
      </c>
      <c r="V97" s="56">
        <v>2015</v>
      </c>
      <c r="W97" s="56">
        <v>2014</v>
      </c>
      <c r="X97" s="56">
        <v>2013</v>
      </c>
      <c r="AB97" s="43" t="s">
        <v>7</v>
      </c>
      <c r="AC97" s="44"/>
      <c r="AD97" s="44"/>
      <c r="AE97" s="44"/>
      <c r="AF97" s="44"/>
      <c r="AH97" s="44"/>
      <c r="AI97" s="44"/>
      <c r="AJ97" s="44"/>
      <c r="AK97" s="44"/>
      <c r="AL97" s="87"/>
    </row>
    <row r="98" spans="1:38" ht="15" x14ac:dyDescent="0.25">
      <c r="A98" s="8" t="s">
        <v>8</v>
      </c>
      <c r="B98" s="42">
        <f>+AC98</f>
        <v>440.60299682617188</v>
      </c>
      <c r="C98" s="42">
        <f t="shared" ref="C98:E105" si="15">+AD98</f>
        <v>436.08700561523438</v>
      </c>
      <c r="D98" s="42">
        <f t="shared" si="15"/>
        <v>458.6409912109375</v>
      </c>
      <c r="E98" s="42">
        <f t="shared" si="15"/>
        <v>465.79098510742188</v>
      </c>
      <c r="F98" s="42"/>
      <c r="G98" s="42">
        <f t="shared" ref="G98:J105" si="16">+AH98</f>
        <v>157.78900146484375</v>
      </c>
      <c r="H98" s="42">
        <f t="shared" si="16"/>
        <v>153.56599426269531</v>
      </c>
      <c r="I98" s="42">
        <f t="shared" si="16"/>
        <v>160.52200317382813</v>
      </c>
      <c r="J98" s="42">
        <f t="shared" si="16"/>
        <v>160.06300354003906</v>
      </c>
      <c r="T98" s="3" t="s">
        <v>43</v>
      </c>
      <c r="U98" s="97" t="s">
        <v>103</v>
      </c>
      <c r="V98" s="97" t="s">
        <v>103</v>
      </c>
      <c r="W98" s="97" t="s">
        <v>103</v>
      </c>
      <c r="X98" s="97" t="s">
        <v>103</v>
      </c>
      <c r="AB98" s="3" t="s">
        <v>8</v>
      </c>
      <c r="AC98" s="42">
        <v>440.60299682617188</v>
      </c>
      <c r="AD98" s="42">
        <v>436.08700561523438</v>
      </c>
      <c r="AE98" s="42">
        <v>458.6409912109375</v>
      </c>
      <c r="AF98" s="42">
        <v>465.79098510742188</v>
      </c>
      <c r="AG98" s="42"/>
      <c r="AH98" s="42">
        <v>157.78900146484375</v>
      </c>
      <c r="AI98" s="42">
        <v>153.56599426269531</v>
      </c>
      <c r="AJ98" s="42">
        <v>160.52200317382813</v>
      </c>
      <c r="AK98" s="42">
        <v>160.06300354003906</v>
      </c>
      <c r="AL98" s="87"/>
    </row>
    <row r="99" spans="1:38" ht="15" x14ac:dyDescent="0.25">
      <c r="A99" s="8" t="s">
        <v>9</v>
      </c>
      <c r="B99" s="44">
        <f t="shared" ref="B99:B105" si="17">+AC99</f>
        <v>3357</v>
      </c>
      <c r="C99" s="44">
        <f t="shared" si="15"/>
        <v>3302</v>
      </c>
      <c r="D99" s="44">
        <f t="shared" si="15"/>
        <v>3159</v>
      </c>
      <c r="E99" s="44">
        <f t="shared" si="15"/>
        <v>3011.327880859375</v>
      </c>
      <c r="F99" s="44"/>
      <c r="G99" s="44">
        <f t="shared" si="16"/>
        <v>1306.4759521484375</v>
      </c>
      <c r="H99" s="44">
        <f t="shared" si="16"/>
        <v>1154.95703125</v>
      </c>
      <c r="I99" s="44">
        <f t="shared" si="16"/>
        <v>1102.740966796875</v>
      </c>
      <c r="J99" s="44">
        <f t="shared" si="16"/>
        <v>917.8489990234375</v>
      </c>
      <c r="T99" s="3" t="s">
        <v>44</v>
      </c>
      <c r="U99" s="97" t="s">
        <v>103</v>
      </c>
      <c r="V99" s="97" t="s">
        <v>103</v>
      </c>
      <c r="W99" s="97" t="s">
        <v>103</v>
      </c>
      <c r="X99" s="97" t="s">
        <v>103</v>
      </c>
      <c r="Z99" s="92" t="s">
        <v>43</v>
      </c>
      <c r="AB99" s="3" t="s">
        <v>9</v>
      </c>
      <c r="AC99" s="44">
        <v>3357</v>
      </c>
      <c r="AD99" s="44">
        <v>3302</v>
      </c>
      <c r="AE99" s="44">
        <v>3159</v>
      </c>
      <c r="AF99" s="44">
        <v>3011.327880859375</v>
      </c>
      <c r="AG99" s="44"/>
      <c r="AH99" s="44">
        <v>1306.4759521484375</v>
      </c>
      <c r="AI99" s="44">
        <v>1154.95703125</v>
      </c>
      <c r="AJ99" s="44">
        <v>1102.740966796875</v>
      </c>
      <c r="AK99" s="44">
        <v>917.8489990234375</v>
      </c>
      <c r="AL99" s="87"/>
    </row>
    <row r="100" spans="1:38" ht="15" x14ac:dyDescent="0.25">
      <c r="A100" s="8" t="s">
        <v>10</v>
      </c>
      <c r="B100" s="44">
        <f t="shared" si="17"/>
        <v>809.5250244140625</v>
      </c>
      <c r="C100" s="44">
        <f t="shared" si="15"/>
        <v>819.875</v>
      </c>
      <c r="D100" s="44">
        <f t="shared" si="15"/>
        <v>814.2039794921875</v>
      </c>
      <c r="E100" s="44">
        <f t="shared" si="15"/>
        <v>779.90301513671875</v>
      </c>
      <c r="F100" s="44"/>
      <c r="G100" s="44">
        <f t="shared" si="16"/>
        <v>433.28399658203125</v>
      </c>
      <c r="H100" s="44">
        <f t="shared" si="16"/>
        <v>387.42300415039063</v>
      </c>
      <c r="I100" s="44">
        <f t="shared" si="16"/>
        <v>380.13699340820313</v>
      </c>
      <c r="J100" s="44">
        <f t="shared" si="16"/>
        <v>340.45999145507813</v>
      </c>
      <c r="T100" s="3" t="s">
        <v>45</v>
      </c>
      <c r="U100" s="97" t="s">
        <v>103</v>
      </c>
      <c r="V100" s="97" t="s">
        <v>103</v>
      </c>
      <c r="W100" s="97" t="s">
        <v>103</v>
      </c>
      <c r="X100" s="97" t="s">
        <v>103</v>
      </c>
      <c r="Z100" s="92" t="s">
        <v>44</v>
      </c>
      <c r="AB100" s="3" t="s">
        <v>10</v>
      </c>
      <c r="AC100" s="44">
        <v>809.5250244140625</v>
      </c>
      <c r="AD100" s="44">
        <v>819.875</v>
      </c>
      <c r="AE100" s="44">
        <v>814.2039794921875</v>
      </c>
      <c r="AF100" s="44">
        <v>779.90301513671875</v>
      </c>
      <c r="AG100" s="44"/>
      <c r="AH100" s="44">
        <v>433.28399658203125</v>
      </c>
      <c r="AI100" s="44">
        <v>387.42300415039063</v>
      </c>
      <c r="AJ100" s="44">
        <v>380.13699340820313</v>
      </c>
      <c r="AK100" s="44">
        <v>340.45999145507813</v>
      </c>
      <c r="AL100" s="87"/>
    </row>
    <row r="101" spans="1:38" ht="15" x14ac:dyDescent="0.25">
      <c r="A101" s="8" t="s">
        <v>11</v>
      </c>
      <c r="B101" s="44">
        <f t="shared" si="17"/>
        <v>82.235000610351563</v>
      </c>
      <c r="C101" s="44">
        <f t="shared" si="15"/>
        <v>79.088996887207031</v>
      </c>
      <c r="D101" s="44">
        <f t="shared" si="15"/>
        <v>77.024002075195313</v>
      </c>
      <c r="E101" s="44">
        <f t="shared" si="15"/>
        <v>72.464996337890625</v>
      </c>
      <c r="F101" s="44"/>
      <c r="G101" s="44">
        <f t="shared" si="16"/>
        <v>30.400999069213867</v>
      </c>
      <c r="H101" s="44">
        <f t="shared" si="16"/>
        <v>25.799999237060547</v>
      </c>
      <c r="I101" s="44">
        <f t="shared" si="16"/>
        <v>26.381999969482422</v>
      </c>
      <c r="J101" s="44">
        <f t="shared" si="16"/>
        <v>25.061000823974609</v>
      </c>
      <c r="K101" s="60"/>
      <c r="L101" s="44"/>
      <c r="Z101" s="92" t="s">
        <v>45</v>
      </c>
      <c r="AB101" s="3" t="s">
        <v>11</v>
      </c>
      <c r="AC101" s="44">
        <v>82.235000610351563</v>
      </c>
      <c r="AD101" s="44">
        <v>79.088996887207031</v>
      </c>
      <c r="AE101" s="44">
        <v>77.024002075195313</v>
      </c>
      <c r="AF101" s="44">
        <v>72.464996337890625</v>
      </c>
      <c r="AG101" s="44"/>
      <c r="AH101" s="44">
        <v>30.400999069213867</v>
      </c>
      <c r="AI101" s="44">
        <v>25.799999237060547</v>
      </c>
      <c r="AJ101" s="44">
        <v>26.381999969482422</v>
      </c>
      <c r="AK101" s="44">
        <v>25.061000823974609</v>
      </c>
      <c r="AL101" s="87"/>
    </row>
    <row r="102" spans="1:38" ht="15" x14ac:dyDescent="0.25">
      <c r="A102" s="8" t="s">
        <v>12</v>
      </c>
      <c r="B102" s="44">
        <f t="shared" si="17"/>
        <v>666.8900146484375</v>
      </c>
      <c r="C102" s="44">
        <f t="shared" si="15"/>
        <v>609.3699951171875</v>
      </c>
      <c r="D102" s="44">
        <f t="shared" si="15"/>
        <v>588.36798095703125</v>
      </c>
      <c r="E102" s="44">
        <f t="shared" si="15"/>
        <v>597.4990234375</v>
      </c>
      <c r="F102" s="44"/>
      <c r="G102" s="44">
        <f t="shared" si="16"/>
        <v>147.86700439453125</v>
      </c>
      <c r="H102" s="44">
        <f t="shared" si="16"/>
        <v>140.57699584960938</v>
      </c>
      <c r="I102" s="44">
        <f t="shared" si="16"/>
        <v>127.70999908447266</v>
      </c>
      <c r="J102" s="44">
        <f t="shared" si="16"/>
        <v>122.70899963378906</v>
      </c>
      <c r="K102" s="60"/>
      <c r="L102" s="44"/>
      <c r="AB102" s="3" t="s">
        <v>12</v>
      </c>
      <c r="AC102" s="44">
        <v>666.8900146484375</v>
      </c>
      <c r="AD102" s="44">
        <v>609.3699951171875</v>
      </c>
      <c r="AE102" s="44">
        <v>588.36798095703125</v>
      </c>
      <c r="AF102" s="44">
        <v>597.4990234375</v>
      </c>
      <c r="AG102" s="44"/>
      <c r="AH102" s="44">
        <v>147.86700439453125</v>
      </c>
      <c r="AI102" s="44">
        <v>140.57699584960938</v>
      </c>
      <c r="AJ102" s="44">
        <v>127.70999908447266</v>
      </c>
      <c r="AK102" s="44">
        <v>122.70899963378906</v>
      </c>
      <c r="AL102" s="87"/>
    </row>
    <row r="103" spans="1:38" ht="15" x14ac:dyDescent="0.25">
      <c r="A103" s="8" t="s">
        <v>13</v>
      </c>
      <c r="B103" s="44">
        <f t="shared" si="17"/>
        <v>130.77499389648438</v>
      </c>
      <c r="C103" s="44">
        <f t="shared" si="15"/>
        <v>132.906005859375</v>
      </c>
      <c r="D103" s="44">
        <f t="shared" si="15"/>
        <v>126.02500152587891</v>
      </c>
      <c r="E103" s="44">
        <f t="shared" si="15"/>
        <v>117.13899993896484</v>
      </c>
      <c r="F103" s="44"/>
      <c r="G103" s="44">
        <f t="shared" si="16"/>
        <v>38.055999755859375</v>
      </c>
      <c r="H103" s="44">
        <f t="shared" si="16"/>
        <v>33.946998596191406</v>
      </c>
      <c r="I103" s="44">
        <f t="shared" si="16"/>
        <v>35.840999603271484</v>
      </c>
      <c r="J103" s="44">
        <f t="shared" si="16"/>
        <v>28.719999313354492</v>
      </c>
      <c r="K103" s="60"/>
      <c r="L103" s="44"/>
      <c r="AB103" s="3" t="s">
        <v>13</v>
      </c>
      <c r="AC103" s="44">
        <v>130.77499389648438</v>
      </c>
      <c r="AD103" s="44">
        <v>132.906005859375</v>
      </c>
      <c r="AE103" s="44">
        <v>126.02500152587891</v>
      </c>
      <c r="AF103" s="44">
        <v>117.13899993896484</v>
      </c>
      <c r="AG103" s="44"/>
      <c r="AH103" s="44">
        <v>38.055999755859375</v>
      </c>
      <c r="AI103" s="44">
        <v>33.946998596191406</v>
      </c>
      <c r="AJ103" s="44">
        <v>35.840999603271484</v>
      </c>
      <c r="AK103" s="44">
        <v>28.719999313354492</v>
      </c>
      <c r="AL103" s="87"/>
    </row>
    <row r="104" spans="1:38" ht="15" x14ac:dyDescent="0.25">
      <c r="A104" s="8" t="s">
        <v>14</v>
      </c>
      <c r="B104" s="44">
        <f t="shared" si="17"/>
        <v>389.22500610351563</v>
      </c>
      <c r="C104" s="44">
        <f t="shared" si="15"/>
        <v>339.70599365234375</v>
      </c>
      <c r="D104" s="44">
        <f t="shared" si="15"/>
        <v>305.08200073242188</v>
      </c>
      <c r="E104" s="44">
        <f t="shared" si="15"/>
        <v>319.66799926757813</v>
      </c>
      <c r="F104" s="44"/>
      <c r="G104" s="44">
        <f t="shared" si="16"/>
        <v>86.302001953125</v>
      </c>
      <c r="H104" s="44">
        <f t="shared" si="16"/>
        <v>83.531997680664063</v>
      </c>
      <c r="I104" s="44">
        <f t="shared" si="16"/>
        <v>68.002998352050781</v>
      </c>
      <c r="J104" s="44">
        <f t="shared" si="16"/>
        <v>63.334999084472656</v>
      </c>
      <c r="K104" s="60"/>
      <c r="L104" s="44"/>
      <c r="AB104" s="3" t="s">
        <v>14</v>
      </c>
      <c r="AC104" s="44">
        <v>389.22500610351563</v>
      </c>
      <c r="AD104" s="44">
        <v>339.70599365234375</v>
      </c>
      <c r="AE104" s="44">
        <v>305.08200073242188</v>
      </c>
      <c r="AF104" s="44">
        <v>319.66799926757813</v>
      </c>
      <c r="AG104" s="44"/>
      <c r="AH104" s="44">
        <v>86.302001953125</v>
      </c>
      <c r="AI104" s="44">
        <v>83.531997680664063</v>
      </c>
      <c r="AJ104" s="44">
        <v>68.002998352050781</v>
      </c>
      <c r="AK104" s="44">
        <v>63.334999084472656</v>
      </c>
      <c r="AL104" s="87"/>
    </row>
    <row r="105" spans="1:38" ht="15" x14ac:dyDescent="0.25">
      <c r="A105" s="8" t="s">
        <v>15</v>
      </c>
      <c r="B105" s="44">
        <f t="shared" si="17"/>
        <v>48.589000701904297</v>
      </c>
      <c r="C105" s="44">
        <f t="shared" si="15"/>
        <v>47.583999633789063</v>
      </c>
      <c r="D105" s="44">
        <f t="shared" si="15"/>
        <v>47.089000701904297</v>
      </c>
      <c r="E105" s="44">
        <f t="shared" si="15"/>
        <v>45.900001525878906</v>
      </c>
      <c r="F105" s="44"/>
      <c r="G105" s="44">
        <f t="shared" si="16"/>
        <v>25.743000030517578</v>
      </c>
      <c r="H105" s="44">
        <f t="shared" si="16"/>
        <v>24.780000686645508</v>
      </c>
      <c r="I105" s="44">
        <f t="shared" si="16"/>
        <v>24.358999252319336</v>
      </c>
      <c r="J105" s="44">
        <f t="shared" si="16"/>
        <v>21.799999237060547</v>
      </c>
      <c r="K105" s="60"/>
      <c r="L105" s="44"/>
      <c r="AB105" s="3" t="s">
        <v>15</v>
      </c>
      <c r="AC105" s="44">
        <v>48.589000701904297</v>
      </c>
      <c r="AD105" s="44">
        <v>47.583999633789063</v>
      </c>
      <c r="AE105" s="44">
        <v>47.089000701904297</v>
      </c>
      <c r="AF105" s="44">
        <v>45.900001525878906</v>
      </c>
      <c r="AG105" s="44"/>
      <c r="AH105" s="44">
        <v>25.743000030517578</v>
      </c>
      <c r="AI105" s="44">
        <v>24.780000686645508</v>
      </c>
      <c r="AJ105" s="44">
        <v>24.358999252319336</v>
      </c>
      <c r="AK105" s="44">
        <v>21.799999237060547</v>
      </c>
      <c r="AL105" s="87"/>
    </row>
    <row r="106" spans="1:38" ht="15" x14ac:dyDescent="0.25">
      <c r="A106" s="8"/>
      <c r="AL106" s="87"/>
    </row>
    <row r="107" spans="1:38" ht="15" x14ac:dyDescent="0.25">
      <c r="A107" s="8"/>
      <c r="AL107" s="87"/>
    </row>
    <row r="108" spans="1:38" ht="15" x14ac:dyDescent="0.25">
      <c r="A108" s="8"/>
      <c r="B108" s="24" t="s">
        <v>19</v>
      </c>
      <c r="C108" s="25"/>
      <c r="D108" s="25"/>
      <c r="E108" s="26"/>
      <c r="AC108" s="24" t="s">
        <v>19</v>
      </c>
      <c r="AD108" s="25"/>
      <c r="AE108" s="25"/>
      <c r="AF108" s="26"/>
      <c r="AL108" s="87"/>
    </row>
    <row r="109" spans="1:38" ht="15" x14ac:dyDescent="0.25">
      <c r="A109" s="8"/>
      <c r="B109" s="28">
        <f>+B92</f>
        <v>2017</v>
      </c>
      <c r="C109" s="28">
        <f>+B109-1</f>
        <v>2016</v>
      </c>
      <c r="D109" s="28">
        <f t="shared" ref="D109:E109" si="18">+C109-1</f>
        <v>2015</v>
      </c>
      <c r="E109" s="28">
        <f t="shared" si="18"/>
        <v>2014</v>
      </c>
      <c r="AC109" s="28">
        <v>2017</v>
      </c>
      <c r="AD109" s="28">
        <v>2016</v>
      </c>
      <c r="AE109" s="28">
        <v>2015</v>
      </c>
      <c r="AF109" s="28">
        <v>2014</v>
      </c>
      <c r="AL109" s="87"/>
    </row>
    <row r="110" spans="1:38" ht="15" x14ac:dyDescent="0.25">
      <c r="A110" s="8"/>
      <c r="B110" s="41" t="s">
        <v>6</v>
      </c>
      <c r="C110" s="2"/>
      <c r="D110" s="2"/>
      <c r="E110" s="2"/>
      <c r="AC110" s="41" t="s">
        <v>6</v>
      </c>
      <c r="AD110" s="2"/>
      <c r="AE110" s="2"/>
      <c r="AF110" s="2"/>
      <c r="AL110" s="87"/>
    </row>
    <row r="111" spans="1:38" ht="15" x14ac:dyDescent="0.25">
      <c r="A111" s="8"/>
      <c r="AL111" s="87"/>
    </row>
    <row r="112" spans="1:38" ht="26.25" x14ac:dyDescent="0.25">
      <c r="A112" s="129" t="str">
        <f>+name</f>
        <v>Township of Mahoning Sewer and Water Systems Assets</v>
      </c>
      <c r="B112" s="144" t="str">
        <f>IF(ISERROR(ROUND(U100/1000000,3)),"NA",ROUND(U100/1000000,3))</f>
        <v>NA</v>
      </c>
      <c r="C112" s="144" t="str">
        <f>IF(ISERROR(ROUND(V100/1000000,3)),"NA",ROUND(V100/1000000,3))</f>
        <v>NA</v>
      </c>
      <c r="D112" s="144" t="str">
        <f>IF(ISERROR(ROUND(W100/1000000,3)),"NA",ROUND(W100/1000000,3))</f>
        <v>NA</v>
      </c>
      <c r="E112" s="144" t="str">
        <f>IF(ISERROR(ROUND(X100/1000000,3)),"NA",ROUND(X100/1000000,3))</f>
        <v>NA</v>
      </c>
      <c r="AB112" s="3" t="s">
        <v>101</v>
      </c>
      <c r="AC112" s="42">
        <v>0</v>
      </c>
      <c r="AD112" s="42">
        <v>0</v>
      </c>
      <c r="AE112" s="42">
        <v>0</v>
      </c>
      <c r="AF112" s="42">
        <v>0</v>
      </c>
      <c r="AL112" s="87"/>
    </row>
    <row r="113" spans="1:38" ht="15" x14ac:dyDescent="0.25">
      <c r="A113" s="8"/>
      <c r="AL113" s="87"/>
    </row>
    <row r="114" spans="1:38" ht="15" x14ac:dyDescent="0.25">
      <c r="A114" s="128" t="s">
        <v>7</v>
      </c>
      <c r="B114" s="44"/>
      <c r="C114" s="44"/>
      <c r="D114" s="44"/>
      <c r="E114" s="44"/>
      <c r="AB114" s="43" t="s">
        <v>7</v>
      </c>
      <c r="AC114" s="44"/>
      <c r="AD114" s="44"/>
      <c r="AE114" s="44"/>
      <c r="AF114" s="44"/>
      <c r="AL114" s="87"/>
    </row>
    <row r="115" spans="1:38" ht="15" x14ac:dyDescent="0.25">
      <c r="A115" s="3" t="s">
        <v>8</v>
      </c>
      <c r="B115" s="42">
        <f t="shared" ref="B115:E122" si="19">+AC115</f>
        <v>118.75800323486328</v>
      </c>
      <c r="C115" s="42">
        <f t="shared" si="19"/>
        <v>114.71600341796875</v>
      </c>
      <c r="D115" s="42">
        <f t="shared" si="19"/>
        <v>118.48899841308594</v>
      </c>
      <c r="E115" s="42">
        <f t="shared" si="19"/>
        <v>118.98999786376953</v>
      </c>
      <c r="AB115" s="3" t="s">
        <v>8</v>
      </c>
      <c r="AC115" s="42">
        <v>118.75800323486328</v>
      </c>
      <c r="AD115" s="42">
        <v>114.71600341796875</v>
      </c>
      <c r="AE115" s="42">
        <v>118.48899841308594</v>
      </c>
      <c r="AF115" s="42">
        <v>118.98999786376953</v>
      </c>
      <c r="AL115" s="87"/>
    </row>
    <row r="116" spans="1:38" ht="15" x14ac:dyDescent="0.25">
      <c r="A116" s="3" t="s">
        <v>9</v>
      </c>
      <c r="B116" s="44">
        <f t="shared" si="19"/>
        <v>1222</v>
      </c>
      <c r="C116" s="44">
        <f t="shared" si="19"/>
        <v>1145</v>
      </c>
      <c r="D116" s="44">
        <f t="shared" si="19"/>
        <v>1075</v>
      </c>
      <c r="E116" s="44">
        <f t="shared" si="19"/>
        <v>1014.0260009765625</v>
      </c>
      <c r="AB116" s="3" t="s">
        <v>9</v>
      </c>
      <c r="AC116" s="42">
        <v>1222</v>
      </c>
      <c r="AD116" s="42">
        <v>1145</v>
      </c>
      <c r="AE116" s="42">
        <v>1075</v>
      </c>
      <c r="AF116" s="42">
        <v>1014.0260009765625</v>
      </c>
      <c r="AL116" s="87"/>
    </row>
    <row r="117" spans="1:38" ht="15" x14ac:dyDescent="0.25">
      <c r="A117" s="3" t="s">
        <v>10</v>
      </c>
      <c r="B117" s="44">
        <f t="shared" si="19"/>
        <v>328.96701049804688</v>
      </c>
      <c r="C117" s="44">
        <f t="shared" si="19"/>
        <v>325.58499145507813</v>
      </c>
      <c r="D117" s="44">
        <f t="shared" si="19"/>
        <v>321.10000610351563</v>
      </c>
      <c r="E117" s="44">
        <f t="shared" si="19"/>
        <v>314.3590087890625</v>
      </c>
      <c r="AB117" s="3" t="s">
        <v>10</v>
      </c>
      <c r="AC117" s="42">
        <v>328.96701049804688</v>
      </c>
      <c r="AD117" s="42">
        <v>325.58499145507813</v>
      </c>
      <c r="AE117" s="42">
        <v>321.10000610351563</v>
      </c>
      <c r="AF117" s="42">
        <v>314.3590087890625</v>
      </c>
      <c r="AL117" s="87"/>
    </row>
    <row r="118" spans="1:38" ht="15" x14ac:dyDescent="0.25">
      <c r="A118" s="3" t="s">
        <v>11</v>
      </c>
      <c r="B118" s="44">
        <f t="shared" si="19"/>
        <v>26.895000457763672</v>
      </c>
      <c r="C118" s="44">
        <f t="shared" si="19"/>
        <v>27.149999618530273</v>
      </c>
      <c r="D118" s="44">
        <f t="shared" si="19"/>
        <v>25.365999221801758</v>
      </c>
      <c r="E118" s="44">
        <f t="shared" si="19"/>
        <v>22.420999526977539</v>
      </c>
      <c r="AB118" s="3" t="s">
        <v>11</v>
      </c>
      <c r="AC118" s="42">
        <v>26.895000457763672</v>
      </c>
      <c r="AD118" s="42">
        <v>27.149999618530273</v>
      </c>
      <c r="AE118" s="42">
        <v>25.365999221801758</v>
      </c>
      <c r="AF118" s="42">
        <v>22.420999526977539</v>
      </c>
      <c r="AL118" s="87"/>
    </row>
    <row r="119" spans="1:38" ht="15" x14ac:dyDescent="0.25">
      <c r="A119" s="3" t="s">
        <v>12</v>
      </c>
      <c r="B119" s="44">
        <f t="shared" si="19"/>
        <v>123.55100250244141</v>
      </c>
      <c r="C119" s="44">
        <f t="shared" si="19"/>
        <v>100.99800109863281</v>
      </c>
      <c r="D119" s="44">
        <f t="shared" si="19"/>
        <v>95.680999755859375</v>
      </c>
      <c r="E119" s="44">
        <f t="shared" si="19"/>
        <v>108.57399749755859</v>
      </c>
      <c r="AB119" s="3" t="s">
        <v>12</v>
      </c>
      <c r="AC119" s="42">
        <v>123.55100250244141</v>
      </c>
      <c r="AD119" s="42">
        <v>100.99800109863281</v>
      </c>
      <c r="AE119" s="42">
        <v>95.680999755859375</v>
      </c>
      <c r="AF119" s="42">
        <v>108.57399749755859</v>
      </c>
      <c r="AL119" s="87"/>
    </row>
    <row r="120" spans="1:38" ht="15" x14ac:dyDescent="0.25">
      <c r="A120" s="3" t="s">
        <v>13</v>
      </c>
      <c r="B120" s="44">
        <f t="shared" si="19"/>
        <v>38.619998931884766</v>
      </c>
      <c r="C120" s="44">
        <f t="shared" si="19"/>
        <v>40.631999969482422</v>
      </c>
      <c r="D120" s="44">
        <f t="shared" si="19"/>
        <v>35.840000152587891</v>
      </c>
      <c r="E120" s="44">
        <f t="shared" si="19"/>
        <v>34.391998291015625</v>
      </c>
      <c r="AB120" s="3" t="s">
        <v>13</v>
      </c>
      <c r="AC120" s="42">
        <v>38.619998931884766</v>
      </c>
      <c r="AD120" s="42">
        <v>40.631999969482422</v>
      </c>
      <c r="AE120" s="42">
        <v>35.840000152587891</v>
      </c>
      <c r="AF120" s="42">
        <v>34.391998291015625</v>
      </c>
      <c r="AL120" s="87"/>
    </row>
    <row r="121" spans="1:38" ht="15" x14ac:dyDescent="0.25">
      <c r="A121" s="3" t="s">
        <v>14</v>
      </c>
      <c r="B121" s="44">
        <f t="shared" si="19"/>
        <v>98.079002380371094</v>
      </c>
      <c r="C121" s="44">
        <f t="shared" si="19"/>
        <v>93.115997314453125</v>
      </c>
      <c r="D121" s="44">
        <f t="shared" si="19"/>
        <v>79.959999084472656</v>
      </c>
      <c r="E121" s="44">
        <f t="shared" si="19"/>
        <v>92.877998352050781</v>
      </c>
      <c r="AB121" s="3" t="s">
        <v>14</v>
      </c>
      <c r="AC121" s="42">
        <v>98.079002380371094</v>
      </c>
      <c r="AD121" s="42">
        <v>93.115997314453125</v>
      </c>
      <c r="AE121" s="42">
        <v>79.959999084472656</v>
      </c>
      <c r="AF121" s="42">
        <v>92.877998352050781</v>
      </c>
      <c r="AL121" s="87"/>
    </row>
    <row r="122" spans="1:38" ht="15" x14ac:dyDescent="0.25">
      <c r="A122" s="3" t="s">
        <v>15</v>
      </c>
      <c r="B122" s="44">
        <f t="shared" si="19"/>
        <v>22.472999572753906</v>
      </c>
      <c r="C122" s="44">
        <f t="shared" si="19"/>
        <v>22.88800048828125</v>
      </c>
      <c r="D122" s="44">
        <f t="shared" si="19"/>
        <v>22.660999298095703</v>
      </c>
      <c r="E122" s="44">
        <f t="shared" si="19"/>
        <v>22.076999664306641</v>
      </c>
      <c r="AB122" s="3" t="s">
        <v>15</v>
      </c>
      <c r="AC122" s="42">
        <v>22.472999572753906</v>
      </c>
      <c r="AD122" s="42">
        <v>22.88800048828125</v>
      </c>
      <c r="AE122" s="42">
        <v>22.660999298095703</v>
      </c>
      <c r="AF122" s="42">
        <v>22.076999664306641</v>
      </c>
      <c r="AL122" s="87"/>
    </row>
    <row r="125" spans="1:38" ht="13.5" thickBot="1" x14ac:dyDescent="0.25"/>
    <row r="126" spans="1:38" ht="13.5" thickBot="1" x14ac:dyDescent="0.25">
      <c r="A126" s="4" t="str">
        <f>+"TABLE "&amp;$M$54+0.1&amp;" Growth Rate Analyses"</f>
        <v>TABLE 5.4 Growth Rate Analyses</v>
      </c>
      <c r="B126" s="22"/>
      <c r="C126" s="22"/>
      <c r="D126" s="22"/>
      <c r="E126" s="22"/>
      <c r="F126" s="22"/>
      <c r="G126" s="22"/>
      <c r="H126" s="22"/>
      <c r="I126" s="23"/>
    </row>
    <row r="127" spans="1:38" x14ac:dyDescent="0.2">
      <c r="A127" s="7"/>
      <c r="B127" s="8"/>
      <c r="C127" s="8"/>
      <c r="D127" s="8"/>
      <c r="E127" s="8"/>
      <c r="F127" s="8"/>
      <c r="G127" s="8"/>
      <c r="H127" s="8"/>
      <c r="I127" s="9"/>
    </row>
    <row r="128" spans="1:38" x14ac:dyDescent="0.2">
      <c r="A128" s="7"/>
      <c r="B128" s="24" t="s">
        <v>20</v>
      </c>
      <c r="C128" s="25"/>
      <c r="D128" s="26"/>
      <c r="E128" s="8"/>
      <c r="F128" s="8"/>
      <c r="G128" s="24" t="s">
        <v>21</v>
      </c>
      <c r="H128" s="25"/>
      <c r="I128" s="27"/>
    </row>
    <row r="129" spans="1:17" x14ac:dyDescent="0.2">
      <c r="A129" s="7"/>
      <c r="B129" s="28">
        <f>+B109</f>
        <v>2017</v>
      </c>
      <c r="C129" s="28">
        <f>+B129-1</f>
        <v>2016</v>
      </c>
      <c r="D129" s="28">
        <f t="shared" ref="D129" si="20">+C129-1</f>
        <v>2015</v>
      </c>
      <c r="E129" s="8"/>
      <c r="F129" s="8"/>
      <c r="G129" s="28">
        <f>+B129</f>
        <v>2017</v>
      </c>
      <c r="H129" s="28">
        <f>+G129-1</f>
        <v>2016</v>
      </c>
      <c r="I129" s="29">
        <f t="shared" ref="I129" si="21">+H129-1</f>
        <v>2015</v>
      </c>
    </row>
    <row r="130" spans="1:17" x14ac:dyDescent="0.2">
      <c r="A130" s="7"/>
      <c r="B130" s="8"/>
      <c r="C130" s="8"/>
      <c r="D130" s="8"/>
      <c r="E130" s="8"/>
      <c r="F130" s="8"/>
      <c r="G130" s="8"/>
      <c r="H130" s="8"/>
      <c r="I130" s="9"/>
      <c r="M130" s="3">
        <v>3</v>
      </c>
      <c r="N130" s="3">
        <v>2</v>
      </c>
      <c r="P130" s="3">
        <v>3</v>
      </c>
      <c r="Q130" s="3">
        <v>2</v>
      </c>
    </row>
    <row r="131" spans="1:17" ht="26.25" thickBot="1" x14ac:dyDescent="0.25">
      <c r="A131" s="131" t="str">
        <f>+name</f>
        <v>Township of Mahoning Sewer and Water Systems Assets</v>
      </c>
      <c r="B131" s="45" t="str">
        <f>IF(ISERROR(ROUND((+B95/C95)-1,3)),"NA",ROUND((+B95/C95)-1,3))</f>
        <v>NA</v>
      </c>
      <c r="C131" s="45" t="str">
        <f>IF(ISERROR(ROUND((+C95/D95)-1,3)),"NA",ROUND((+C95/D95)-1,3))</f>
        <v>NA</v>
      </c>
      <c r="D131" s="45" t="str">
        <f>IF(ISERROR(ROUND((+D95/E95)-1,3)),"NA",ROUND((+D95/E95)-1,3))</f>
        <v>NA</v>
      </c>
      <c r="E131" s="8"/>
      <c r="F131" s="8"/>
      <c r="G131" s="45" t="str">
        <f>IF(ISERROR(ROUND((+G95/H95)-1,3)),"NA",ROUND((+G95/H95)-1,3))</f>
        <v>NA</v>
      </c>
      <c r="H131" s="45" t="str">
        <f>IF(ISERROR(ROUND((+H95/I95)-1,3)),"NA",ROUND((+H95/I95)-1,3))</f>
        <v>NA</v>
      </c>
      <c r="I131" s="46" t="str">
        <f>IF(ISERROR(ROUND((+I95/J95)-1,3)),"NA",ROUND((+I95/J95)-1,3))</f>
        <v>NA</v>
      </c>
      <c r="M131" s="59" t="e">
        <f>AVERAGE(B131:D131)</f>
        <v>#DIV/0!</v>
      </c>
      <c r="N131" s="59" t="e">
        <f>AVERAGE(B131:C131)</f>
        <v>#DIV/0!</v>
      </c>
      <c r="P131" s="59" t="e">
        <f>AVERAGE(G131:I131)</f>
        <v>#DIV/0!</v>
      </c>
      <c r="Q131" s="59" t="e">
        <f>AVERAGE(G131:H131)</f>
        <v>#DIV/0!</v>
      </c>
    </row>
    <row r="132" spans="1:17" ht="13.5" thickTop="1" x14ac:dyDescent="0.2">
      <c r="A132" s="7"/>
      <c r="B132" s="8"/>
      <c r="C132" s="8"/>
      <c r="D132" s="8"/>
      <c r="E132" s="8"/>
      <c r="F132" s="8"/>
      <c r="G132" s="8"/>
      <c r="H132" s="8"/>
      <c r="I132" s="9"/>
    </row>
    <row r="133" spans="1:17" x14ac:dyDescent="0.2">
      <c r="A133" s="37" t="s">
        <v>7</v>
      </c>
      <c r="B133" s="35"/>
      <c r="C133" s="35"/>
      <c r="D133" s="35"/>
      <c r="E133" s="35"/>
      <c r="F133" s="8"/>
      <c r="G133" s="35"/>
      <c r="H133" s="35"/>
      <c r="I133" s="36"/>
    </row>
    <row r="134" spans="1:17" x14ac:dyDescent="0.2">
      <c r="A134" s="7" t="s">
        <v>8</v>
      </c>
      <c r="B134" s="47">
        <f t="shared" ref="B134:D141" si="22">ROUND((+B98/C98)-1,3)</f>
        <v>0.01</v>
      </c>
      <c r="C134" s="47">
        <f t="shared" si="22"/>
        <v>-4.9000000000000002E-2</v>
      </c>
      <c r="D134" s="47">
        <f t="shared" si="22"/>
        <v>-1.4999999999999999E-2</v>
      </c>
      <c r="E134" s="8"/>
      <c r="F134" s="8"/>
      <c r="G134" s="47">
        <f t="shared" ref="G134:I141" si="23">ROUND((+G98/H98)-1,3)</f>
        <v>2.7E-2</v>
      </c>
      <c r="H134" s="47">
        <f t="shared" si="23"/>
        <v>-4.2999999999999997E-2</v>
      </c>
      <c r="I134" s="48">
        <f t="shared" si="23"/>
        <v>3.0000000000000001E-3</v>
      </c>
    </row>
    <row r="135" spans="1:17" x14ac:dyDescent="0.2">
      <c r="A135" s="7" t="s">
        <v>9</v>
      </c>
      <c r="B135" s="47">
        <f t="shared" si="22"/>
        <v>1.7000000000000001E-2</v>
      </c>
      <c r="C135" s="47">
        <f t="shared" si="22"/>
        <v>4.4999999999999998E-2</v>
      </c>
      <c r="D135" s="47">
        <f t="shared" si="22"/>
        <v>4.9000000000000002E-2</v>
      </c>
      <c r="E135" s="8"/>
      <c r="F135" s="8"/>
      <c r="G135" s="47">
        <f t="shared" si="23"/>
        <v>0.13100000000000001</v>
      </c>
      <c r="H135" s="47">
        <f t="shared" si="23"/>
        <v>4.7E-2</v>
      </c>
      <c r="I135" s="48">
        <f t="shared" si="23"/>
        <v>0.20100000000000001</v>
      </c>
    </row>
    <row r="136" spans="1:17" x14ac:dyDescent="0.2">
      <c r="A136" s="7" t="s">
        <v>10</v>
      </c>
      <c r="B136" s="47">
        <f t="shared" si="22"/>
        <v>-1.2999999999999999E-2</v>
      </c>
      <c r="C136" s="47">
        <f t="shared" si="22"/>
        <v>7.0000000000000001E-3</v>
      </c>
      <c r="D136" s="47">
        <f t="shared" si="22"/>
        <v>4.3999999999999997E-2</v>
      </c>
      <c r="E136" s="8"/>
      <c r="F136" s="8"/>
      <c r="G136" s="47">
        <f t="shared" si="23"/>
        <v>0.11799999999999999</v>
      </c>
      <c r="H136" s="47">
        <f t="shared" si="23"/>
        <v>1.9E-2</v>
      </c>
      <c r="I136" s="48">
        <f t="shared" si="23"/>
        <v>0.11700000000000001</v>
      </c>
    </row>
    <row r="137" spans="1:17" x14ac:dyDescent="0.2">
      <c r="A137" s="7" t="s">
        <v>11</v>
      </c>
      <c r="B137" s="47">
        <f t="shared" si="22"/>
        <v>0.04</v>
      </c>
      <c r="C137" s="47">
        <f t="shared" si="22"/>
        <v>2.7E-2</v>
      </c>
      <c r="D137" s="47">
        <f t="shared" si="22"/>
        <v>6.3E-2</v>
      </c>
      <c r="E137" s="8"/>
      <c r="F137" s="8"/>
      <c r="G137" s="47">
        <f t="shared" si="23"/>
        <v>0.17799999999999999</v>
      </c>
      <c r="H137" s="47">
        <f t="shared" si="23"/>
        <v>-2.1999999999999999E-2</v>
      </c>
      <c r="I137" s="48">
        <f t="shared" si="23"/>
        <v>5.2999999999999999E-2</v>
      </c>
    </row>
    <row r="138" spans="1:17" x14ac:dyDescent="0.2">
      <c r="A138" s="7" t="s">
        <v>12</v>
      </c>
      <c r="B138" s="47">
        <f t="shared" si="22"/>
        <v>9.4E-2</v>
      </c>
      <c r="C138" s="47">
        <f t="shared" si="22"/>
        <v>3.5999999999999997E-2</v>
      </c>
      <c r="D138" s="47">
        <f t="shared" si="22"/>
        <v>-1.4999999999999999E-2</v>
      </c>
      <c r="E138" s="8"/>
      <c r="F138" s="8"/>
      <c r="G138" s="47">
        <f t="shared" si="23"/>
        <v>5.1999999999999998E-2</v>
      </c>
      <c r="H138" s="47">
        <f t="shared" si="23"/>
        <v>0.10100000000000001</v>
      </c>
      <c r="I138" s="48">
        <f t="shared" si="23"/>
        <v>4.1000000000000002E-2</v>
      </c>
    </row>
    <row r="139" spans="1:17" x14ac:dyDescent="0.2">
      <c r="A139" s="7" t="s">
        <v>13</v>
      </c>
      <c r="B139" s="47">
        <f t="shared" si="22"/>
        <v>-1.6E-2</v>
      </c>
      <c r="C139" s="47">
        <f t="shared" si="22"/>
        <v>5.5E-2</v>
      </c>
      <c r="D139" s="47">
        <f t="shared" si="22"/>
        <v>7.5999999999999998E-2</v>
      </c>
      <c r="E139" s="8"/>
      <c r="F139" s="8"/>
      <c r="G139" s="47">
        <f t="shared" si="23"/>
        <v>0.121</v>
      </c>
      <c r="H139" s="47">
        <f t="shared" si="23"/>
        <v>-5.2999999999999999E-2</v>
      </c>
      <c r="I139" s="48">
        <f t="shared" si="23"/>
        <v>0.248</v>
      </c>
    </row>
    <row r="140" spans="1:17" x14ac:dyDescent="0.2">
      <c r="A140" s="7" t="s">
        <v>14</v>
      </c>
      <c r="B140" s="47">
        <f t="shared" si="22"/>
        <v>0.14599999999999999</v>
      </c>
      <c r="C140" s="47">
        <f t="shared" si="22"/>
        <v>0.113</v>
      </c>
      <c r="D140" s="47">
        <f t="shared" si="22"/>
        <v>-4.5999999999999999E-2</v>
      </c>
      <c r="E140" s="8"/>
      <c r="F140" s="8"/>
      <c r="G140" s="47">
        <f t="shared" si="23"/>
        <v>3.3000000000000002E-2</v>
      </c>
      <c r="H140" s="47">
        <f t="shared" si="23"/>
        <v>0.22800000000000001</v>
      </c>
      <c r="I140" s="48">
        <f t="shared" si="23"/>
        <v>7.3999999999999996E-2</v>
      </c>
    </row>
    <row r="141" spans="1:17" x14ac:dyDescent="0.2">
      <c r="A141" s="7" t="s">
        <v>15</v>
      </c>
      <c r="B141" s="47">
        <f t="shared" si="22"/>
        <v>2.1000000000000001E-2</v>
      </c>
      <c r="C141" s="47">
        <f t="shared" si="22"/>
        <v>1.0999999999999999E-2</v>
      </c>
      <c r="D141" s="47">
        <f t="shared" si="22"/>
        <v>2.5999999999999999E-2</v>
      </c>
      <c r="E141" s="8"/>
      <c r="F141" s="8"/>
      <c r="G141" s="47">
        <f t="shared" si="23"/>
        <v>3.9E-2</v>
      </c>
      <c r="H141" s="47">
        <f t="shared" si="23"/>
        <v>1.7000000000000001E-2</v>
      </c>
      <c r="I141" s="48">
        <f t="shared" si="23"/>
        <v>0.11700000000000001</v>
      </c>
    </row>
    <row r="142" spans="1:17" x14ac:dyDescent="0.2">
      <c r="A142" s="7"/>
      <c r="B142" s="49"/>
      <c r="C142" s="49"/>
      <c r="D142" s="49"/>
      <c r="E142" s="8"/>
      <c r="F142" s="8"/>
      <c r="G142" s="49"/>
      <c r="H142" s="49"/>
      <c r="I142" s="50"/>
    </row>
    <row r="143" spans="1:17" ht="13.5" thickBot="1" x14ac:dyDescent="0.25">
      <c r="A143" s="38" t="s">
        <v>54</v>
      </c>
      <c r="B143" s="51">
        <f>MEDIAN(B134:B141)</f>
        <v>1.9000000000000003E-2</v>
      </c>
      <c r="C143" s="51">
        <f>MEDIAN(C134:C141)</f>
        <v>3.15E-2</v>
      </c>
      <c r="D143" s="51">
        <f>MEDIAN(D134:D141)</f>
        <v>3.4999999999999996E-2</v>
      </c>
      <c r="E143" s="8"/>
      <c r="F143" s="8"/>
      <c r="G143" s="51">
        <f>MEDIAN(G134:G141)</f>
        <v>8.4999999999999992E-2</v>
      </c>
      <c r="H143" s="51">
        <f>MEDIAN(H134:H141)</f>
        <v>1.8000000000000002E-2</v>
      </c>
      <c r="I143" s="52">
        <f>MEDIAN(I134:I141)</f>
        <v>9.5500000000000002E-2</v>
      </c>
      <c r="M143" s="59">
        <f>AVERAGE(B143:D143)</f>
        <v>2.8499999999999998E-2</v>
      </c>
      <c r="N143" s="59">
        <f>AVERAGE(B143:C143)</f>
        <v>2.5250000000000002E-2</v>
      </c>
      <c r="P143" s="59">
        <f>AVERAGE(G143:I143)</f>
        <v>6.6166666666666665E-2</v>
      </c>
      <c r="Q143" s="59">
        <f>AVERAGE(G143:H143)</f>
        <v>5.1499999999999997E-2</v>
      </c>
    </row>
    <row r="144" spans="1:17" ht="13.5" thickTop="1" x14ac:dyDescent="0.2">
      <c r="A144" s="7"/>
      <c r="B144" s="8"/>
      <c r="C144" s="8"/>
      <c r="D144" s="8"/>
      <c r="E144" s="8"/>
      <c r="F144" s="8"/>
      <c r="G144" s="8"/>
      <c r="H144" s="8"/>
      <c r="I144" s="9"/>
    </row>
    <row r="145" spans="1:17" x14ac:dyDescent="0.2">
      <c r="A145" s="7"/>
      <c r="B145" s="24" t="s">
        <v>22</v>
      </c>
      <c r="C145" s="25"/>
      <c r="D145" s="26"/>
      <c r="E145" s="8"/>
      <c r="F145" s="8"/>
      <c r="G145" s="8"/>
      <c r="H145" s="8"/>
      <c r="I145" s="9"/>
    </row>
    <row r="146" spans="1:17" x14ac:dyDescent="0.2">
      <c r="A146" s="7"/>
      <c r="B146" s="28">
        <f>+B129</f>
        <v>2017</v>
      </c>
      <c r="C146" s="28">
        <f>+B146-1</f>
        <v>2016</v>
      </c>
      <c r="D146" s="28">
        <f t="shared" ref="D146" si="24">+C146-1</f>
        <v>2015</v>
      </c>
      <c r="E146" s="8"/>
      <c r="F146" s="8"/>
      <c r="G146" s="8"/>
      <c r="H146" s="8"/>
      <c r="I146" s="9"/>
    </row>
    <row r="147" spans="1:17" x14ac:dyDescent="0.2">
      <c r="A147" s="7"/>
      <c r="B147" s="8"/>
      <c r="C147" s="8"/>
      <c r="D147" s="8"/>
      <c r="E147" s="8"/>
      <c r="F147" s="8"/>
      <c r="G147" s="8"/>
      <c r="H147" s="8"/>
      <c r="I147" s="9"/>
      <c r="M147" s="3">
        <v>3</v>
      </c>
      <c r="N147" s="3">
        <v>2</v>
      </c>
    </row>
    <row r="148" spans="1:17" ht="26.25" thickBot="1" x14ac:dyDescent="0.25">
      <c r="A148" s="131" t="str">
        <f>+name</f>
        <v>Township of Mahoning Sewer and Water Systems Assets</v>
      </c>
      <c r="B148" s="45" t="str">
        <f>IF(ISERROR(ROUND((+B112/C112)-1,3)),"NA",ROUND((+B112/C112)-1,3))</f>
        <v>NA</v>
      </c>
      <c r="C148" s="45" t="str">
        <f>IF(ISERROR(ROUND((+C112/D112)-1,3)),"NA",ROUND((+C112/D112)-1,3))</f>
        <v>NA</v>
      </c>
      <c r="D148" s="45" t="str">
        <f>IF(ISERROR(ROUND((+D112/E112)-1,3)),"NA",ROUND((+D112/E112)-1,3))</f>
        <v>NA</v>
      </c>
      <c r="E148" s="33"/>
      <c r="F148" s="8"/>
      <c r="G148" s="8"/>
      <c r="H148" s="8"/>
      <c r="I148" s="9"/>
      <c r="M148" s="59" t="e">
        <f>AVERAGE(B148:D148)</f>
        <v>#DIV/0!</v>
      </c>
      <c r="N148" s="59" t="e">
        <f>AVERAGE(B148:C148)</f>
        <v>#DIV/0!</v>
      </c>
    </row>
    <row r="149" spans="1:17" ht="13.5" thickTop="1" x14ac:dyDescent="0.2">
      <c r="A149" s="7"/>
      <c r="B149" s="8"/>
      <c r="C149" s="8"/>
      <c r="D149" s="8"/>
      <c r="E149" s="8"/>
      <c r="F149" s="8"/>
      <c r="G149" s="8"/>
      <c r="H149" s="8"/>
      <c r="I149" s="9"/>
    </row>
    <row r="150" spans="1:17" x14ac:dyDescent="0.2">
      <c r="A150" s="37" t="s">
        <v>7</v>
      </c>
      <c r="B150" s="35"/>
      <c r="C150" s="35"/>
      <c r="D150" s="35"/>
      <c r="E150" s="35"/>
      <c r="F150" s="8"/>
      <c r="G150" s="8"/>
      <c r="H150" s="8"/>
      <c r="I150" s="9"/>
    </row>
    <row r="151" spans="1:17" x14ac:dyDescent="0.2">
      <c r="A151" s="7" t="s">
        <v>8</v>
      </c>
      <c r="B151" s="47">
        <f t="shared" ref="B151:D158" si="25">ROUND((+B115/C115)-1,3)</f>
        <v>3.5000000000000003E-2</v>
      </c>
      <c r="C151" s="47">
        <f t="shared" si="25"/>
        <v>-3.2000000000000001E-2</v>
      </c>
      <c r="D151" s="47">
        <f t="shared" si="25"/>
        <v>-4.0000000000000001E-3</v>
      </c>
      <c r="E151" s="33"/>
      <c r="F151" s="8"/>
      <c r="G151" s="8"/>
      <c r="H151" s="8"/>
      <c r="I151" s="9"/>
    </row>
    <row r="152" spans="1:17" x14ac:dyDescent="0.2">
      <c r="A152" s="7" t="s">
        <v>9</v>
      </c>
      <c r="B152" s="47">
        <f t="shared" si="25"/>
        <v>6.7000000000000004E-2</v>
      </c>
      <c r="C152" s="47">
        <f t="shared" si="25"/>
        <v>6.5000000000000002E-2</v>
      </c>
      <c r="D152" s="47">
        <f t="shared" si="25"/>
        <v>0.06</v>
      </c>
      <c r="E152" s="35"/>
      <c r="F152" s="8"/>
      <c r="G152" s="8"/>
      <c r="H152" s="8"/>
      <c r="I152" s="9"/>
    </row>
    <row r="153" spans="1:17" x14ac:dyDescent="0.2">
      <c r="A153" s="7" t="s">
        <v>10</v>
      </c>
      <c r="B153" s="47">
        <f t="shared" si="25"/>
        <v>0.01</v>
      </c>
      <c r="C153" s="47">
        <f t="shared" si="25"/>
        <v>1.4E-2</v>
      </c>
      <c r="D153" s="47">
        <f t="shared" si="25"/>
        <v>2.1000000000000001E-2</v>
      </c>
      <c r="E153" s="35"/>
      <c r="F153" s="8"/>
      <c r="G153" s="8"/>
      <c r="H153" s="8"/>
      <c r="I153" s="9"/>
    </row>
    <row r="154" spans="1:17" x14ac:dyDescent="0.2">
      <c r="A154" s="7" t="s">
        <v>11</v>
      </c>
      <c r="B154" s="47">
        <f t="shared" si="25"/>
        <v>-8.9999999999999993E-3</v>
      </c>
      <c r="C154" s="47">
        <f t="shared" si="25"/>
        <v>7.0000000000000007E-2</v>
      </c>
      <c r="D154" s="47">
        <f t="shared" si="25"/>
        <v>0.13100000000000001</v>
      </c>
      <c r="E154" s="35"/>
      <c r="F154" s="8"/>
      <c r="G154" s="8"/>
      <c r="H154" s="8"/>
      <c r="I154" s="9"/>
    </row>
    <row r="155" spans="1:17" x14ac:dyDescent="0.2">
      <c r="A155" s="7" t="s">
        <v>12</v>
      </c>
      <c r="B155" s="47">
        <f t="shared" si="25"/>
        <v>0.223</v>
      </c>
      <c r="C155" s="47">
        <f t="shared" si="25"/>
        <v>5.6000000000000001E-2</v>
      </c>
      <c r="D155" s="47">
        <f t="shared" si="25"/>
        <v>-0.11899999999999999</v>
      </c>
      <c r="E155" s="35"/>
      <c r="F155" s="8"/>
      <c r="G155" s="8"/>
      <c r="H155" s="8"/>
      <c r="I155" s="9"/>
    </row>
    <row r="156" spans="1:17" x14ac:dyDescent="0.2">
      <c r="A156" s="7" t="s">
        <v>13</v>
      </c>
      <c r="B156" s="47">
        <f t="shared" si="25"/>
        <v>-0.05</v>
      </c>
      <c r="C156" s="47">
        <f t="shared" si="25"/>
        <v>0.13400000000000001</v>
      </c>
      <c r="D156" s="47">
        <f t="shared" si="25"/>
        <v>4.2000000000000003E-2</v>
      </c>
      <c r="E156" s="35"/>
      <c r="F156" s="8"/>
      <c r="G156" s="8"/>
      <c r="H156" s="8"/>
      <c r="I156" s="9"/>
    </row>
    <row r="157" spans="1:17" x14ac:dyDescent="0.2">
      <c r="A157" s="7" t="s">
        <v>14</v>
      </c>
      <c r="B157" s="47">
        <f t="shared" si="25"/>
        <v>5.2999999999999999E-2</v>
      </c>
      <c r="C157" s="47">
        <f t="shared" si="25"/>
        <v>0.16500000000000001</v>
      </c>
      <c r="D157" s="47">
        <f t="shared" si="25"/>
        <v>-0.13900000000000001</v>
      </c>
      <c r="E157" s="35"/>
      <c r="F157" s="8"/>
      <c r="G157" s="8"/>
      <c r="H157" s="8"/>
      <c r="I157" s="9"/>
    </row>
    <row r="158" spans="1:17" x14ac:dyDescent="0.2">
      <c r="A158" s="7" t="s">
        <v>15</v>
      </c>
      <c r="B158" s="47">
        <f t="shared" si="25"/>
        <v>-1.7999999999999999E-2</v>
      </c>
      <c r="C158" s="47">
        <f t="shared" si="25"/>
        <v>0.01</v>
      </c>
      <c r="D158" s="47">
        <f t="shared" si="25"/>
        <v>2.5999999999999999E-2</v>
      </c>
      <c r="E158" s="35"/>
      <c r="F158" s="8"/>
      <c r="G158" s="8"/>
      <c r="H158" s="8"/>
      <c r="I158" s="9"/>
    </row>
    <row r="159" spans="1:17" x14ac:dyDescent="0.2">
      <c r="A159" s="7"/>
      <c r="B159" s="49"/>
      <c r="C159" s="49"/>
      <c r="D159" s="49"/>
      <c r="E159" s="8"/>
      <c r="F159" s="8"/>
      <c r="G159" s="8"/>
      <c r="H159" s="8"/>
      <c r="I159" s="9"/>
    </row>
    <row r="160" spans="1:17" ht="13.5" thickBot="1" x14ac:dyDescent="0.25">
      <c r="A160" s="38" t="s">
        <v>54</v>
      </c>
      <c r="B160" s="51">
        <f>MEDIAN(B151:B158)</f>
        <v>2.2499999999999999E-2</v>
      </c>
      <c r="C160" s="51">
        <f>MEDIAN(C151:C158)</f>
        <v>6.0499999999999998E-2</v>
      </c>
      <c r="D160" s="51">
        <f>MEDIAN(D151:D158)</f>
        <v>2.35E-2</v>
      </c>
      <c r="E160" s="8"/>
      <c r="F160" s="8"/>
      <c r="G160" s="8"/>
      <c r="H160" s="8"/>
      <c r="I160" s="9"/>
      <c r="M160" s="59">
        <f>AVERAGE(B160:D160)</f>
        <v>3.5499999999999997E-2</v>
      </c>
      <c r="N160" s="59">
        <f>AVERAGE(B160:C160)</f>
        <v>4.1499999999999995E-2</v>
      </c>
      <c r="P160" s="59"/>
      <c r="Q160" s="59"/>
    </row>
    <row r="161" spans="1:13" ht="14.25" thickTop="1" thickBot="1" x14ac:dyDescent="0.25">
      <c r="A161" s="18"/>
      <c r="B161" s="19"/>
      <c r="C161" s="19"/>
      <c r="D161" s="19"/>
      <c r="E161" s="19"/>
      <c r="F161" s="19"/>
      <c r="G161" s="19"/>
      <c r="H161" s="19"/>
      <c r="I161" s="20"/>
    </row>
    <row r="162" spans="1:13" x14ac:dyDescent="0.2">
      <c r="A162" s="8"/>
      <c r="B162" s="8"/>
      <c r="C162" s="8"/>
      <c r="D162" s="8"/>
      <c r="E162" s="8"/>
      <c r="F162" s="8"/>
      <c r="G162" s="8"/>
      <c r="H162" s="8"/>
      <c r="I162" s="8"/>
    </row>
    <row r="163" spans="1:13" x14ac:dyDescent="0.2">
      <c r="A163" s="8"/>
      <c r="B163" s="8"/>
      <c r="C163" s="8"/>
      <c r="D163" s="8"/>
      <c r="E163" s="8"/>
      <c r="F163" s="8"/>
      <c r="G163" s="8"/>
      <c r="H163" s="8"/>
      <c r="I163" s="8"/>
    </row>
    <row r="164" spans="1:13" ht="13.5" thickBot="1" x14ac:dyDescent="0.25"/>
    <row r="165" spans="1:13" ht="13.5" thickBot="1" x14ac:dyDescent="0.25">
      <c r="A165" s="4" t="str">
        <f>+"TABLE "&amp;$M$54+0.2&amp;" Profit Margin Analyses"</f>
        <v>TABLE 5.5 Profit Margin Analyses</v>
      </c>
      <c r="B165" s="22"/>
      <c r="C165" s="22"/>
      <c r="D165" s="23"/>
      <c r="M165" s="99" t="str">
        <f>+"TABLE "&amp;$M$54+0.2&amp;" Profit Margin Analyses"</f>
        <v>TABLE 5.5 Profit Margin Analyses</v>
      </c>
    </row>
    <row r="166" spans="1:13" x14ac:dyDescent="0.2">
      <c r="A166" s="7"/>
      <c r="B166" s="8"/>
      <c r="C166" s="8"/>
      <c r="D166" s="9"/>
    </row>
    <row r="167" spans="1:13" x14ac:dyDescent="0.2">
      <c r="A167" s="7"/>
      <c r="B167" s="24" t="s">
        <v>23</v>
      </c>
      <c r="C167" s="25"/>
      <c r="D167" s="27"/>
    </row>
    <row r="168" spans="1:13" x14ac:dyDescent="0.2">
      <c r="A168" s="7"/>
      <c r="B168" s="28">
        <f>+B146</f>
        <v>2017</v>
      </c>
      <c r="C168" s="28">
        <f>+B168-1</f>
        <v>2016</v>
      </c>
      <c r="D168" s="29">
        <f t="shared" ref="D168" si="26">+C168-1</f>
        <v>2015</v>
      </c>
    </row>
    <row r="169" spans="1:13" x14ac:dyDescent="0.2">
      <c r="A169" s="7"/>
      <c r="B169" s="8"/>
      <c r="C169" s="8"/>
      <c r="D169" s="9"/>
    </row>
    <row r="170" spans="1:13" ht="26.25" thickBot="1" x14ac:dyDescent="0.25">
      <c r="A170" s="131" t="str">
        <f>+name</f>
        <v>Township of Mahoning Sewer and Water Systems Assets</v>
      </c>
      <c r="B170" s="45" t="str">
        <f>IF(ISERROR(G95/B95),"NA",G95/B95)</f>
        <v>NA</v>
      </c>
      <c r="C170" s="45" t="str">
        <f>IF(ISERROR(H95/C95),"NA",H95/C95)</f>
        <v>NA</v>
      </c>
      <c r="D170" s="46" t="str">
        <f>IF(ISERROR(I95/D95),"NA",I95/D95)</f>
        <v>NA</v>
      </c>
    </row>
    <row r="171" spans="1:13" ht="13.5" thickTop="1" x14ac:dyDescent="0.2">
      <c r="A171" s="7"/>
      <c r="B171" s="8"/>
      <c r="C171" s="8"/>
      <c r="D171" s="9"/>
    </row>
    <row r="172" spans="1:13" x14ac:dyDescent="0.2">
      <c r="A172" s="37" t="s">
        <v>7</v>
      </c>
      <c r="B172" s="35"/>
      <c r="C172" s="35"/>
      <c r="D172" s="36"/>
    </row>
    <row r="173" spans="1:13" x14ac:dyDescent="0.2">
      <c r="A173" s="7" t="s">
        <v>8</v>
      </c>
      <c r="B173" s="47">
        <f t="shared" ref="B173:D180" si="27">+G98/B98</f>
        <v>0.35812058156993237</v>
      </c>
      <c r="C173" s="47">
        <f t="shared" si="27"/>
        <v>0.35214531110837255</v>
      </c>
      <c r="D173" s="48">
        <f t="shared" si="27"/>
        <v>0.34999488979388038</v>
      </c>
    </row>
    <row r="174" spans="1:13" x14ac:dyDescent="0.2">
      <c r="A174" s="7" t="s">
        <v>9</v>
      </c>
      <c r="B174" s="47">
        <f t="shared" si="27"/>
        <v>0.38917961041061588</v>
      </c>
      <c r="C174" s="47">
        <f t="shared" si="27"/>
        <v>0.34977499432162323</v>
      </c>
      <c r="D174" s="48">
        <f t="shared" si="27"/>
        <v>0.34907912845738365</v>
      </c>
    </row>
    <row r="175" spans="1:13" x14ac:dyDescent="0.2">
      <c r="A175" s="7" t="s">
        <v>10</v>
      </c>
      <c r="B175" s="47">
        <f t="shared" si="27"/>
        <v>0.5352323690001356</v>
      </c>
      <c r="C175" s="47">
        <f t="shared" si="27"/>
        <v>0.47253911163334733</v>
      </c>
      <c r="D175" s="48">
        <f t="shared" si="27"/>
        <v>0.46688176793890335</v>
      </c>
    </row>
    <row r="176" spans="1:13" x14ac:dyDescent="0.2">
      <c r="A176" s="7" t="s">
        <v>11</v>
      </c>
      <c r="B176" s="47">
        <f t="shared" si="27"/>
        <v>0.3696844268690509</v>
      </c>
      <c r="C176" s="47">
        <f t="shared" si="27"/>
        <v>0.32621477389396253</v>
      </c>
      <c r="D176" s="48">
        <f t="shared" si="27"/>
        <v>0.3425166085725691</v>
      </c>
    </row>
    <row r="177" spans="1:4" x14ac:dyDescent="0.2">
      <c r="A177" s="7" t="s">
        <v>12</v>
      </c>
      <c r="B177" s="47">
        <f t="shared" si="27"/>
        <v>0.22172622343503204</v>
      </c>
      <c r="C177" s="47">
        <f t="shared" si="27"/>
        <v>0.23069234943636355</v>
      </c>
      <c r="D177" s="48">
        <f t="shared" si="27"/>
        <v>0.21705803717724634</v>
      </c>
    </row>
    <row r="178" spans="1:4" x14ac:dyDescent="0.2">
      <c r="A178" s="7" t="s">
        <v>13</v>
      </c>
      <c r="B178" s="47">
        <f t="shared" si="27"/>
        <v>0.29100364390751032</v>
      </c>
      <c r="C178" s="47">
        <f t="shared" si="27"/>
        <v>0.25542110288161091</v>
      </c>
      <c r="D178" s="48">
        <f t="shared" si="27"/>
        <v>0.2843959465924833</v>
      </c>
    </row>
    <row r="179" spans="1:4" x14ac:dyDescent="0.2">
      <c r="A179" s="7" t="s">
        <v>14</v>
      </c>
      <c r="B179" s="47">
        <f t="shared" si="27"/>
        <v>0.22172779394901648</v>
      </c>
      <c r="C179" s="47">
        <f t="shared" si="27"/>
        <v>0.24589497754387868</v>
      </c>
      <c r="D179" s="48">
        <f t="shared" si="27"/>
        <v>0.22290072239199105</v>
      </c>
    </row>
    <row r="180" spans="1:4" x14ac:dyDescent="0.2">
      <c r="A180" s="7" t="s">
        <v>15</v>
      </c>
      <c r="B180" s="47">
        <f t="shared" si="27"/>
        <v>0.52981126713125959</v>
      </c>
      <c r="C180" s="47">
        <f t="shared" si="27"/>
        <v>0.52076330021340622</v>
      </c>
      <c r="D180" s="48">
        <f t="shared" si="27"/>
        <v>0.51729700968859693</v>
      </c>
    </row>
    <row r="181" spans="1:4" x14ac:dyDescent="0.2">
      <c r="A181" s="7"/>
      <c r="B181" s="49"/>
      <c r="C181" s="49"/>
      <c r="D181" s="50"/>
    </row>
    <row r="182" spans="1:4" ht="13.5" thickBot="1" x14ac:dyDescent="0.25">
      <c r="A182" s="38" t="s">
        <v>54</v>
      </c>
      <c r="B182" s="51">
        <f>MEDIAN(B173:B180)</f>
        <v>0.36390250421949166</v>
      </c>
      <c r="C182" s="51">
        <f>MEDIAN(C173:C180)</f>
        <v>0.33799488410779288</v>
      </c>
      <c r="D182" s="52">
        <f>MEDIAN(D173:D180)</f>
        <v>0.3457978685149764</v>
      </c>
    </row>
    <row r="183" spans="1:4" ht="13.5" thickTop="1" x14ac:dyDescent="0.2">
      <c r="A183" s="7"/>
      <c r="B183" s="8"/>
      <c r="C183" s="8"/>
      <c r="D183" s="9"/>
    </row>
    <row r="184" spans="1:4" x14ac:dyDescent="0.2">
      <c r="A184" s="7"/>
      <c r="B184" s="24" t="s">
        <v>24</v>
      </c>
      <c r="C184" s="25"/>
      <c r="D184" s="27"/>
    </row>
    <row r="185" spans="1:4" x14ac:dyDescent="0.2">
      <c r="A185" s="7"/>
      <c r="B185" s="28">
        <f>+B168</f>
        <v>2017</v>
      </c>
      <c r="C185" s="28">
        <f>+B185-1</f>
        <v>2016</v>
      </c>
      <c r="D185" s="29">
        <f t="shared" ref="D185" si="28">+C185-1</f>
        <v>2015</v>
      </c>
    </row>
    <row r="186" spans="1:4" x14ac:dyDescent="0.2">
      <c r="A186" s="7"/>
      <c r="B186" s="8"/>
      <c r="C186" s="8"/>
      <c r="D186" s="9"/>
    </row>
    <row r="187" spans="1:4" ht="26.25" thickBot="1" x14ac:dyDescent="0.25">
      <c r="A187" s="131" t="str">
        <f>+name</f>
        <v>Township of Mahoning Sewer and Water Systems Assets</v>
      </c>
      <c r="B187" s="45" t="str">
        <f>IF(ISERROR(B112/B95),"NA",B112/B95)</f>
        <v>NA</v>
      </c>
      <c r="C187" s="45" t="str">
        <f>IF(ISERROR(C112/C95),"NA",C112/C95)</f>
        <v>NA</v>
      </c>
      <c r="D187" s="46" t="str">
        <f>IF(ISERROR(D112/D95),"NA",D112/D95)</f>
        <v>NA</v>
      </c>
    </row>
    <row r="188" spans="1:4" ht="13.5" thickTop="1" x14ac:dyDescent="0.2">
      <c r="A188" s="7"/>
      <c r="B188" s="8"/>
      <c r="C188" s="8"/>
      <c r="D188" s="9"/>
    </row>
    <row r="189" spans="1:4" x14ac:dyDescent="0.2">
      <c r="A189" s="37" t="s">
        <v>7</v>
      </c>
      <c r="B189" s="35"/>
      <c r="C189" s="35"/>
      <c r="D189" s="36"/>
    </row>
    <row r="190" spans="1:4" x14ac:dyDescent="0.2">
      <c r="A190" s="7" t="s">
        <v>8</v>
      </c>
      <c r="B190" s="47">
        <f t="shared" ref="B190:D197" si="29">+B115/B98</f>
        <v>0.26953516905314212</v>
      </c>
      <c r="C190" s="47">
        <f t="shared" si="29"/>
        <v>0.2630576053421419</v>
      </c>
      <c r="D190" s="48">
        <f t="shared" si="29"/>
        <v>0.25834803404781292</v>
      </c>
    </row>
    <row r="191" spans="1:4" x14ac:dyDescent="0.2">
      <c r="A191" s="7" t="s">
        <v>9</v>
      </c>
      <c r="B191" s="47">
        <f t="shared" si="29"/>
        <v>0.36401549002085193</v>
      </c>
      <c r="C191" s="47">
        <f t="shared" si="29"/>
        <v>0.3467595396729255</v>
      </c>
      <c r="D191" s="48">
        <f t="shared" si="29"/>
        <v>0.34029756251978477</v>
      </c>
    </row>
    <row r="192" spans="1:4" x14ac:dyDescent="0.2">
      <c r="A192" s="7" t="s">
        <v>10</v>
      </c>
      <c r="B192" s="47">
        <f t="shared" si="29"/>
        <v>0.40637040310910033</v>
      </c>
      <c r="C192" s="47">
        <f t="shared" si="29"/>
        <v>0.39711540351282587</v>
      </c>
      <c r="D192" s="48">
        <f t="shared" si="29"/>
        <v>0.39437292643028238</v>
      </c>
    </row>
    <row r="193" spans="1:4" x14ac:dyDescent="0.2">
      <c r="A193" s="7" t="s">
        <v>11</v>
      </c>
      <c r="B193" s="47">
        <f t="shared" si="29"/>
        <v>0.3270505290709293</v>
      </c>
      <c r="C193" s="47">
        <f t="shared" si="29"/>
        <v>0.34328415692577707</v>
      </c>
      <c r="D193" s="48">
        <f t="shared" si="29"/>
        <v>0.329325905411121</v>
      </c>
    </row>
    <row r="194" spans="1:4" x14ac:dyDescent="0.2">
      <c r="A194" s="7" t="s">
        <v>12</v>
      </c>
      <c r="B194" s="47">
        <f t="shared" si="29"/>
        <v>0.18526443609681792</v>
      </c>
      <c r="C194" s="47">
        <f t="shared" si="29"/>
        <v>0.16574167075490803</v>
      </c>
      <c r="D194" s="48">
        <f t="shared" si="29"/>
        <v>0.16262101754793995</v>
      </c>
    </row>
    <row r="195" spans="1:4" x14ac:dyDescent="0.2">
      <c r="A195" s="7" t="s">
        <v>13</v>
      </c>
      <c r="B195" s="47">
        <f t="shared" si="29"/>
        <v>0.29531638871613808</v>
      </c>
      <c r="C195" s="47">
        <f t="shared" si="29"/>
        <v>0.30571981835398976</v>
      </c>
      <c r="D195" s="48">
        <f t="shared" si="29"/>
        <v>0.2843880160178236</v>
      </c>
    </row>
    <row r="196" spans="1:4" x14ac:dyDescent="0.2">
      <c r="A196" s="7" t="s">
        <v>14</v>
      </c>
      <c r="B196" s="47">
        <f t="shared" si="29"/>
        <v>0.25198535767839819</v>
      </c>
      <c r="C196" s="47">
        <f t="shared" si="29"/>
        <v>0.27410760791506183</v>
      </c>
      <c r="D196" s="48">
        <f t="shared" si="29"/>
        <v>0.26209346632220082</v>
      </c>
    </row>
    <row r="197" spans="1:4" x14ac:dyDescent="0.2">
      <c r="A197" s="7" t="s">
        <v>15</v>
      </c>
      <c r="B197" s="47">
        <f t="shared" si="29"/>
        <v>0.46251207573966729</v>
      </c>
      <c r="C197" s="47">
        <f t="shared" si="29"/>
        <v>0.48100203144816439</v>
      </c>
      <c r="D197" s="48">
        <f t="shared" si="29"/>
        <v>0.481237634273672</v>
      </c>
    </row>
    <row r="198" spans="1:4" x14ac:dyDescent="0.2">
      <c r="A198" s="7"/>
      <c r="B198" s="49"/>
      <c r="C198" s="49"/>
      <c r="D198" s="50"/>
    </row>
    <row r="199" spans="1:4" ht="13.5" thickBot="1" x14ac:dyDescent="0.25">
      <c r="A199" s="38" t="s">
        <v>54</v>
      </c>
      <c r="B199" s="51">
        <f>MEDIAN(B190:B197)</f>
        <v>0.31118345889353372</v>
      </c>
      <c r="C199" s="51">
        <f>MEDIAN(C190:C197)</f>
        <v>0.32450198763988342</v>
      </c>
      <c r="D199" s="52">
        <f>MEDIAN(D190:D197)</f>
        <v>0.30685696071447233</v>
      </c>
    </row>
    <row r="200" spans="1:4" ht="14.25" thickTop="1" thickBot="1" x14ac:dyDescent="0.25">
      <c r="A200" s="18"/>
      <c r="B200" s="19"/>
      <c r="C200" s="19"/>
      <c r="D200" s="20"/>
    </row>
    <row r="202" spans="1:4" x14ac:dyDescent="0.2">
      <c r="A202" s="53" t="s">
        <v>25</v>
      </c>
      <c r="B202" s="3" t="s">
        <v>26</v>
      </c>
    </row>
    <row r="203" spans="1:4" x14ac:dyDescent="0.2">
      <c r="B203" s="127" t="s">
        <v>93</v>
      </c>
      <c r="C203" s="127"/>
    </row>
    <row r="204" spans="1:4" x14ac:dyDescent="0.2">
      <c r="B204" s="127"/>
      <c r="C204" s="127"/>
    </row>
  </sheetData>
  <printOptions horizontalCentered="1"/>
  <pageMargins left="0.45" right="0.45" top="0.5" bottom="0.5" header="0.3" footer="0.3"/>
  <pageSetup scale="89" orientation="portrait" horizontalDpi="1200" verticalDpi="1200" r:id="rId1"/>
  <headerFooter>
    <oddHeader>&amp;R&amp;"Times New Roman,Regular"&amp;14EXHIBIT 5
Page &amp;P of &amp;N</oddHeader>
  </headerFooter>
  <rowBreaks count="4" manualBreakCount="4">
    <brk id="52" max="9" man="1"/>
    <brk id="89" max="9" man="1"/>
    <brk id="124" max="9" man="1"/>
    <brk id="16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9"/>
  <sheetViews>
    <sheetView workbookViewId="0">
      <selection activeCell="AC26" sqref="AC26"/>
    </sheetView>
  </sheetViews>
  <sheetFormatPr defaultColWidth="8.7109375" defaultRowHeight="12.75" x14ac:dyDescent="0.2"/>
  <cols>
    <col min="1" max="4" width="8.7109375" style="3"/>
    <col min="5" max="5" width="1.5703125" style="3" customWidth="1"/>
    <col min="6" max="6" width="24" style="3" customWidth="1"/>
    <col min="7" max="7" width="9.42578125" style="3" bestFit="1" customWidth="1"/>
    <col min="8" max="8" width="2.42578125" style="3" customWidth="1"/>
    <col min="9" max="9" width="9.7109375" style="3" bestFit="1" customWidth="1"/>
    <col min="10" max="10" width="3.28515625" style="3" customWidth="1"/>
    <col min="11" max="11" width="10.42578125" style="3" bestFit="1" customWidth="1"/>
    <col min="12" max="12" width="2.42578125" style="3" customWidth="1"/>
    <col min="13" max="13" width="8.85546875" style="3" bestFit="1" customWidth="1"/>
    <col min="14" max="14" width="1.5703125" style="3" customWidth="1"/>
    <col min="15" max="27" width="8.7109375" style="3"/>
    <col min="28" max="29" width="10.85546875" style="3" bestFit="1" customWidth="1"/>
    <col min="30" max="16384" width="8.7109375" style="3"/>
  </cols>
  <sheetData>
    <row r="1" spans="2:30" ht="13.5" thickBot="1" x14ac:dyDescent="0.25"/>
    <row r="2" spans="2:30" x14ac:dyDescent="0.2">
      <c r="E2" s="61"/>
      <c r="F2" s="62"/>
      <c r="G2" s="62"/>
      <c r="H2" s="62"/>
      <c r="I2" s="62"/>
      <c r="J2" s="62"/>
      <c r="K2" s="62"/>
      <c r="L2" s="62"/>
      <c r="M2" s="62"/>
      <c r="N2" s="63"/>
    </row>
    <row r="3" spans="2:30" x14ac:dyDescent="0.2">
      <c r="E3" s="64"/>
      <c r="F3" s="65" t="s">
        <v>114</v>
      </c>
      <c r="G3" s="65"/>
      <c r="H3" s="65"/>
      <c r="I3" s="65"/>
      <c r="J3" s="65"/>
      <c r="K3" s="65"/>
      <c r="L3" s="65"/>
      <c r="M3" s="65"/>
      <c r="N3" s="66"/>
    </row>
    <row r="4" spans="2:30" x14ac:dyDescent="0.2">
      <c r="E4" s="64"/>
      <c r="F4" s="67"/>
      <c r="G4" s="67"/>
      <c r="H4" s="67"/>
      <c r="I4" s="67"/>
      <c r="J4" s="67"/>
      <c r="K4" s="67"/>
      <c r="L4" s="67"/>
      <c r="M4" s="67"/>
      <c r="N4" s="66"/>
    </row>
    <row r="5" spans="2:30" x14ac:dyDescent="0.2">
      <c r="E5" s="64"/>
      <c r="F5" s="67"/>
      <c r="G5" s="67"/>
      <c r="H5" s="67"/>
      <c r="I5" s="67"/>
      <c r="J5" s="67"/>
      <c r="K5" s="67"/>
      <c r="L5" s="67"/>
      <c r="M5" s="68" t="s">
        <v>27</v>
      </c>
      <c r="N5" s="66"/>
      <c r="V5" s="93"/>
    </row>
    <row r="6" spans="2:30" x14ac:dyDescent="0.2">
      <c r="E6" s="64"/>
      <c r="F6" s="67"/>
      <c r="G6" s="69" t="s">
        <v>17</v>
      </c>
      <c r="H6" s="68"/>
      <c r="I6" s="69" t="s">
        <v>28</v>
      </c>
      <c r="J6" s="68"/>
      <c r="K6" s="69" t="s">
        <v>29</v>
      </c>
      <c r="L6" s="68"/>
      <c r="M6" s="69" t="s">
        <v>30</v>
      </c>
      <c r="N6" s="66"/>
    </row>
    <row r="7" spans="2:30" x14ac:dyDescent="0.2">
      <c r="E7" s="64"/>
      <c r="F7" s="67"/>
      <c r="G7" s="70" t="s">
        <v>31</v>
      </c>
      <c r="H7" s="71"/>
      <c r="I7" s="67"/>
      <c r="J7" s="67"/>
      <c r="K7" s="67"/>
      <c r="L7" s="67"/>
      <c r="M7" s="67"/>
      <c r="N7" s="66"/>
    </row>
    <row r="8" spans="2:30" x14ac:dyDescent="0.2">
      <c r="E8" s="64"/>
      <c r="F8" s="67"/>
      <c r="G8" s="67"/>
      <c r="H8" s="67"/>
      <c r="I8" s="67"/>
      <c r="J8" s="67"/>
      <c r="K8" s="67"/>
      <c r="L8" s="67"/>
      <c r="M8" s="67"/>
      <c r="N8" s="66"/>
    </row>
    <row r="9" spans="2:30" ht="27.75" customHeight="1" thickBot="1" x14ac:dyDescent="0.25">
      <c r="B9" s="3" t="str">
        <f>+abbrev</f>
        <v>Mahoning's</v>
      </c>
      <c r="E9" s="64"/>
      <c r="F9" s="130" t="str">
        <f>+name</f>
        <v>Township of Mahoning Sewer and Water Systems Assets</v>
      </c>
      <c r="G9" s="72">
        <f>+U26/1000000</f>
        <v>1.9466832475</v>
      </c>
      <c r="H9" s="67"/>
      <c r="I9" s="73">
        <f>+U32</f>
        <v>2637</v>
      </c>
      <c r="J9" s="74"/>
      <c r="K9" s="73">
        <f>+U30</f>
        <v>4218</v>
      </c>
      <c r="L9" s="74"/>
      <c r="M9" s="75">
        <f>+K9/I9</f>
        <v>1.5995449374288964</v>
      </c>
      <c r="N9" s="66"/>
      <c r="Q9" s="76">
        <f>+M9/M21</f>
        <v>0.43771969475775174</v>
      </c>
      <c r="Y9" s="3" t="s">
        <v>28</v>
      </c>
      <c r="Z9" s="3" t="s">
        <v>29</v>
      </c>
    </row>
    <row r="10" spans="2:30" ht="15.75" thickTop="1" x14ac:dyDescent="0.25">
      <c r="E10" s="64"/>
      <c r="F10" s="67"/>
      <c r="G10" s="77"/>
      <c r="H10" s="77"/>
      <c r="I10" s="78"/>
      <c r="J10" s="78"/>
      <c r="K10" s="78"/>
      <c r="L10" s="78"/>
      <c r="M10" s="79"/>
      <c r="N10" s="66"/>
      <c r="Q10" s="76"/>
      <c r="AA10" s="127"/>
      <c r="AB10" s="146">
        <v>2017</v>
      </c>
      <c r="AC10" s="146">
        <v>2017</v>
      </c>
      <c r="AD10" s="127"/>
    </row>
    <row r="11" spans="2:30" ht="15.75" x14ac:dyDescent="0.25">
      <c r="E11" s="64"/>
      <c r="F11" s="80" t="s">
        <v>7</v>
      </c>
      <c r="G11" s="77"/>
      <c r="H11" s="77"/>
      <c r="I11" s="78"/>
      <c r="J11" s="78"/>
      <c r="K11" s="78"/>
      <c r="L11" s="78"/>
      <c r="M11" s="79"/>
      <c r="N11" s="66"/>
      <c r="Q11" s="76"/>
      <c r="V11" s="3" t="s">
        <v>107</v>
      </c>
      <c r="AA11" s="127"/>
      <c r="AB11" s="147" t="s">
        <v>102</v>
      </c>
      <c r="AC11" s="148" t="s">
        <v>28</v>
      </c>
      <c r="AD11" s="127"/>
    </row>
    <row r="12" spans="2:30" ht="15.75" x14ac:dyDescent="0.25">
      <c r="B12" s="44"/>
      <c r="C12" s="44"/>
      <c r="D12" s="44"/>
      <c r="E12" s="64"/>
      <c r="F12" s="67" t="s">
        <v>8</v>
      </c>
      <c r="G12" s="81">
        <f>+V12</f>
        <v>440.60299682617188</v>
      </c>
      <c r="H12" s="81"/>
      <c r="I12" s="74">
        <f>+Y12</f>
        <v>283223</v>
      </c>
      <c r="J12" s="74"/>
      <c r="K12" s="74">
        <f>+Z12</f>
        <v>1000000</v>
      </c>
      <c r="L12" s="74"/>
      <c r="M12" s="79">
        <f t="shared" ref="M12:M19" si="0">+K12/I12</f>
        <v>3.5307866945834201</v>
      </c>
      <c r="N12" s="66"/>
      <c r="Q12" s="76"/>
      <c r="T12" s="3" t="s">
        <v>8</v>
      </c>
      <c r="V12" s="3">
        <v>440.60299682617188</v>
      </c>
      <c r="Y12" s="54">
        <f>+AC12</f>
        <v>283223</v>
      </c>
      <c r="Z12" s="54">
        <f>+AB12</f>
        <v>1000000</v>
      </c>
      <c r="AA12" s="127"/>
      <c r="AB12" s="149">
        <v>1000000</v>
      </c>
      <c r="AC12" s="150">
        <v>283223</v>
      </c>
      <c r="AD12" s="127"/>
    </row>
    <row r="13" spans="2:30" ht="15.75" x14ac:dyDescent="0.25">
      <c r="B13" s="44"/>
      <c r="C13" s="44"/>
      <c r="E13" s="64"/>
      <c r="F13" s="67" t="s">
        <v>9</v>
      </c>
      <c r="G13" s="77">
        <f>+V13</f>
        <v>3357</v>
      </c>
      <c r="H13" s="77"/>
      <c r="I13" s="74">
        <f t="shared" ref="I13:I19" si="1">+Y13</f>
        <v>3353000</v>
      </c>
      <c r="J13" s="74"/>
      <c r="K13" s="74">
        <f t="shared" ref="K13:K19" si="2">+Z13</f>
        <v>15000000</v>
      </c>
      <c r="L13" s="74"/>
      <c r="M13" s="79">
        <f t="shared" si="0"/>
        <v>4.4736057262153297</v>
      </c>
      <c r="N13" s="66"/>
      <c r="Q13" s="76"/>
      <c r="T13" s="3" t="s">
        <v>49</v>
      </c>
      <c r="V13" s="3">
        <v>3357</v>
      </c>
      <c r="Y13" s="54">
        <f t="shared" ref="Y13:Y19" si="3">+AC13</f>
        <v>3353000</v>
      </c>
      <c r="Z13" s="54">
        <f t="shared" ref="Z13:Z19" si="4">+AB13</f>
        <v>15000000</v>
      </c>
      <c r="AA13" s="127"/>
      <c r="AB13" s="149">
        <v>15000000</v>
      </c>
      <c r="AC13" s="151">
        <v>3353000</v>
      </c>
      <c r="AD13" s="127"/>
    </row>
    <row r="14" spans="2:30" ht="15.75" x14ac:dyDescent="0.25">
      <c r="B14" s="44"/>
      <c r="C14" s="44"/>
      <c r="E14" s="64"/>
      <c r="F14" s="67" t="s">
        <v>10</v>
      </c>
      <c r="G14" s="77">
        <f t="shared" ref="G14:G19" si="5">+V14</f>
        <v>809.5250244140625</v>
      </c>
      <c r="H14" s="77"/>
      <c r="I14" s="74">
        <f t="shared" si="1"/>
        <v>982949</v>
      </c>
      <c r="J14" s="74"/>
      <c r="K14" s="74">
        <f t="shared" si="2"/>
        <v>3000000</v>
      </c>
      <c r="L14" s="74"/>
      <c r="M14" s="79">
        <f t="shared" si="0"/>
        <v>3.0520403398345182</v>
      </c>
      <c r="N14" s="66"/>
      <c r="Q14" s="76"/>
      <c r="T14" s="3" t="s">
        <v>10</v>
      </c>
      <c r="V14" s="3">
        <v>809.5250244140625</v>
      </c>
      <c r="Y14" s="54">
        <f t="shared" si="3"/>
        <v>982949</v>
      </c>
      <c r="Z14" s="54">
        <f t="shared" si="4"/>
        <v>3000000</v>
      </c>
      <c r="AA14" s="127"/>
      <c r="AB14" s="149">
        <v>3000000</v>
      </c>
      <c r="AC14" s="152">
        <v>982949</v>
      </c>
      <c r="AD14" s="127"/>
    </row>
    <row r="15" spans="2:30" ht="15" x14ac:dyDescent="0.25">
      <c r="B15" s="44"/>
      <c r="C15" s="44"/>
      <c r="E15" s="64"/>
      <c r="F15" s="67" t="s">
        <v>11</v>
      </c>
      <c r="G15" s="77">
        <f t="shared" si="5"/>
        <v>82.235000610351563</v>
      </c>
      <c r="H15" s="77"/>
      <c r="I15" s="74">
        <f t="shared" si="1"/>
        <v>86500</v>
      </c>
      <c r="J15" s="74"/>
      <c r="K15" s="74">
        <f t="shared" si="2"/>
        <v>290000</v>
      </c>
      <c r="L15" s="74"/>
      <c r="M15" s="79">
        <f t="shared" si="0"/>
        <v>3.352601156069364</v>
      </c>
      <c r="N15" s="66"/>
      <c r="Q15" s="76"/>
      <c r="T15" s="3" t="s">
        <v>50</v>
      </c>
      <c r="V15" s="3">
        <v>82.235000610351563</v>
      </c>
      <c r="Y15" s="54">
        <f t="shared" si="3"/>
        <v>86500</v>
      </c>
      <c r="Z15" s="54">
        <f t="shared" si="4"/>
        <v>290000</v>
      </c>
      <c r="AA15" s="127"/>
      <c r="AB15" s="149">
        <v>290000</v>
      </c>
      <c r="AC15" s="153">
        <v>86500</v>
      </c>
      <c r="AD15" s="127"/>
    </row>
    <row r="16" spans="2:30" ht="15.75" x14ac:dyDescent="0.25">
      <c r="B16" s="44"/>
      <c r="C16" s="44"/>
      <c r="E16" s="64"/>
      <c r="F16" s="67" t="s">
        <v>12</v>
      </c>
      <c r="G16" s="77">
        <f t="shared" si="5"/>
        <v>666.8900146484375</v>
      </c>
      <c r="H16" s="77"/>
      <c r="I16" s="74">
        <f t="shared" si="1"/>
        <v>514300</v>
      </c>
      <c r="J16" s="74"/>
      <c r="K16" s="74">
        <f t="shared" si="2"/>
        <v>2000000</v>
      </c>
      <c r="L16" s="74"/>
      <c r="M16" s="79">
        <f t="shared" si="0"/>
        <v>3.8887808671981334</v>
      </c>
      <c r="N16" s="66"/>
      <c r="Q16" s="76"/>
      <c r="T16" s="3" t="s">
        <v>51</v>
      </c>
      <c r="V16" s="3">
        <v>666.8900146484375</v>
      </c>
      <c r="Y16" s="54">
        <f t="shared" si="3"/>
        <v>514300</v>
      </c>
      <c r="Z16" s="54">
        <f t="shared" si="4"/>
        <v>2000000</v>
      </c>
      <c r="AA16" s="127"/>
      <c r="AB16" s="149">
        <v>2000000</v>
      </c>
      <c r="AC16" s="152">
        <v>514300</v>
      </c>
      <c r="AD16" s="127"/>
    </row>
    <row r="17" spans="2:30" ht="15.75" x14ac:dyDescent="0.25">
      <c r="B17" s="44"/>
      <c r="C17" s="44"/>
      <c r="E17" s="64"/>
      <c r="F17" s="67" t="s">
        <v>13</v>
      </c>
      <c r="G17" s="77">
        <f t="shared" si="5"/>
        <v>130.77499389648438</v>
      </c>
      <c r="H17" s="67"/>
      <c r="I17" s="74">
        <f t="shared" si="1"/>
        <v>114920</v>
      </c>
      <c r="J17" s="74"/>
      <c r="K17" s="74">
        <f t="shared" si="2"/>
        <v>412000</v>
      </c>
      <c r="L17" s="67"/>
      <c r="M17" s="79">
        <f t="shared" si="0"/>
        <v>3.5851026801253045</v>
      </c>
      <c r="N17" s="66"/>
      <c r="Q17" s="76"/>
      <c r="T17" s="3" t="s">
        <v>13</v>
      </c>
      <c r="V17" s="3">
        <v>130.77499389648438</v>
      </c>
      <c r="Y17" s="54">
        <f t="shared" si="3"/>
        <v>114920</v>
      </c>
      <c r="Z17" s="54">
        <f t="shared" si="4"/>
        <v>412000</v>
      </c>
      <c r="AA17" s="127"/>
      <c r="AB17" s="149">
        <v>412000</v>
      </c>
      <c r="AC17" s="154">
        <v>114920</v>
      </c>
      <c r="AD17" s="127"/>
    </row>
    <row r="18" spans="2:30" ht="15.75" x14ac:dyDescent="0.25">
      <c r="B18" s="44"/>
      <c r="C18" s="44"/>
      <c r="E18" s="64"/>
      <c r="F18" s="67" t="s">
        <v>14</v>
      </c>
      <c r="G18" s="77">
        <f t="shared" si="5"/>
        <v>389.22500610351563</v>
      </c>
      <c r="H18" s="67"/>
      <c r="I18" s="74">
        <f t="shared" si="1"/>
        <v>244133</v>
      </c>
      <c r="J18" s="74"/>
      <c r="K18" s="74">
        <f t="shared" si="2"/>
        <v>1100200</v>
      </c>
      <c r="L18" s="67"/>
      <c r="M18" s="79">
        <f t="shared" si="0"/>
        <v>4.5065599488803239</v>
      </c>
      <c r="N18" s="66"/>
      <c r="Q18" s="76"/>
      <c r="T18" s="3" t="s">
        <v>52</v>
      </c>
      <c r="V18" s="3">
        <v>389.22500610351563</v>
      </c>
      <c r="Y18" s="54">
        <f t="shared" si="3"/>
        <v>244133</v>
      </c>
      <c r="Z18" s="54">
        <f t="shared" si="4"/>
        <v>1100200</v>
      </c>
      <c r="AA18" s="127"/>
      <c r="AB18" s="153">
        <v>1100200</v>
      </c>
      <c r="AC18" s="154">
        <v>244133</v>
      </c>
      <c r="AD18" s="127"/>
    </row>
    <row r="19" spans="2:30" ht="15.75" x14ac:dyDescent="0.25">
      <c r="B19" s="44"/>
      <c r="C19" s="44"/>
      <c r="E19" s="64"/>
      <c r="F19" s="67" t="s">
        <v>15</v>
      </c>
      <c r="G19" s="77">
        <f t="shared" si="5"/>
        <v>48.589000701904297</v>
      </c>
      <c r="H19" s="67"/>
      <c r="I19" s="74">
        <f t="shared" si="1"/>
        <v>69604</v>
      </c>
      <c r="J19" s="74"/>
      <c r="K19" s="74">
        <f t="shared" si="2"/>
        <v>198000</v>
      </c>
      <c r="L19" s="67"/>
      <c r="M19" s="79">
        <f t="shared" si="0"/>
        <v>2.8446640997643815</v>
      </c>
      <c r="N19" s="66"/>
      <c r="Q19" s="76"/>
      <c r="T19" s="3" t="s">
        <v>53</v>
      </c>
      <c r="V19" s="3">
        <v>48.589000701904297</v>
      </c>
      <c r="Y19" s="54">
        <f t="shared" si="3"/>
        <v>69604</v>
      </c>
      <c r="Z19" s="54">
        <f t="shared" si="4"/>
        <v>198000</v>
      </c>
      <c r="AA19" s="127"/>
      <c r="AB19" s="149">
        <v>198000</v>
      </c>
      <c r="AC19" s="150">
        <v>69604</v>
      </c>
      <c r="AD19" s="127"/>
    </row>
    <row r="20" spans="2:30" x14ac:dyDescent="0.2">
      <c r="B20" s="44"/>
      <c r="C20" s="44"/>
      <c r="E20" s="64"/>
      <c r="F20" s="67"/>
      <c r="G20" s="82"/>
      <c r="H20" s="67"/>
      <c r="I20" s="82"/>
      <c r="J20" s="67"/>
      <c r="K20" s="82"/>
      <c r="L20" s="67"/>
      <c r="M20" s="82"/>
      <c r="N20" s="66"/>
      <c r="Q20" s="76"/>
      <c r="AA20" s="127"/>
      <c r="AB20" s="127"/>
      <c r="AC20" s="127"/>
      <c r="AD20" s="127"/>
    </row>
    <row r="21" spans="2:30" ht="13.5" thickBot="1" x14ac:dyDescent="0.25">
      <c r="E21" s="64"/>
      <c r="F21" s="94" t="s">
        <v>54</v>
      </c>
      <c r="G21" s="72">
        <f>MEDIAN(G12:G19)</f>
        <v>414.91400146484375</v>
      </c>
      <c r="H21" s="67"/>
      <c r="I21" s="73">
        <f>MEDIAN(I12:I19)</f>
        <v>263678</v>
      </c>
      <c r="J21" s="74"/>
      <c r="K21" s="73">
        <f>MEDIAN(K12:K19)</f>
        <v>1050100</v>
      </c>
      <c r="L21" s="74"/>
      <c r="M21" s="75">
        <f t="shared" ref="M21" si="6">AVERAGE(M12:M19)</f>
        <v>3.6542676890838468</v>
      </c>
      <c r="N21" s="66"/>
      <c r="Q21" s="83"/>
      <c r="AA21" s="127"/>
      <c r="AB21" s="127"/>
      <c r="AC21" s="127"/>
      <c r="AD21" s="127"/>
    </row>
    <row r="22" spans="2:30" ht="14.25" thickTop="1" thickBot="1" x14ac:dyDescent="0.25">
      <c r="E22" s="84"/>
      <c r="F22" s="85"/>
      <c r="G22" s="85"/>
      <c r="H22" s="85"/>
      <c r="I22" s="85"/>
      <c r="J22" s="85"/>
      <c r="K22" s="85"/>
      <c r="L22" s="85"/>
      <c r="M22" s="85"/>
      <c r="N22" s="86"/>
      <c r="T22" s="3" t="s">
        <v>105</v>
      </c>
      <c r="AA22" s="127"/>
      <c r="AB22" s="127"/>
      <c r="AC22" s="127"/>
      <c r="AD22" s="127"/>
    </row>
    <row r="23" spans="2:30" x14ac:dyDescent="0.2">
      <c r="T23" s="3" t="s">
        <v>55</v>
      </c>
      <c r="U23" s="3">
        <v>5675460</v>
      </c>
    </row>
    <row r="24" spans="2:30" x14ac:dyDescent="0.2">
      <c r="T24" s="3" t="s">
        <v>56</v>
      </c>
      <c r="U24" s="3">
        <v>10225921</v>
      </c>
    </row>
    <row r="25" spans="2:30" x14ac:dyDescent="0.2">
      <c r="T25" s="3" t="s">
        <v>57</v>
      </c>
      <c r="U25" s="3">
        <v>6741997</v>
      </c>
    </row>
    <row r="26" spans="2:30" x14ac:dyDescent="0.2">
      <c r="T26" s="3" t="s">
        <v>17</v>
      </c>
      <c r="U26" s="3">
        <v>1946683.2475000001</v>
      </c>
    </row>
    <row r="27" spans="2:30" x14ac:dyDescent="0.2">
      <c r="T27" s="3" t="s">
        <v>18</v>
      </c>
      <c r="U27" s="3">
        <v>-21875.95250000013</v>
      </c>
    </row>
    <row r="28" spans="2:30" x14ac:dyDescent="0.2">
      <c r="T28" s="3" t="s">
        <v>19</v>
      </c>
      <c r="U28" s="3">
        <v>-153096.95250000013</v>
      </c>
    </row>
    <row r="29" spans="2:30" x14ac:dyDescent="0.2">
      <c r="T29" s="3" t="s">
        <v>28</v>
      </c>
      <c r="U29" s="3">
        <v>2637</v>
      </c>
    </row>
    <row r="30" spans="2:30" x14ac:dyDescent="0.2">
      <c r="T30" s="3" t="s">
        <v>29</v>
      </c>
      <c r="U30" s="3">
        <v>4218</v>
      </c>
    </row>
    <row r="32" spans="2:30" x14ac:dyDescent="0.2">
      <c r="T32" s="3" t="s">
        <v>28</v>
      </c>
      <c r="U32" s="3">
        <f>+U29</f>
        <v>2637</v>
      </c>
    </row>
    <row r="39" spans="29:30" ht="15" x14ac:dyDescent="0.25">
      <c r="AC39">
        <v>2016</v>
      </c>
      <c r="AD39">
        <v>2016</v>
      </c>
    </row>
    <row r="40" spans="29:30" ht="15.75" x14ac:dyDescent="0.25">
      <c r="AC40" s="135" t="s">
        <v>102</v>
      </c>
      <c r="AD40" s="136" t="s">
        <v>28</v>
      </c>
    </row>
    <row r="41" spans="29:30" ht="15.75" x14ac:dyDescent="0.25">
      <c r="AC41" s="137">
        <v>1000000</v>
      </c>
      <c r="AD41" s="138">
        <v>284942</v>
      </c>
    </row>
    <row r="42" spans="29:30" ht="15.75" x14ac:dyDescent="0.25">
      <c r="AC42" s="137">
        <v>12200000</v>
      </c>
      <c r="AD42" s="139">
        <v>3312000</v>
      </c>
    </row>
    <row r="43" spans="29:30" ht="15.75" x14ac:dyDescent="0.25">
      <c r="AC43" s="137">
        <v>3053800</v>
      </c>
      <c r="AD43" s="140">
        <v>972265</v>
      </c>
    </row>
    <row r="44" spans="29:30" ht="15" x14ac:dyDescent="0.25">
      <c r="AC44" s="137">
        <v>314300</v>
      </c>
      <c r="AD44" s="141">
        <v>85000</v>
      </c>
    </row>
    <row r="45" spans="29:30" ht="15.75" x14ac:dyDescent="0.25">
      <c r="AC45" s="137">
        <v>2000000</v>
      </c>
      <c r="AD45" s="140">
        <v>511500</v>
      </c>
    </row>
    <row r="46" spans="29:30" ht="15.75" x14ac:dyDescent="0.25">
      <c r="AC46" s="137">
        <v>400000</v>
      </c>
      <c r="AD46" s="139">
        <v>124968</v>
      </c>
    </row>
    <row r="47" spans="29:30" ht="15.75" x14ac:dyDescent="0.25">
      <c r="AC47" s="137">
        <v>400000</v>
      </c>
      <c r="AD47" s="142">
        <v>109300</v>
      </c>
    </row>
    <row r="48" spans="29:30" ht="15.75" x14ac:dyDescent="0.25">
      <c r="AC48" s="141">
        <v>1092600</v>
      </c>
      <c r="AD48" s="142">
        <v>242421</v>
      </c>
    </row>
    <row r="49" spans="29:30" ht="15.75" x14ac:dyDescent="0.25">
      <c r="AC49" s="137">
        <v>196000</v>
      </c>
      <c r="AD49" s="138">
        <v>67052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9"/>
  <sheetViews>
    <sheetView topLeftCell="A40" workbookViewId="0">
      <selection activeCell="V17" sqref="V17:AE48"/>
    </sheetView>
  </sheetViews>
  <sheetFormatPr defaultColWidth="12.5703125" defaultRowHeight="15" x14ac:dyDescent="0.25"/>
  <cols>
    <col min="1" max="16384" width="12.5703125" style="87"/>
  </cols>
  <sheetData>
    <row r="2" spans="1:17" ht="60" x14ac:dyDescent="0.25">
      <c r="A2" s="87" t="s">
        <v>32</v>
      </c>
      <c r="C2" s="95" t="s">
        <v>107</v>
      </c>
      <c r="D2" s="95" t="s">
        <v>94</v>
      </c>
      <c r="E2" s="95" t="s">
        <v>70</v>
      </c>
      <c r="F2" s="95" t="s">
        <v>73</v>
      </c>
      <c r="G2" s="95" t="s">
        <v>76</v>
      </c>
      <c r="H2" s="95" t="s">
        <v>108</v>
      </c>
      <c r="I2" s="95" t="s">
        <v>95</v>
      </c>
      <c r="J2" s="95" t="s">
        <v>71</v>
      </c>
      <c r="K2" s="95" t="s">
        <v>74</v>
      </c>
      <c r="L2" s="95" t="s">
        <v>77</v>
      </c>
      <c r="M2" s="95" t="s">
        <v>109</v>
      </c>
      <c r="N2" s="95" t="s">
        <v>96</v>
      </c>
      <c r="O2" s="95" t="s">
        <v>72</v>
      </c>
      <c r="P2" s="95" t="s">
        <v>75</v>
      </c>
      <c r="Q2" s="95" t="s">
        <v>78</v>
      </c>
    </row>
    <row r="3" spans="1:17" x14ac:dyDescent="0.25">
      <c r="A3" s="87">
        <v>0</v>
      </c>
      <c r="C3" s="87">
        <v>0</v>
      </c>
      <c r="D3" s="87">
        <v>0</v>
      </c>
      <c r="E3" s="87">
        <v>0</v>
      </c>
      <c r="F3" s="87">
        <v>0</v>
      </c>
      <c r="G3" s="87">
        <v>0</v>
      </c>
      <c r="H3" s="87">
        <v>0</v>
      </c>
      <c r="I3" s="87">
        <v>0</v>
      </c>
      <c r="J3" s="87">
        <v>0</v>
      </c>
      <c r="K3" s="87">
        <v>0</v>
      </c>
      <c r="L3" s="87">
        <v>0</v>
      </c>
      <c r="M3" s="87">
        <v>0</v>
      </c>
      <c r="N3" s="87">
        <v>0</v>
      </c>
      <c r="O3" s="87">
        <v>0</v>
      </c>
      <c r="P3" s="87">
        <v>0</v>
      </c>
      <c r="Q3" s="87">
        <v>0</v>
      </c>
    </row>
    <row r="4" spans="1:17" x14ac:dyDescent="0.25">
      <c r="A4" s="87">
        <v>0</v>
      </c>
      <c r="C4" s="87">
        <v>0</v>
      </c>
      <c r="D4" s="87">
        <v>0</v>
      </c>
      <c r="E4" s="87">
        <v>0</v>
      </c>
      <c r="F4" s="87">
        <v>0</v>
      </c>
      <c r="G4" s="87">
        <v>0</v>
      </c>
      <c r="H4" s="87">
        <v>0</v>
      </c>
      <c r="I4" s="87">
        <v>0</v>
      </c>
      <c r="J4" s="87">
        <v>0</v>
      </c>
      <c r="K4" s="87">
        <v>0</v>
      </c>
      <c r="L4" s="87">
        <v>0</v>
      </c>
      <c r="M4" s="87">
        <v>0</v>
      </c>
      <c r="N4" s="87">
        <v>0</v>
      </c>
      <c r="O4" s="87">
        <v>0</v>
      </c>
      <c r="P4" s="87">
        <v>0</v>
      </c>
      <c r="Q4" s="87">
        <v>0</v>
      </c>
    </row>
    <row r="5" spans="1:17" x14ac:dyDescent="0.25">
      <c r="A5" s="87">
        <v>0</v>
      </c>
      <c r="C5" s="87">
        <v>0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  <c r="I5" s="87">
        <v>0</v>
      </c>
      <c r="J5" s="87">
        <v>0</v>
      </c>
      <c r="K5" s="87">
        <v>0</v>
      </c>
      <c r="L5" s="87">
        <v>0</v>
      </c>
      <c r="M5" s="87">
        <v>0</v>
      </c>
      <c r="N5" s="87">
        <v>0</v>
      </c>
      <c r="O5" s="87">
        <v>0</v>
      </c>
      <c r="P5" s="87">
        <v>0</v>
      </c>
      <c r="Q5" s="87">
        <v>0</v>
      </c>
    </row>
    <row r="6" spans="1:17" x14ac:dyDescent="0.25">
      <c r="A6" s="87">
        <v>0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0</v>
      </c>
      <c r="J6" s="87">
        <v>0</v>
      </c>
      <c r="K6" s="87">
        <v>0</v>
      </c>
      <c r="L6" s="87">
        <v>0</v>
      </c>
      <c r="M6" s="87">
        <v>0</v>
      </c>
      <c r="N6" s="87">
        <v>0</v>
      </c>
      <c r="O6" s="87">
        <v>0</v>
      </c>
      <c r="P6" s="87">
        <v>0</v>
      </c>
      <c r="Q6" s="87">
        <v>0</v>
      </c>
    </row>
    <row r="7" spans="1:17" x14ac:dyDescent="0.25">
      <c r="A7" s="87">
        <v>0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  <row r="8" spans="1:17" x14ac:dyDescent="0.25">
      <c r="A8" s="87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</row>
    <row r="9" spans="1:17" x14ac:dyDescent="0.25">
      <c r="A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7">
        <v>0</v>
      </c>
    </row>
    <row r="10" spans="1:17" x14ac:dyDescent="0.25">
      <c r="A10" s="87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</row>
    <row r="16" spans="1:17" x14ac:dyDescent="0.25">
      <c r="A16" s="134">
        <v>43240</v>
      </c>
      <c r="B16" s="96"/>
    </row>
    <row r="17" spans="1:31" x14ac:dyDescent="0.25">
      <c r="V17" s="3"/>
      <c r="W17" s="24" t="s">
        <v>17</v>
      </c>
      <c r="X17" s="25"/>
      <c r="Y17" s="25"/>
      <c r="Z17" s="26"/>
      <c r="AA17" s="3"/>
      <c r="AB17" s="24" t="s">
        <v>18</v>
      </c>
      <c r="AC17" s="25"/>
      <c r="AD17" s="25"/>
      <c r="AE17" s="26"/>
    </row>
    <row r="18" spans="1:31" x14ac:dyDescent="0.25">
      <c r="V18" s="3"/>
      <c r="W18" s="132">
        <v>2017</v>
      </c>
      <c r="X18" s="28">
        <f>+W18-1</f>
        <v>2016</v>
      </c>
      <c r="Y18" s="28">
        <f t="shared" ref="Y18:Z18" si="0">+X18-1</f>
        <v>2015</v>
      </c>
      <c r="Z18" s="28">
        <f t="shared" si="0"/>
        <v>2014</v>
      </c>
      <c r="AA18" s="3"/>
      <c r="AB18" s="28">
        <f>+W18</f>
        <v>2017</v>
      </c>
      <c r="AC18" s="28">
        <f>+AB18-1</f>
        <v>2016</v>
      </c>
      <c r="AD18" s="28">
        <f t="shared" ref="AD18:AE18" si="1">+AC18-1</f>
        <v>2015</v>
      </c>
      <c r="AE18" s="28">
        <f t="shared" si="1"/>
        <v>2014</v>
      </c>
    </row>
    <row r="19" spans="1:31" x14ac:dyDescent="0.25">
      <c r="V19" s="3"/>
      <c r="W19" s="41" t="s">
        <v>6</v>
      </c>
      <c r="X19" s="2"/>
      <c r="Y19" s="2"/>
      <c r="Z19" s="2"/>
      <c r="AA19" s="3"/>
      <c r="AB19" s="41" t="s">
        <v>6</v>
      </c>
      <c r="AC19" s="2"/>
      <c r="AD19" s="2"/>
      <c r="AE19" s="2"/>
    </row>
    <row r="20" spans="1:31" x14ac:dyDescent="0.25"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5">
      <c r="V21" s="3" t="s">
        <v>101</v>
      </c>
      <c r="W21" s="42">
        <f>ROUND(AP29/1000000,3)</f>
        <v>0</v>
      </c>
      <c r="X21" s="42">
        <f t="shared" ref="X21:Z21" si="2">ROUND(AQ29/1000000,3)</f>
        <v>0</v>
      </c>
      <c r="Y21" s="42">
        <f t="shared" si="2"/>
        <v>0</v>
      </c>
      <c r="Z21" s="42">
        <f t="shared" si="2"/>
        <v>0</v>
      </c>
      <c r="AA21" s="3"/>
      <c r="AB21" s="42">
        <f>ROUND(AP30/1000000,3)</f>
        <v>0</v>
      </c>
      <c r="AC21" s="42">
        <f t="shared" ref="AC21:AE21" si="3">ROUND(AQ30/1000000,3)</f>
        <v>0</v>
      </c>
      <c r="AD21" s="42">
        <f t="shared" si="3"/>
        <v>0</v>
      </c>
      <c r="AE21" s="42">
        <f t="shared" si="3"/>
        <v>0</v>
      </c>
    </row>
    <row r="22" spans="1:31" x14ac:dyDescent="0.25"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60" x14ac:dyDescent="0.25">
      <c r="A23" s="87" t="s">
        <v>32</v>
      </c>
      <c r="C23" s="95" t="s">
        <v>107</v>
      </c>
      <c r="D23" s="95" t="s">
        <v>94</v>
      </c>
      <c r="E23" s="95" t="s">
        <v>70</v>
      </c>
      <c r="F23" s="95" t="s">
        <v>73</v>
      </c>
      <c r="G23" s="95" t="s">
        <v>76</v>
      </c>
      <c r="H23" s="95" t="s">
        <v>108</v>
      </c>
      <c r="I23" s="95" t="s">
        <v>95</v>
      </c>
      <c r="J23" s="95" t="s">
        <v>71</v>
      </c>
      <c r="K23" s="95" t="s">
        <v>74</v>
      </c>
      <c r="L23" s="95" t="s">
        <v>77</v>
      </c>
      <c r="M23" s="95" t="s">
        <v>109</v>
      </c>
      <c r="N23" s="95" t="s">
        <v>96</v>
      </c>
      <c r="O23" s="95" t="s">
        <v>72</v>
      </c>
      <c r="P23" s="95" t="s">
        <v>75</v>
      </c>
      <c r="Q23" s="95" t="s">
        <v>78</v>
      </c>
      <c r="V23" s="43" t="s">
        <v>7</v>
      </c>
      <c r="W23" s="44"/>
      <c r="X23" s="44"/>
      <c r="Y23" s="44"/>
      <c r="Z23" s="44"/>
      <c r="AA23" s="3"/>
      <c r="AB23" s="44"/>
      <c r="AC23" s="44"/>
      <c r="AD23" s="44"/>
      <c r="AE23" s="44"/>
    </row>
    <row r="24" spans="1:31" x14ac:dyDescent="0.25">
      <c r="A24" s="87" t="s">
        <v>33</v>
      </c>
      <c r="C24" s="87">
        <v>440.60299682617188</v>
      </c>
      <c r="D24" s="87">
        <v>436.08700561523438</v>
      </c>
      <c r="E24" s="87">
        <v>458.6409912109375</v>
      </c>
      <c r="F24" s="87">
        <v>465.79098510742188</v>
      </c>
      <c r="G24" s="87">
        <v>472.07699584960938</v>
      </c>
      <c r="H24" s="87">
        <v>157.78900146484375</v>
      </c>
      <c r="I24" s="87">
        <v>153.56599426269531</v>
      </c>
      <c r="J24" s="87">
        <v>160.52200317382813</v>
      </c>
      <c r="K24" s="87">
        <v>160.06300354003906</v>
      </c>
      <c r="L24" s="87">
        <v>159.16000366210938</v>
      </c>
      <c r="M24" s="87">
        <v>118.75800323486328</v>
      </c>
      <c r="N24" s="87">
        <v>114.71600341796875</v>
      </c>
      <c r="O24" s="87">
        <v>118.48899841308594</v>
      </c>
      <c r="P24" s="87">
        <v>118.98999786376953</v>
      </c>
      <c r="Q24" s="87">
        <v>119.06999969482422</v>
      </c>
      <c r="V24" s="3" t="s">
        <v>8</v>
      </c>
      <c r="W24" s="42">
        <f t="shared" ref="W24" si="4">+C24</f>
        <v>440.60299682617188</v>
      </c>
      <c r="X24" s="42">
        <f t="shared" ref="X24:X31" si="5">+D24</f>
        <v>436.08700561523438</v>
      </c>
      <c r="Y24" s="42">
        <f t="shared" ref="Y24:Y31" si="6">+E24</f>
        <v>458.6409912109375</v>
      </c>
      <c r="Z24" s="42">
        <f t="shared" ref="Z24:Z31" si="7">+F24</f>
        <v>465.79098510742188</v>
      </c>
      <c r="AA24" s="42"/>
      <c r="AB24" s="42">
        <f>+H24</f>
        <v>157.78900146484375</v>
      </c>
      <c r="AC24" s="42">
        <f t="shared" ref="AC24:AE24" si="8">+I24</f>
        <v>153.56599426269531</v>
      </c>
      <c r="AD24" s="42">
        <f t="shared" si="8"/>
        <v>160.52200317382813</v>
      </c>
      <c r="AE24" s="42">
        <f t="shared" si="8"/>
        <v>160.06300354003906</v>
      </c>
    </row>
    <row r="25" spans="1:31" x14ac:dyDescent="0.25">
      <c r="A25" s="87" t="s">
        <v>34</v>
      </c>
      <c r="C25" s="87">
        <v>3357</v>
      </c>
      <c r="D25" s="87">
        <v>3302</v>
      </c>
      <c r="E25" s="87">
        <v>3159</v>
      </c>
      <c r="F25" s="87">
        <v>3011.327880859375</v>
      </c>
      <c r="G25" s="87">
        <v>2901.85791015625</v>
      </c>
      <c r="H25" s="87">
        <v>1714</v>
      </c>
      <c r="I25" s="87">
        <v>1615</v>
      </c>
      <c r="J25" s="87">
        <v>1515</v>
      </c>
      <c r="K25" s="87">
        <v>1438.1099853515625</v>
      </c>
      <c r="L25" s="87">
        <v>1353.5670166015625</v>
      </c>
      <c r="M25" s="87">
        <v>1222</v>
      </c>
      <c r="N25" s="87">
        <v>1145</v>
      </c>
      <c r="O25" s="87">
        <v>1075</v>
      </c>
      <c r="P25" s="87">
        <v>1014.0260009765625</v>
      </c>
      <c r="Q25" s="87">
        <v>945.8489990234375</v>
      </c>
      <c r="V25" s="3" t="s">
        <v>9</v>
      </c>
      <c r="W25" s="44">
        <f>+C25</f>
        <v>3357</v>
      </c>
      <c r="X25" s="44">
        <f t="shared" si="5"/>
        <v>3302</v>
      </c>
      <c r="Y25" s="44">
        <f t="shared" si="6"/>
        <v>3159</v>
      </c>
      <c r="Z25" s="44">
        <f t="shared" si="7"/>
        <v>3011.327880859375</v>
      </c>
      <c r="AA25" s="44"/>
      <c r="AB25" s="44">
        <v>1306.4759521484375</v>
      </c>
      <c r="AC25" s="44">
        <v>1154.95703125</v>
      </c>
      <c r="AD25" s="44">
        <v>1102.740966796875</v>
      </c>
      <c r="AE25" s="44">
        <v>917.8489990234375</v>
      </c>
    </row>
    <row r="26" spans="1:31" x14ac:dyDescent="0.25">
      <c r="A26" s="87" t="s">
        <v>35</v>
      </c>
      <c r="C26" s="87">
        <v>809.5250244140625</v>
      </c>
      <c r="D26" s="87">
        <v>819.875</v>
      </c>
      <c r="E26" s="87">
        <v>814.2039794921875</v>
      </c>
      <c r="F26" s="87">
        <v>779.90301513671875</v>
      </c>
      <c r="G26" s="87">
        <v>768.64300537109375</v>
      </c>
      <c r="H26" s="87">
        <v>465.26901245117188</v>
      </c>
      <c r="I26" s="87">
        <v>456.57199096679688</v>
      </c>
      <c r="J26" s="87">
        <v>446.3900146484375</v>
      </c>
      <c r="K26" s="87">
        <v>437.41299438476563</v>
      </c>
      <c r="L26" s="87">
        <v>424.5</v>
      </c>
      <c r="M26" s="87">
        <v>328.96701049804688</v>
      </c>
      <c r="N26" s="87">
        <v>325.58499145507813</v>
      </c>
      <c r="O26" s="87">
        <v>321.10000610351563</v>
      </c>
      <c r="P26" s="87">
        <v>314.3590087890625</v>
      </c>
      <c r="Q26" s="87">
        <v>305.24200439453125</v>
      </c>
      <c r="V26" s="3" t="s">
        <v>10</v>
      </c>
      <c r="W26" s="44">
        <f t="shared" ref="W26:W31" si="9">+C26</f>
        <v>809.5250244140625</v>
      </c>
      <c r="X26" s="44">
        <f t="shared" si="5"/>
        <v>819.875</v>
      </c>
      <c r="Y26" s="44">
        <f t="shared" si="6"/>
        <v>814.2039794921875</v>
      </c>
      <c r="Z26" s="44">
        <f t="shared" si="7"/>
        <v>779.90301513671875</v>
      </c>
      <c r="AA26" s="44"/>
      <c r="AB26" s="44">
        <v>433.28399658203125</v>
      </c>
      <c r="AC26" s="44">
        <v>387.42300415039063</v>
      </c>
      <c r="AD26" s="44">
        <v>380.13699340820313</v>
      </c>
      <c r="AE26" s="44">
        <v>340.45999145507813</v>
      </c>
    </row>
    <row r="27" spans="1:31" x14ac:dyDescent="0.25">
      <c r="A27" s="87" t="s">
        <v>36</v>
      </c>
      <c r="C27" s="87">
        <v>82.235000610351563</v>
      </c>
      <c r="D27" s="87">
        <v>79.088996887207031</v>
      </c>
      <c r="E27" s="87">
        <v>77.024002075195313</v>
      </c>
      <c r="F27" s="87">
        <v>72.464996337890625</v>
      </c>
      <c r="G27" s="87">
        <v>69.072998046875</v>
      </c>
      <c r="H27" s="87">
        <v>36.450000762939453</v>
      </c>
      <c r="I27" s="87">
        <v>36.338001251220703</v>
      </c>
      <c r="J27" s="87">
        <v>34.202999114990234</v>
      </c>
      <c r="K27" s="87">
        <v>31.093999862670898</v>
      </c>
      <c r="L27" s="87">
        <v>28.322999954223633</v>
      </c>
      <c r="M27" s="87">
        <v>26.895000457763672</v>
      </c>
      <c r="N27" s="87">
        <v>27.149999618530273</v>
      </c>
      <c r="O27" s="87">
        <v>25.365999221801758</v>
      </c>
      <c r="P27" s="87">
        <v>22.420999526977539</v>
      </c>
      <c r="Q27" s="87">
        <v>20.072000503540039</v>
      </c>
      <c r="V27" s="3" t="s">
        <v>11</v>
      </c>
      <c r="W27" s="44">
        <f t="shared" si="9"/>
        <v>82.235000610351563</v>
      </c>
      <c r="X27" s="44">
        <f t="shared" si="5"/>
        <v>79.088996887207031</v>
      </c>
      <c r="Y27" s="44">
        <f t="shared" si="6"/>
        <v>77.024002075195313</v>
      </c>
      <c r="Z27" s="44">
        <f t="shared" si="7"/>
        <v>72.464996337890625</v>
      </c>
      <c r="AA27" s="44"/>
      <c r="AB27" s="44">
        <v>30.400999069213867</v>
      </c>
      <c r="AC27" s="44">
        <v>25.799999237060547</v>
      </c>
      <c r="AD27" s="44">
        <v>26.381999969482422</v>
      </c>
      <c r="AE27" s="44">
        <v>25.061000823974609</v>
      </c>
    </row>
    <row r="28" spans="1:31" x14ac:dyDescent="0.25">
      <c r="A28" s="87" t="s">
        <v>37</v>
      </c>
      <c r="C28" s="87">
        <v>666.8900146484375</v>
      </c>
      <c r="D28" s="87">
        <v>609.3699951171875</v>
      </c>
      <c r="E28" s="87">
        <v>588.36798095703125</v>
      </c>
      <c r="F28" s="87">
        <v>597.4990234375</v>
      </c>
      <c r="G28" s="87">
        <v>584.10302734375</v>
      </c>
      <c r="H28" s="87">
        <v>200.33399963378906</v>
      </c>
      <c r="I28" s="87">
        <v>164.59700012207031</v>
      </c>
      <c r="J28" s="87">
        <v>157.06199645996094</v>
      </c>
      <c r="K28" s="87">
        <v>169.79100036621094</v>
      </c>
      <c r="L28" s="87">
        <v>151.37199401855469</v>
      </c>
      <c r="M28" s="87">
        <v>123.55100250244141</v>
      </c>
      <c r="N28" s="87">
        <v>100.99800109863281</v>
      </c>
      <c r="O28" s="87">
        <v>95.680999755859375</v>
      </c>
      <c r="P28" s="87">
        <v>108.57399749755859</v>
      </c>
      <c r="Q28" s="87">
        <v>93.052001953125</v>
      </c>
      <c r="V28" s="3" t="s">
        <v>12</v>
      </c>
      <c r="W28" s="44">
        <f t="shared" si="9"/>
        <v>666.8900146484375</v>
      </c>
      <c r="X28" s="44">
        <f t="shared" si="5"/>
        <v>609.3699951171875</v>
      </c>
      <c r="Y28" s="44">
        <f t="shared" si="6"/>
        <v>588.36798095703125</v>
      </c>
      <c r="Z28" s="44">
        <f t="shared" si="7"/>
        <v>597.4990234375</v>
      </c>
      <c r="AA28" s="44"/>
      <c r="AB28" s="44">
        <v>147.86700439453125</v>
      </c>
      <c r="AC28" s="44">
        <v>140.57699584960938</v>
      </c>
      <c r="AD28" s="44">
        <v>127.70999908447266</v>
      </c>
      <c r="AE28" s="44">
        <v>122.70899963378906</v>
      </c>
    </row>
    <row r="29" spans="1:31" x14ac:dyDescent="0.25">
      <c r="A29" s="87" t="s">
        <v>38</v>
      </c>
      <c r="C29" s="87">
        <v>130.77499389648438</v>
      </c>
      <c r="D29" s="87">
        <v>132.906005859375</v>
      </c>
      <c r="E29" s="87">
        <v>126.02500152587891</v>
      </c>
      <c r="F29" s="87">
        <v>117.13899993896484</v>
      </c>
      <c r="G29" s="87">
        <v>114.84600067138672</v>
      </c>
      <c r="H29" s="87">
        <v>52.541999816894531</v>
      </c>
      <c r="I29" s="87">
        <v>53.428001403808594</v>
      </c>
      <c r="J29" s="87">
        <v>47.890998840332031</v>
      </c>
      <c r="K29" s="87">
        <v>45.83599853515625</v>
      </c>
      <c r="L29" s="87">
        <v>41.958000183105469</v>
      </c>
      <c r="M29" s="87">
        <v>38.619998931884766</v>
      </c>
      <c r="N29" s="87">
        <v>40.631999969482422</v>
      </c>
      <c r="O29" s="87">
        <v>35.840000152587891</v>
      </c>
      <c r="P29" s="87">
        <v>34.391998291015625</v>
      </c>
      <c r="Q29" s="87">
        <v>30.969999313354492</v>
      </c>
      <c r="V29" s="3" t="s">
        <v>13</v>
      </c>
      <c r="W29" s="44">
        <f t="shared" si="9"/>
        <v>130.77499389648438</v>
      </c>
      <c r="X29" s="44">
        <f t="shared" si="5"/>
        <v>132.906005859375</v>
      </c>
      <c r="Y29" s="44">
        <f t="shared" si="6"/>
        <v>126.02500152587891</v>
      </c>
      <c r="Z29" s="44">
        <f t="shared" si="7"/>
        <v>117.13899993896484</v>
      </c>
      <c r="AA29" s="44"/>
      <c r="AB29" s="44">
        <v>38.055999755859375</v>
      </c>
      <c r="AC29" s="44">
        <v>33.946998596191406</v>
      </c>
      <c r="AD29" s="44">
        <v>35.840999603271484</v>
      </c>
      <c r="AE29" s="44">
        <v>28.719999313354492</v>
      </c>
    </row>
    <row r="30" spans="1:31" x14ac:dyDescent="0.25">
      <c r="A30" s="87" t="s">
        <v>39</v>
      </c>
      <c r="C30" s="87">
        <v>389.22500610351563</v>
      </c>
      <c r="D30" s="87">
        <v>339.70599365234375</v>
      </c>
      <c r="E30" s="87">
        <v>305.08200073242188</v>
      </c>
      <c r="F30" s="87">
        <v>319.66799926757813</v>
      </c>
      <c r="G30" s="87">
        <v>276.86898803710938</v>
      </c>
      <c r="H30" s="87">
        <v>146.37100219726563</v>
      </c>
      <c r="I30" s="87">
        <v>137.74099731445313</v>
      </c>
      <c r="J30" s="87">
        <v>120.69999694824219</v>
      </c>
      <c r="K30" s="87">
        <v>130.78300476074219</v>
      </c>
      <c r="L30" s="87">
        <v>86.023002624511719</v>
      </c>
      <c r="M30" s="87">
        <v>98.079002380371094</v>
      </c>
      <c r="N30" s="87">
        <v>93.115997314453125</v>
      </c>
      <c r="O30" s="87">
        <v>79.959999084472656</v>
      </c>
      <c r="P30" s="87">
        <v>92.877998352050781</v>
      </c>
      <c r="Q30" s="87">
        <v>53.407001495361328</v>
      </c>
      <c r="V30" s="3" t="s">
        <v>14</v>
      </c>
      <c r="W30" s="44">
        <f t="shared" si="9"/>
        <v>389.22500610351563</v>
      </c>
      <c r="X30" s="44">
        <f t="shared" si="5"/>
        <v>339.70599365234375</v>
      </c>
      <c r="Y30" s="44">
        <f t="shared" si="6"/>
        <v>305.08200073242188</v>
      </c>
      <c r="Z30" s="44">
        <f t="shared" si="7"/>
        <v>319.66799926757813</v>
      </c>
      <c r="AA30" s="44"/>
      <c r="AB30" s="44">
        <v>86.302001953125</v>
      </c>
      <c r="AC30" s="44">
        <v>83.531997680664063</v>
      </c>
      <c r="AD30" s="44">
        <v>68.002998352050781</v>
      </c>
      <c r="AE30" s="44">
        <v>63.334999084472656</v>
      </c>
    </row>
    <row r="31" spans="1:31" x14ac:dyDescent="0.25">
      <c r="A31" s="87" t="s">
        <v>40</v>
      </c>
      <c r="C31" s="87">
        <v>48.589000701904297</v>
      </c>
      <c r="D31" s="87">
        <v>47.583999633789063</v>
      </c>
      <c r="E31" s="87">
        <v>47.089000701904297</v>
      </c>
      <c r="F31" s="87">
        <v>45.900001525878906</v>
      </c>
      <c r="G31" s="87">
        <v>42.382999420166016</v>
      </c>
      <c r="H31" s="87">
        <v>29.242000579833984</v>
      </c>
      <c r="I31" s="87">
        <v>29.309999465942383</v>
      </c>
      <c r="J31" s="87">
        <v>28.812000274658203</v>
      </c>
      <c r="K31" s="87">
        <v>28.009000778198242</v>
      </c>
      <c r="L31" s="87">
        <v>26.504999160766602</v>
      </c>
      <c r="M31" s="87">
        <v>22.472999572753906</v>
      </c>
      <c r="N31" s="87">
        <v>22.88800048828125</v>
      </c>
      <c r="O31" s="87">
        <v>22.660999298095703</v>
      </c>
      <c r="P31" s="87">
        <v>22.076999664306641</v>
      </c>
      <c r="Q31" s="87">
        <v>20.76099967956543</v>
      </c>
      <c r="V31" s="3" t="s">
        <v>15</v>
      </c>
      <c r="W31" s="44">
        <f t="shared" si="9"/>
        <v>48.589000701904297</v>
      </c>
      <c r="X31" s="44">
        <f t="shared" si="5"/>
        <v>47.583999633789063</v>
      </c>
      <c r="Y31" s="44">
        <f t="shared" si="6"/>
        <v>47.089000701904297</v>
      </c>
      <c r="Z31" s="44">
        <f t="shared" si="7"/>
        <v>45.900001525878906</v>
      </c>
      <c r="AA31" s="44"/>
      <c r="AB31" s="44">
        <v>25.743000030517578</v>
      </c>
      <c r="AC31" s="44">
        <v>24.780000686645508</v>
      </c>
      <c r="AD31" s="44">
        <v>24.358999252319336</v>
      </c>
      <c r="AE31" s="44">
        <v>21.799999237060547</v>
      </c>
    </row>
    <row r="32" spans="1:31" x14ac:dyDescent="0.25"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5"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x14ac:dyDescent="0.25">
      <c r="A34" s="87" t="s">
        <v>41</v>
      </c>
      <c r="V34" s="3"/>
      <c r="W34" s="24" t="s">
        <v>19</v>
      </c>
      <c r="X34" s="25"/>
      <c r="Y34" s="25"/>
      <c r="Z34" s="26"/>
      <c r="AA34" s="3"/>
      <c r="AB34" s="3"/>
      <c r="AC34" s="3"/>
      <c r="AD34" s="3"/>
      <c r="AE34" s="3"/>
    </row>
    <row r="35" spans="1:31" x14ac:dyDescent="0.25">
      <c r="A35" s="87" t="str">
        <f t="shared" ref="A35:A42" si="10">+A24</f>
        <v>AMERICAN STATES WATER CO</v>
      </c>
      <c r="C35" s="88">
        <f t="shared" ref="C35:E42" si="11">(+C24/D24)-1</f>
        <v>1.0355711481396579E-2</v>
      </c>
      <c r="D35" s="88">
        <f t="shared" si="11"/>
        <v>-4.9175686490983805E-2</v>
      </c>
      <c r="E35" s="88">
        <f t="shared" si="11"/>
        <v>-1.5350219572917267E-2</v>
      </c>
      <c r="F35" s="89">
        <f t="shared" ref="F35:F42" si="12">((+C24/F24)^(1/3))-1</f>
        <v>-1.8360280682480856E-2</v>
      </c>
      <c r="H35" s="88">
        <f t="shared" ref="H35:J42" si="13">(+H24/I24)-1</f>
        <v>2.7499624655992649E-2</v>
      </c>
      <c r="I35" s="88">
        <f t="shared" si="13"/>
        <v>-4.3333678708209256E-2</v>
      </c>
      <c r="J35" s="88">
        <f t="shared" si="13"/>
        <v>2.8676185229414841E-3</v>
      </c>
      <c r="K35" s="89">
        <f t="shared" ref="K35:K42" si="14">((+H24/K24)^(1/3))-1</f>
        <v>-4.7582445412852614E-3</v>
      </c>
      <c r="M35" s="88">
        <f t="shared" ref="M35:O42" si="15">(+M24/N24)-1</f>
        <v>3.5234838178309635E-2</v>
      </c>
      <c r="N35" s="88">
        <f t="shared" si="15"/>
        <v>-3.1842576489367058E-2</v>
      </c>
      <c r="O35" s="88">
        <f t="shared" si="15"/>
        <v>-4.2104333110181136E-3</v>
      </c>
      <c r="P35" s="89">
        <f t="shared" ref="P35:P42" si="16">((+M24/P24)^(1/3))-1</f>
        <v>-6.5032235145201511E-4</v>
      </c>
      <c r="V35" s="3"/>
      <c r="W35" s="28">
        <f>+W18</f>
        <v>2017</v>
      </c>
      <c r="X35" s="28">
        <f>+W35-1</f>
        <v>2016</v>
      </c>
      <c r="Y35" s="28">
        <f t="shared" ref="Y35:Z35" si="17">+X35-1</f>
        <v>2015</v>
      </c>
      <c r="Z35" s="28">
        <f t="shared" si="17"/>
        <v>2014</v>
      </c>
      <c r="AA35" s="3"/>
      <c r="AB35" s="3"/>
      <c r="AC35" s="3"/>
      <c r="AD35" s="3"/>
      <c r="AE35" s="3"/>
    </row>
    <row r="36" spans="1:31" x14ac:dyDescent="0.25">
      <c r="A36" s="87" t="str">
        <f t="shared" si="10"/>
        <v>AMERICAN WATER WORKS CO INC</v>
      </c>
      <c r="C36" s="88">
        <f t="shared" si="11"/>
        <v>1.665657177468205E-2</v>
      </c>
      <c r="D36" s="88">
        <f t="shared" si="11"/>
        <v>4.5267489711934061E-2</v>
      </c>
      <c r="E36" s="88">
        <f t="shared" si="11"/>
        <v>4.9038870884588803E-2</v>
      </c>
      <c r="F36" s="89">
        <f t="shared" si="12"/>
        <v>3.6886210130489872E-2</v>
      </c>
      <c r="H36" s="88">
        <f t="shared" si="13"/>
        <v>6.1300309597523306E-2</v>
      </c>
      <c r="I36" s="88">
        <f t="shared" si="13"/>
        <v>6.6006600660065917E-2</v>
      </c>
      <c r="J36" s="88">
        <f t="shared" si="13"/>
        <v>5.3466018198629506E-2</v>
      </c>
      <c r="K36" s="89">
        <f t="shared" si="14"/>
        <v>6.0245013563527072E-2</v>
      </c>
      <c r="M36" s="88">
        <f t="shared" si="15"/>
        <v>6.7248908296943188E-2</v>
      </c>
      <c r="N36" s="88">
        <f t="shared" si="15"/>
        <v>6.5116279069767469E-2</v>
      </c>
      <c r="O36" s="88">
        <f t="shared" si="15"/>
        <v>6.013060706995299E-2</v>
      </c>
      <c r="P36" s="89">
        <f t="shared" si="16"/>
        <v>6.4161080924091118E-2</v>
      </c>
      <c r="V36" s="3"/>
      <c r="W36" s="41" t="s">
        <v>6</v>
      </c>
      <c r="X36" s="2"/>
      <c r="Y36" s="2"/>
      <c r="Z36" s="2"/>
      <c r="AA36" s="3"/>
      <c r="AB36" s="3"/>
      <c r="AC36" s="3"/>
      <c r="AD36" s="3"/>
      <c r="AE36" s="3"/>
    </row>
    <row r="37" spans="1:31" x14ac:dyDescent="0.25">
      <c r="A37" s="87" t="str">
        <f t="shared" si="10"/>
        <v>AQUA AMERICA INC</v>
      </c>
      <c r="C37" s="88">
        <f t="shared" si="11"/>
        <v>-1.2623845813005019E-2</v>
      </c>
      <c r="D37" s="88">
        <f t="shared" si="11"/>
        <v>6.9651102802881226E-3</v>
      </c>
      <c r="E37" s="88">
        <f t="shared" si="11"/>
        <v>4.3981063914024787E-2</v>
      </c>
      <c r="F37" s="89">
        <f t="shared" si="12"/>
        <v>1.2503561873397739E-2</v>
      </c>
      <c r="H37" s="88">
        <f t="shared" si="13"/>
        <v>1.9048521714963185E-2</v>
      </c>
      <c r="I37" s="88">
        <f t="shared" si="13"/>
        <v>2.2809596953861977E-2</v>
      </c>
      <c r="J37" s="88">
        <f t="shared" si="13"/>
        <v>2.0522984865363414E-2</v>
      </c>
      <c r="K37" s="89">
        <f t="shared" si="14"/>
        <v>2.079252873798243E-2</v>
      </c>
      <c r="M37" s="88">
        <f t="shared" si="15"/>
        <v>1.0387515185678931E-2</v>
      </c>
      <c r="N37" s="88">
        <f t="shared" si="15"/>
        <v>1.3967565450984987E-2</v>
      </c>
      <c r="O37" s="88">
        <f t="shared" si="15"/>
        <v>2.1443626955117479E-2</v>
      </c>
      <c r="P37" s="89">
        <f t="shared" si="16"/>
        <v>1.5255799820781846E-2</v>
      </c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5">
      <c r="A38" s="87" t="str">
        <f t="shared" si="10"/>
        <v>ARTESIAN RESOURCES  -CL A</v>
      </c>
      <c r="C38" s="88">
        <f t="shared" si="11"/>
        <v>3.9778020293154137E-2</v>
      </c>
      <c r="D38" s="88">
        <f t="shared" si="11"/>
        <v>2.6809757431141445E-2</v>
      </c>
      <c r="E38" s="88">
        <f t="shared" si="11"/>
        <v>6.2913212829638576E-2</v>
      </c>
      <c r="F38" s="89">
        <f t="shared" si="12"/>
        <v>4.3060442009327016E-2</v>
      </c>
      <c r="H38" s="88">
        <f t="shared" si="13"/>
        <v>3.0821593885819176E-3</v>
      </c>
      <c r="I38" s="88">
        <f t="shared" si="13"/>
        <v>6.2421489093766436E-2</v>
      </c>
      <c r="J38" s="88">
        <f t="shared" si="13"/>
        <v>9.9987112177605919E-2</v>
      </c>
      <c r="K38" s="89">
        <f t="shared" si="14"/>
        <v>5.4403850316105062E-2</v>
      </c>
      <c r="M38" s="88">
        <f t="shared" si="15"/>
        <v>-9.392234414344558E-3</v>
      </c>
      <c r="N38" s="88">
        <f t="shared" si="15"/>
        <v>7.0330381276491938E-2</v>
      </c>
      <c r="O38" s="88">
        <f t="shared" si="15"/>
        <v>0.13135006275169481</v>
      </c>
      <c r="P38" s="89">
        <f t="shared" si="16"/>
        <v>6.252427794594162E-2</v>
      </c>
      <c r="V38" s="3" t="s">
        <v>101</v>
      </c>
      <c r="W38" s="42">
        <f>ROUND(AP31/1000000,3)</f>
        <v>0</v>
      </c>
      <c r="X38" s="42">
        <f>ROUND(AQ31/1000000,3)</f>
        <v>0</v>
      </c>
      <c r="Y38" s="42">
        <f>ROUND(AR31/1000000,3)</f>
        <v>0</v>
      </c>
      <c r="Z38" s="42">
        <f>ROUND(AS31/1000000,3)</f>
        <v>0</v>
      </c>
      <c r="AA38" s="3"/>
      <c r="AB38" s="3"/>
      <c r="AC38" s="3"/>
      <c r="AD38" s="3"/>
      <c r="AE38" s="3"/>
    </row>
    <row r="39" spans="1:31" x14ac:dyDescent="0.25">
      <c r="A39" s="87" t="str">
        <f t="shared" si="10"/>
        <v>CALIFORNIA WATER SERVICE GP</v>
      </c>
      <c r="C39" s="88">
        <f t="shared" si="11"/>
        <v>9.4392602182830521E-2</v>
      </c>
      <c r="D39" s="88">
        <f t="shared" si="11"/>
        <v>3.5695372351830956E-2</v>
      </c>
      <c r="E39" s="88">
        <f t="shared" si="11"/>
        <v>-1.5282104442508548E-2</v>
      </c>
      <c r="F39" s="89">
        <f t="shared" si="12"/>
        <v>3.7303090115168525E-2</v>
      </c>
      <c r="H39" s="88">
        <f t="shared" si="13"/>
        <v>0.21711817035070546</v>
      </c>
      <c r="I39" s="88">
        <f t="shared" si="13"/>
        <v>4.7974709553817663E-2</v>
      </c>
      <c r="J39" s="88">
        <f t="shared" si="13"/>
        <v>-7.4968660758200745E-2</v>
      </c>
      <c r="K39" s="89">
        <f t="shared" si="14"/>
        <v>5.6687730843857143E-2</v>
      </c>
      <c r="M39" s="88">
        <f t="shared" si="15"/>
        <v>0.22330146298424003</v>
      </c>
      <c r="N39" s="88">
        <f t="shared" si="15"/>
        <v>5.5570085558683147E-2</v>
      </c>
      <c r="O39" s="88">
        <f t="shared" si="15"/>
        <v>-0.1187484852622207</v>
      </c>
      <c r="P39" s="89">
        <f t="shared" si="16"/>
        <v>4.401518441429042E-2</v>
      </c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5">
      <c r="A40" s="87" t="str">
        <f t="shared" si="10"/>
        <v>MIDDLESEX WATER CO</v>
      </c>
      <c r="C40" s="88">
        <f t="shared" si="11"/>
        <v>-1.6033977916283249E-2</v>
      </c>
      <c r="D40" s="88">
        <f t="shared" si="11"/>
        <v>5.460031144759081E-2</v>
      </c>
      <c r="E40" s="88">
        <f t="shared" si="11"/>
        <v>7.5858608930792437E-2</v>
      </c>
      <c r="F40" s="89">
        <f t="shared" si="12"/>
        <v>3.7387630969827113E-2</v>
      </c>
      <c r="H40" s="88">
        <f t="shared" si="13"/>
        <v>-1.6583094325720027E-2</v>
      </c>
      <c r="I40" s="88">
        <f t="shared" si="13"/>
        <v>0.11561676927927222</v>
      </c>
      <c r="J40" s="88">
        <f t="shared" si="13"/>
        <v>4.4833763217781541E-2</v>
      </c>
      <c r="K40" s="89">
        <f t="shared" si="14"/>
        <v>4.6566029593176683E-2</v>
      </c>
      <c r="M40" s="88">
        <f t="shared" si="15"/>
        <v>-4.9517647152707567E-2</v>
      </c>
      <c r="N40" s="88">
        <f t="shared" si="15"/>
        <v>0.13370535146464047</v>
      </c>
      <c r="O40" s="88">
        <f t="shared" si="15"/>
        <v>4.2102870828256922E-2</v>
      </c>
      <c r="P40" s="89">
        <f t="shared" si="16"/>
        <v>3.940535259951039E-2</v>
      </c>
      <c r="V40" s="43" t="s">
        <v>7</v>
      </c>
      <c r="W40" s="44"/>
      <c r="X40" s="44"/>
      <c r="Y40" s="44"/>
      <c r="Z40" s="44"/>
      <c r="AA40" s="3"/>
      <c r="AB40" s="3"/>
      <c r="AC40" s="3"/>
      <c r="AD40" s="3"/>
      <c r="AE40" s="3"/>
    </row>
    <row r="41" spans="1:31" x14ac:dyDescent="0.25">
      <c r="A41" s="87" t="str">
        <f t="shared" si="10"/>
        <v>SJW CORP</v>
      </c>
      <c r="C41" s="88">
        <f t="shared" si="11"/>
        <v>0.14577020534365315</v>
      </c>
      <c r="D41" s="88">
        <f t="shared" si="11"/>
        <v>0.11349077571537736</v>
      </c>
      <c r="E41" s="88">
        <f t="shared" si="11"/>
        <v>-4.5628585183927095E-2</v>
      </c>
      <c r="F41" s="89">
        <f t="shared" si="12"/>
        <v>6.7826080293521329E-2</v>
      </c>
      <c r="H41" s="88">
        <f t="shared" si="13"/>
        <v>6.2653857973097082E-2</v>
      </c>
      <c r="I41" s="88">
        <f t="shared" si="13"/>
        <v>0.14118476219612797</v>
      </c>
      <c r="J41" s="88">
        <f t="shared" si="13"/>
        <v>-7.7097233168377799E-2</v>
      </c>
      <c r="K41" s="89">
        <f t="shared" si="14"/>
        <v>3.8248339265020359E-2</v>
      </c>
      <c r="M41" s="88">
        <f t="shared" si="15"/>
        <v>5.3299166728117298E-2</v>
      </c>
      <c r="N41" s="88">
        <f t="shared" si="15"/>
        <v>0.16453224588061821</v>
      </c>
      <c r="O41" s="88">
        <f t="shared" si="15"/>
        <v>-0.13908567687487083</v>
      </c>
      <c r="P41" s="89">
        <f t="shared" si="16"/>
        <v>1.8328106760207685E-2</v>
      </c>
      <c r="V41" s="3" t="s">
        <v>8</v>
      </c>
      <c r="W41" s="42">
        <f t="shared" ref="W41:Z48" si="18">+M24</f>
        <v>118.75800323486328</v>
      </c>
      <c r="X41" s="42">
        <f t="shared" si="18"/>
        <v>114.71600341796875</v>
      </c>
      <c r="Y41" s="42">
        <f t="shared" si="18"/>
        <v>118.48899841308594</v>
      </c>
      <c r="Z41" s="42">
        <f t="shared" si="18"/>
        <v>118.98999786376953</v>
      </c>
      <c r="AA41" s="3"/>
      <c r="AB41" s="3"/>
      <c r="AC41" s="3"/>
      <c r="AD41" s="3"/>
      <c r="AE41" s="3"/>
    </row>
    <row r="42" spans="1:31" x14ac:dyDescent="0.25">
      <c r="A42" s="87" t="str">
        <f t="shared" si="10"/>
        <v>YORK WATER CO</v>
      </c>
      <c r="C42" s="88">
        <f t="shared" si="11"/>
        <v>2.1120567330401352E-2</v>
      </c>
      <c r="D42" s="88">
        <f t="shared" si="11"/>
        <v>1.0511986334523105E-2</v>
      </c>
      <c r="E42" s="88">
        <f t="shared" si="11"/>
        <v>2.5904120620889648E-2</v>
      </c>
      <c r="F42" s="89">
        <f t="shared" si="12"/>
        <v>1.9158558291187733E-2</v>
      </c>
      <c r="H42" s="88">
        <f t="shared" si="13"/>
        <v>-2.3199893329036714E-3</v>
      </c>
      <c r="I42" s="88">
        <f t="shared" si="13"/>
        <v>1.7284436572847062E-2</v>
      </c>
      <c r="J42" s="88">
        <f t="shared" si="13"/>
        <v>2.8669337503999914E-2</v>
      </c>
      <c r="K42" s="89">
        <f t="shared" si="14"/>
        <v>1.4463646412280484E-2</v>
      </c>
      <c r="M42" s="88">
        <f t="shared" si="15"/>
        <v>-1.8131811721160407E-2</v>
      </c>
      <c r="N42" s="88">
        <f t="shared" si="15"/>
        <v>1.0017263016491196E-2</v>
      </c>
      <c r="O42" s="88">
        <f t="shared" si="15"/>
        <v>2.6452853316533576E-2</v>
      </c>
      <c r="P42" s="89">
        <f t="shared" si="16"/>
        <v>5.9436746921275319E-3</v>
      </c>
      <c r="V42" s="3" t="s">
        <v>9</v>
      </c>
      <c r="W42" s="42">
        <f t="shared" si="18"/>
        <v>1222</v>
      </c>
      <c r="X42" s="42">
        <f t="shared" si="18"/>
        <v>1145</v>
      </c>
      <c r="Y42" s="42">
        <f t="shared" si="18"/>
        <v>1075</v>
      </c>
      <c r="Z42" s="42">
        <f t="shared" si="18"/>
        <v>1014.0260009765625</v>
      </c>
      <c r="AA42" s="3"/>
      <c r="AB42" s="3"/>
      <c r="AC42" s="3"/>
      <c r="AD42" s="3"/>
      <c r="AE42" s="3"/>
    </row>
    <row r="43" spans="1:31" x14ac:dyDescent="0.25">
      <c r="C43" s="88"/>
      <c r="F43" s="90"/>
      <c r="H43" s="88"/>
      <c r="K43" s="90"/>
      <c r="M43" s="88"/>
      <c r="P43" s="90"/>
      <c r="V43" s="3" t="s">
        <v>10</v>
      </c>
      <c r="W43" s="42">
        <f t="shared" si="18"/>
        <v>328.96701049804688</v>
      </c>
      <c r="X43" s="42">
        <f t="shared" si="18"/>
        <v>325.58499145507813</v>
      </c>
      <c r="Y43" s="42">
        <f t="shared" si="18"/>
        <v>321.10000610351563</v>
      </c>
      <c r="Z43" s="42">
        <f t="shared" si="18"/>
        <v>314.3590087890625</v>
      </c>
      <c r="AA43" s="3"/>
      <c r="AB43" s="3"/>
      <c r="AC43" s="3"/>
      <c r="AD43" s="3"/>
      <c r="AE43" s="3"/>
    </row>
    <row r="44" spans="1:31" x14ac:dyDescent="0.25">
      <c r="C44" s="88">
        <f>AVERAGE(C35:C42)</f>
        <v>3.742698183460369E-2</v>
      </c>
      <c r="D44" s="88">
        <f>AVERAGE(D35:D42)</f>
        <v>3.0520639597712756E-2</v>
      </c>
      <c r="E44" s="88">
        <f>AVERAGE(E35:E42)</f>
        <v>2.2679370997572668E-2</v>
      </c>
      <c r="F44" s="89">
        <f>AVERAGE(F35:F42)</f>
        <v>2.9470661625054809E-2</v>
      </c>
      <c r="H44" s="88">
        <f>AVERAGE(H35:H42)</f>
        <v>4.6474945002779988E-2</v>
      </c>
      <c r="I44" s="88">
        <f>AVERAGE(I35:I42)</f>
        <v>5.3745585700193749E-2</v>
      </c>
      <c r="J44" s="88">
        <f>AVERAGE(J35:J42)</f>
        <v>1.2285117569967904E-2</v>
      </c>
      <c r="K44" s="89">
        <f>AVERAGE(K35:K42)</f>
        <v>3.5831111773832997E-2</v>
      </c>
      <c r="M44" s="88">
        <f>AVERAGE(M35:M42)</f>
        <v>3.9053774760634569E-2</v>
      </c>
      <c r="N44" s="88">
        <f>AVERAGE(N35:N42)</f>
        <v>6.0174574403538794E-2</v>
      </c>
      <c r="O44" s="88">
        <f>AVERAGE(O35:O42)</f>
        <v>2.4294281841807652E-3</v>
      </c>
      <c r="P44" s="89">
        <f>AVERAGE(P35:P42)</f>
        <v>3.1122894350687325E-2</v>
      </c>
      <c r="V44" s="3" t="s">
        <v>11</v>
      </c>
      <c r="W44" s="42">
        <f t="shared" si="18"/>
        <v>26.895000457763672</v>
      </c>
      <c r="X44" s="42">
        <f t="shared" si="18"/>
        <v>27.149999618530273</v>
      </c>
      <c r="Y44" s="42">
        <f t="shared" si="18"/>
        <v>25.365999221801758</v>
      </c>
      <c r="Z44" s="42">
        <f t="shared" si="18"/>
        <v>22.420999526977539</v>
      </c>
      <c r="AA44" s="3"/>
      <c r="AB44" s="3"/>
      <c r="AC44" s="3"/>
      <c r="AD44" s="3"/>
      <c r="AE44" s="3"/>
    </row>
    <row r="45" spans="1:31" x14ac:dyDescent="0.25">
      <c r="C45" s="88"/>
      <c r="V45" s="3" t="s">
        <v>12</v>
      </c>
      <c r="W45" s="42">
        <f t="shared" si="18"/>
        <v>123.55100250244141</v>
      </c>
      <c r="X45" s="42">
        <f t="shared" si="18"/>
        <v>100.99800109863281</v>
      </c>
      <c r="Y45" s="42">
        <f t="shared" si="18"/>
        <v>95.680999755859375</v>
      </c>
      <c r="Z45" s="42">
        <f t="shared" si="18"/>
        <v>108.57399749755859</v>
      </c>
      <c r="AA45" s="3"/>
      <c r="AB45" s="3"/>
      <c r="AC45" s="3"/>
      <c r="AD45" s="3"/>
      <c r="AE45" s="3"/>
    </row>
    <row r="46" spans="1:31" x14ac:dyDescent="0.25">
      <c r="C46" s="88"/>
      <c r="V46" s="3" t="s">
        <v>13</v>
      </c>
      <c r="W46" s="42">
        <f t="shared" si="18"/>
        <v>38.619998931884766</v>
      </c>
      <c r="X46" s="42">
        <f t="shared" si="18"/>
        <v>40.631999969482422</v>
      </c>
      <c r="Y46" s="42">
        <f t="shared" si="18"/>
        <v>35.840000152587891</v>
      </c>
      <c r="Z46" s="42">
        <f t="shared" si="18"/>
        <v>34.391998291015625</v>
      </c>
      <c r="AA46" s="3"/>
      <c r="AB46" s="3"/>
      <c r="AC46" s="3"/>
      <c r="AD46" s="3"/>
      <c r="AE46" s="3"/>
    </row>
    <row r="47" spans="1:31" x14ac:dyDescent="0.25">
      <c r="A47" s="87" t="s">
        <v>42</v>
      </c>
      <c r="C47" s="88"/>
      <c r="V47" s="3" t="s">
        <v>14</v>
      </c>
      <c r="W47" s="42">
        <f t="shared" si="18"/>
        <v>98.079002380371094</v>
      </c>
      <c r="X47" s="42">
        <f t="shared" si="18"/>
        <v>93.115997314453125</v>
      </c>
      <c r="Y47" s="42">
        <f t="shared" si="18"/>
        <v>79.959999084472656</v>
      </c>
      <c r="Z47" s="42">
        <f t="shared" si="18"/>
        <v>92.877998352050781</v>
      </c>
      <c r="AA47" s="3"/>
      <c r="AB47" s="3"/>
      <c r="AC47" s="3"/>
      <c r="AD47" s="3"/>
      <c r="AE47" s="3"/>
    </row>
    <row r="48" spans="1:31" x14ac:dyDescent="0.25">
      <c r="A48" s="87" t="str">
        <f t="shared" ref="A48:A55" si="19">+A24</f>
        <v>AMERICAN STATES WATER CO</v>
      </c>
      <c r="H48" s="88">
        <f t="shared" ref="H48:J55" si="20">+H24/C24</f>
        <v>0.35812058156993237</v>
      </c>
      <c r="I48" s="88">
        <f t="shared" si="20"/>
        <v>0.35214531110837255</v>
      </c>
      <c r="J48" s="88">
        <f t="shared" si="20"/>
        <v>0.34999488979388038</v>
      </c>
      <c r="M48" s="88">
        <f t="shared" ref="M48:O55" si="21">+M24/C24</f>
        <v>0.26953516905314212</v>
      </c>
      <c r="N48" s="88">
        <f t="shared" si="21"/>
        <v>0.2630576053421419</v>
      </c>
      <c r="O48" s="88">
        <f t="shared" si="21"/>
        <v>0.25834803404781292</v>
      </c>
      <c r="V48" s="3" t="s">
        <v>15</v>
      </c>
      <c r="W48" s="42">
        <f t="shared" si="18"/>
        <v>22.472999572753906</v>
      </c>
      <c r="X48" s="42">
        <f t="shared" si="18"/>
        <v>22.88800048828125</v>
      </c>
      <c r="Y48" s="42">
        <f t="shared" si="18"/>
        <v>22.660999298095703</v>
      </c>
      <c r="Z48" s="42">
        <f t="shared" si="18"/>
        <v>22.076999664306641</v>
      </c>
      <c r="AA48" s="3"/>
      <c r="AB48" s="3"/>
      <c r="AC48" s="3"/>
      <c r="AD48" s="3"/>
      <c r="AE48" s="3"/>
    </row>
    <row r="49" spans="1:15" x14ac:dyDescent="0.25">
      <c r="A49" s="87" t="str">
        <f t="shared" si="19"/>
        <v>AMERICAN WATER WORKS CO INC</v>
      </c>
      <c r="H49" s="88">
        <f t="shared" si="20"/>
        <v>0.51057491808162048</v>
      </c>
      <c r="I49" s="88">
        <f t="shared" si="20"/>
        <v>0.48909751665657175</v>
      </c>
      <c r="J49" s="88">
        <f t="shared" si="20"/>
        <v>0.4795821462488129</v>
      </c>
      <c r="M49" s="88">
        <f t="shared" si="21"/>
        <v>0.36401549002085193</v>
      </c>
      <c r="N49" s="88">
        <f t="shared" si="21"/>
        <v>0.3467595396729255</v>
      </c>
      <c r="O49" s="88">
        <f t="shared" si="21"/>
        <v>0.34029756251978477</v>
      </c>
    </row>
    <row r="50" spans="1:15" x14ac:dyDescent="0.25">
      <c r="A50" s="87" t="str">
        <f t="shared" si="19"/>
        <v>AQUA AMERICA INC</v>
      </c>
      <c r="H50" s="88">
        <f t="shared" si="20"/>
        <v>0.5747432116603628</v>
      </c>
      <c r="I50" s="88">
        <f t="shared" si="20"/>
        <v>0.55688000117920033</v>
      </c>
      <c r="J50" s="88">
        <f t="shared" si="20"/>
        <v>0.54825329511020982</v>
      </c>
      <c r="M50" s="88">
        <f t="shared" si="21"/>
        <v>0.40637040310910033</v>
      </c>
      <c r="N50" s="88">
        <f t="shared" si="21"/>
        <v>0.39711540351282587</v>
      </c>
      <c r="O50" s="88">
        <f t="shared" si="21"/>
        <v>0.39437292643028238</v>
      </c>
    </row>
    <row r="51" spans="1:15" x14ac:dyDescent="0.25">
      <c r="A51" s="87" t="str">
        <f t="shared" si="19"/>
        <v>ARTESIAN RESOURCES  -CL A</v>
      </c>
      <c r="H51" s="88">
        <f t="shared" si="20"/>
        <v>0.44324193460699274</v>
      </c>
      <c r="I51" s="88">
        <f t="shared" si="20"/>
        <v>0.45945710125827277</v>
      </c>
      <c r="J51" s="88">
        <f t="shared" si="20"/>
        <v>0.44405637455191277</v>
      </c>
      <c r="M51" s="88">
        <f t="shared" si="21"/>
        <v>0.3270505290709293</v>
      </c>
      <c r="N51" s="88">
        <f t="shared" si="21"/>
        <v>0.34328415692577707</v>
      </c>
      <c r="O51" s="88">
        <f t="shared" si="21"/>
        <v>0.329325905411121</v>
      </c>
    </row>
    <row r="52" spans="1:15" x14ac:dyDescent="0.25">
      <c r="A52" s="87" t="str">
        <f t="shared" si="19"/>
        <v>CALIFORNIA WATER SERVICE GP</v>
      </c>
      <c r="H52" s="88">
        <f t="shared" si="20"/>
        <v>0.30040035872991527</v>
      </c>
      <c r="I52" s="88">
        <f t="shared" si="20"/>
        <v>0.27011011608869384</v>
      </c>
      <c r="J52" s="88">
        <f t="shared" si="20"/>
        <v>0.26694517979120153</v>
      </c>
      <c r="M52" s="88">
        <f t="shared" si="21"/>
        <v>0.18526443609681792</v>
      </c>
      <c r="N52" s="88">
        <f t="shared" si="21"/>
        <v>0.16574167075490803</v>
      </c>
      <c r="O52" s="88">
        <f t="shared" si="21"/>
        <v>0.16262101754793995</v>
      </c>
    </row>
    <row r="53" spans="1:15" x14ac:dyDescent="0.25">
      <c r="A53" s="87" t="str">
        <f t="shared" si="19"/>
        <v>MIDDLESEX WATER CO</v>
      </c>
      <c r="H53" s="88">
        <f t="shared" si="20"/>
        <v>0.40177405673201122</v>
      </c>
      <c r="I53" s="88">
        <f t="shared" si="20"/>
        <v>0.40199839772733537</v>
      </c>
      <c r="J53" s="88">
        <f t="shared" si="20"/>
        <v>0.38001188859734103</v>
      </c>
      <c r="M53" s="88">
        <f t="shared" si="21"/>
        <v>0.29531638871613808</v>
      </c>
      <c r="N53" s="88">
        <f t="shared" si="21"/>
        <v>0.30571981835398976</v>
      </c>
      <c r="O53" s="88">
        <f t="shared" si="21"/>
        <v>0.2843880160178236</v>
      </c>
    </row>
    <row r="54" spans="1:15" x14ac:dyDescent="0.25">
      <c r="A54" s="87" t="str">
        <f t="shared" si="19"/>
        <v>SJW CORP</v>
      </c>
      <c r="H54" s="88">
        <f t="shared" si="20"/>
        <v>0.37605755000833063</v>
      </c>
      <c r="I54" s="88">
        <f t="shared" si="20"/>
        <v>0.40547120123943919</v>
      </c>
      <c r="J54" s="88">
        <f t="shared" si="20"/>
        <v>0.39563132750694291</v>
      </c>
      <c r="M54" s="88">
        <f t="shared" si="21"/>
        <v>0.25198535767839819</v>
      </c>
      <c r="N54" s="88">
        <f t="shared" si="21"/>
        <v>0.27410760791506183</v>
      </c>
      <c r="O54" s="88">
        <f t="shared" si="21"/>
        <v>0.26209346632220082</v>
      </c>
    </row>
    <row r="55" spans="1:15" x14ac:dyDescent="0.25">
      <c r="A55" s="87" t="str">
        <f t="shared" si="19"/>
        <v>YORK WATER CO</v>
      </c>
      <c r="H55" s="88">
        <f t="shared" si="20"/>
        <v>0.60182346122397068</v>
      </c>
      <c r="I55" s="88">
        <f t="shared" si="20"/>
        <v>0.61596334254192364</v>
      </c>
      <c r="J55" s="88">
        <f t="shared" si="20"/>
        <v>0.61186263979250333</v>
      </c>
      <c r="M55" s="88">
        <f t="shared" si="21"/>
        <v>0.46251207573966729</v>
      </c>
      <c r="N55" s="88">
        <f t="shared" si="21"/>
        <v>0.48100203144816439</v>
      </c>
      <c r="O55" s="88">
        <f t="shared" si="21"/>
        <v>0.481237634273672</v>
      </c>
    </row>
    <row r="57" spans="1:15" x14ac:dyDescent="0.25">
      <c r="C57" s="88"/>
      <c r="D57" s="88"/>
      <c r="E57" s="88"/>
      <c r="H57" s="88">
        <f>AVERAGE(H48:H55)</f>
        <v>0.44584200907664201</v>
      </c>
      <c r="I57" s="88">
        <f>AVERAGE(I48:I55)</f>
        <v>0.44389037347497623</v>
      </c>
      <c r="J57" s="88">
        <f>AVERAGE(J48:J55)</f>
        <v>0.43454221767410062</v>
      </c>
      <c r="M57" s="88">
        <f>AVERAGE(M48:M55)</f>
        <v>0.32025623118563062</v>
      </c>
      <c r="N57" s="88">
        <f t="shared" ref="N57:O57" si="22">AVERAGE(N48:N55)</f>
        <v>0.32209847924072427</v>
      </c>
      <c r="O57" s="88">
        <f t="shared" si="22"/>
        <v>0.31408557032132967</v>
      </c>
    </row>
    <row r="59" spans="1:15" x14ac:dyDescent="0.25">
      <c r="A59" s="96"/>
      <c r="B59" s="9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I60" sqref="I60"/>
    </sheetView>
  </sheetViews>
  <sheetFormatPr defaultColWidth="12.5703125" defaultRowHeight="15" x14ac:dyDescent="0.25"/>
  <cols>
    <col min="1" max="16384" width="12.5703125" style="87"/>
  </cols>
  <sheetData>
    <row r="2" spans="1:20" x14ac:dyDescent="0.25">
      <c r="A2" s="87" t="s">
        <v>32</v>
      </c>
      <c r="C2" s="87" t="s">
        <v>110</v>
      </c>
      <c r="D2" s="87" t="s">
        <v>97</v>
      </c>
      <c r="E2" s="87" t="s">
        <v>58</v>
      </c>
      <c r="F2" s="87" t="s">
        <v>61</v>
      </c>
      <c r="G2" s="87" t="s">
        <v>64</v>
      </c>
      <c r="H2" s="87" t="s">
        <v>67</v>
      </c>
      <c r="I2" s="87" t="s">
        <v>111</v>
      </c>
      <c r="J2" s="87" t="s">
        <v>98</v>
      </c>
      <c r="K2" s="87" t="s">
        <v>59</v>
      </c>
      <c r="L2" s="87" t="s">
        <v>62</v>
      </c>
      <c r="M2" s="87" t="s">
        <v>65</v>
      </c>
      <c r="N2" s="87" t="s">
        <v>68</v>
      </c>
      <c r="O2" s="87" t="s">
        <v>112</v>
      </c>
      <c r="P2" s="87" t="s">
        <v>99</v>
      </c>
      <c r="Q2" s="87" t="s">
        <v>60</v>
      </c>
      <c r="R2" s="87" t="s">
        <v>63</v>
      </c>
      <c r="S2" s="87" t="s">
        <v>66</v>
      </c>
      <c r="T2" s="87" t="s">
        <v>69</v>
      </c>
    </row>
    <row r="3" spans="1:20" x14ac:dyDescent="0.25">
      <c r="A3" s="87">
        <v>0</v>
      </c>
      <c r="C3" s="87">
        <v>0</v>
      </c>
      <c r="D3" s="87">
        <v>0</v>
      </c>
      <c r="E3" s="87">
        <v>0</v>
      </c>
      <c r="F3" s="87">
        <v>0</v>
      </c>
      <c r="G3" s="87">
        <v>0</v>
      </c>
      <c r="H3" s="87">
        <v>0</v>
      </c>
      <c r="I3" s="87">
        <v>0</v>
      </c>
      <c r="J3" s="87">
        <v>0</v>
      </c>
      <c r="K3" s="87">
        <v>0</v>
      </c>
      <c r="L3" s="87">
        <v>0</v>
      </c>
      <c r="M3" s="87">
        <v>0</v>
      </c>
      <c r="N3" s="87">
        <v>0</v>
      </c>
      <c r="O3" s="87">
        <v>0</v>
      </c>
      <c r="P3" s="87">
        <v>0</v>
      </c>
      <c r="Q3" s="87">
        <v>0</v>
      </c>
      <c r="R3" s="87">
        <v>0</v>
      </c>
      <c r="S3" s="87">
        <v>0</v>
      </c>
      <c r="T3" s="87">
        <v>0</v>
      </c>
    </row>
    <row r="4" spans="1:20" x14ac:dyDescent="0.25">
      <c r="A4" s="87">
        <v>0</v>
      </c>
      <c r="C4" s="87">
        <v>0</v>
      </c>
      <c r="D4" s="87">
        <v>0</v>
      </c>
      <c r="E4" s="87">
        <v>0</v>
      </c>
      <c r="F4" s="87">
        <v>0</v>
      </c>
      <c r="G4" s="87">
        <v>0</v>
      </c>
      <c r="H4" s="87">
        <v>0</v>
      </c>
      <c r="I4" s="87">
        <v>0</v>
      </c>
      <c r="J4" s="87">
        <v>0</v>
      </c>
      <c r="K4" s="87">
        <v>0</v>
      </c>
      <c r="L4" s="87">
        <v>0</v>
      </c>
      <c r="M4" s="87">
        <v>0</v>
      </c>
      <c r="N4" s="87">
        <v>0</v>
      </c>
      <c r="O4" s="87">
        <v>0</v>
      </c>
      <c r="P4" s="87">
        <v>0</v>
      </c>
      <c r="Q4" s="87">
        <v>0</v>
      </c>
      <c r="R4" s="87">
        <v>0</v>
      </c>
      <c r="S4" s="87">
        <v>0</v>
      </c>
      <c r="T4" s="87">
        <v>0</v>
      </c>
    </row>
    <row r="5" spans="1:20" x14ac:dyDescent="0.25">
      <c r="A5" s="87">
        <v>0</v>
      </c>
      <c r="C5" s="87">
        <v>0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  <c r="I5" s="87">
        <v>0</v>
      </c>
      <c r="J5" s="87">
        <v>0</v>
      </c>
      <c r="K5" s="87">
        <v>0</v>
      </c>
      <c r="L5" s="87">
        <v>0</v>
      </c>
      <c r="M5" s="87">
        <v>0</v>
      </c>
      <c r="N5" s="87">
        <v>0</v>
      </c>
      <c r="O5" s="87">
        <v>0</v>
      </c>
      <c r="P5" s="87">
        <v>0</v>
      </c>
      <c r="Q5" s="87">
        <v>0</v>
      </c>
      <c r="R5" s="87">
        <v>0</v>
      </c>
      <c r="S5" s="87">
        <v>0</v>
      </c>
      <c r="T5" s="87">
        <v>0</v>
      </c>
    </row>
    <row r="6" spans="1:20" x14ac:dyDescent="0.25">
      <c r="A6" s="87">
        <v>0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0</v>
      </c>
      <c r="J6" s="87">
        <v>0</v>
      </c>
      <c r="K6" s="87">
        <v>0</v>
      </c>
      <c r="L6" s="87">
        <v>0</v>
      </c>
      <c r="M6" s="87">
        <v>0</v>
      </c>
      <c r="N6" s="87">
        <v>0</v>
      </c>
      <c r="O6" s="87">
        <v>0</v>
      </c>
      <c r="P6" s="87">
        <v>0</v>
      </c>
      <c r="Q6" s="87">
        <v>0</v>
      </c>
      <c r="R6" s="87">
        <v>0</v>
      </c>
      <c r="S6" s="87">
        <v>0</v>
      </c>
      <c r="T6" s="87">
        <v>0</v>
      </c>
    </row>
    <row r="7" spans="1:20" x14ac:dyDescent="0.25">
      <c r="A7" s="87">
        <v>0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</row>
    <row r="8" spans="1:20" x14ac:dyDescent="0.25">
      <c r="A8" s="87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</row>
    <row r="9" spans="1:20" x14ac:dyDescent="0.25">
      <c r="A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0</v>
      </c>
      <c r="T9" s="87">
        <v>0</v>
      </c>
    </row>
    <row r="10" spans="1:20" x14ac:dyDescent="0.25">
      <c r="A10" s="87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</row>
    <row r="18" spans="1:33" x14ac:dyDescent="0.25">
      <c r="A18" s="134">
        <v>43240</v>
      </c>
    </row>
    <row r="20" spans="1:33" x14ac:dyDescent="0.25">
      <c r="A20" s="87" t="s">
        <v>32</v>
      </c>
      <c r="C20" s="90" t="s">
        <v>110</v>
      </c>
      <c r="D20" s="90" t="s">
        <v>97</v>
      </c>
      <c r="E20" s="90" t="s">
        <v>58</v>
      </c>
      <c r="F20" s="90" t="s">
        <v>61</v>
      </c>
      <c r="G20" s="90" t="s">
        <v>64</v>
      </c>
      <c r="H20" s="90" t="s">
        <v>67</v>
      </c>
      <c r="I20" s="87" t="s">
        <v>111</v>
      </c>
      <c r="J20" s="87" t="s">
        <v>98</v>
      </c>
      <c r="K20" s="87" t="s">
        <v>59</v>
      </c>
      <c r="L20" s="87" t="s">
        <v>62</v>
      </c>
      <c r="M20" s="87" t="s">
        <v>65</v>
      </c>
      <c r="N20" s="87" t="s">
        <v>68</v>
      </c>
      <c r="O20" s="87" t="s">
        <v>112</v>
      </c>
      <c r="P20" s="87" t="s">
        <v>99</v>
      </c>
      <c r="Q20" s="87" t="s">
        <v>60</v>
      </c>
      <c r="R20" s="87" t="s">
        <v>63</v>
      </c>
      <c r="S20" s="87" t="s">
        <v>66</v>
      </c>
      <c r="T20" s="87" t="s">
        <v>69</v>
      </c>
    </row>
    <row r="21" spans="1:33" x14ac:dyDescent="0.25">
      <c r="A21" s="87" t="s">
        <v>33</v>
      </c>
      <c r="C21" s="87">
        <v>1738.362060546875</v>
      </c>
      <c r="D21" s="87">
        <v>1683.678955078125</v>
      </c>
      <c r="E21" s="87">
        <v>1590.491943359375</v>
      </c>
      <c r="F21" s="87">
        <v>1503.759033203125</v>
      </c>
      <c r="G21" s="87">
        <v>1453.1419677734375</v>
      </c>
      <c r="H21" s="87">
        <v>1360.1070556640625</v>
      </c>
      <c r="I21" s="87">
        <v>1204.991943359375</v>
      </c>
      <c r="J21" s="87">
        <v>1150.926025390625</v>
      </c>
      <c r="K21" s="87">
        <v>1060.7939453125</v>
      </c>
      <c r="L21" s="87">
        <v>1003.52001953125</v>
      </c>
      <c r="M21" s="87">
        <v>981.47698974609375</v>
      </c>
      <c r="N21" s="87">
        <v>917.791015625</v>
      </c>
      <c r="O21" s="87">
        <v>113.12599945068359</v>
      </c>
      <c r="P21" s="87">
        <v>129.86700439453125</v>
      </c>
      <c r="Q21" s="87">
        <v>87.322998046875</v>
      </c>
      <c r="R21" s="87">
        <v>72.553001403808594</v>
      </c>
      <c r="S21" s="87">
        <v>97.378997802734375</v>
      </c>
      <c r="T21" s="87">
        <v>68.103996276855469</v>
      </c>
      <c r="V21" s="88">
        <f>+O21/C21</f>
        <v>6.5076201338111955E-2</v>
      </c>
      <c r="W21" s="88">
        <f t="shared" ref="W21:AA28" si="0">+P21/D21</f>
        <v>7.7132878570965596E-2</v>
      </c>
      <c r="X21" s="88">
        <f t="shared" si="0"/>
        <v>5.4903137618185459E-2</v>
      </c>
      <c r="Y21" s="88">
        <f t="shared" si="0"/>
        <v>4.8247757653874235E-2</v>
      </c>
      <c r="Z21" s="88">
        <f t="shared" si="0"/>
        <v>6.701272137363315E-2</v>
      </c>
      <c r="AA21" s="88">
        <f t="shared" si="0"/>
        <v>5.0072526271547194E-2</v>
      </c>
      <c r="AB21" s="88">
        <f>+O21/I21</f>
        <v>9.3881125159477566E-2</v>
      </c>
      <c r="AC21" s="88">
        <f t="shared" ref="AC21:AG28" si="1">+P21/J21</f>
        <v>0.1128369691270595</v>
      </c>
      <c r="AD21" s="88">
        <f t="shared" si="1"/>
        <v>8.2318529845257046E-2</v>
      </c>
      <c r="AE21" s="88">
        <f t="shared" si="1"/>
        <v>7.2298509239206332E-2</v>
      </c>
      <c r="AF21" s="88">
        <f t="shared" si="1"/>
        <v>9.9216791448086969E-2</v>
      </c>
      <c r="AG21" s="88">
        <f t="shared" si="1"/>
        <v>7.4204252512188526E-2</v>
      </c>
    </row>
    <row r="22" spans="1:33" x14ac:dyDescent="0.25">
      <c r="A22" s="87" t="s">
        <v>34</v>
      </c>
      <c r="C22" s="87">
        <v>20440</v>
      </c>
      <c r="D22" s="87">
        <v>18736</v>
      </c>
      <c r="E22" s="87">
        <v>17383</v>
      </c>
      <c r="F22" s="87">
        <v>15816.51171875</v>
      </c>
      <c r="G22" s="87">
        <v>15095.9814453125</v>
      </c>
      <c r="H22" s="87">
        <v>14246.029296875</v>
      </c>
      <c r="I22" s="87">
        <v>14970</v>
      </c>
      <c r="J22" s="87">
        <v>13774</v>
      </c>
      <c r="K22" s="87">
        <v>12812</v>
      </c>
      <c r="L22" s="87">
        <v>11824.83203125</v>
      </c>
      <c r="M22" s="87">
        <v>11201.6552734375</v>
      </c>
      <c r="N22" s="87">
        <v>10588.8076171875</v>
      </c>
      <c r="O22" s="87">
        <v>1434</v>
      </c>
      <c r="P22" s="87">
        <v>1311</v>
      </c>
      <c r="Q22" s="87">
        <v>1160</v>
      </c>
      <c r="R22" s="87">
        <v>956.1190185546875</v>
      </c>
      <c r="S22" s="87">
        <v>980.25201416015625</v>
      </c>
      <c r="T22" s="87">
        <v>928.573974609375</v>
      </c>
      <c r="V22" s="88">
        <f t="shared" ref="V22:V28" si="2">+O22/C22</f>
        <v>7.0156555772994122E-2</v>
      </c>
      <c r="W22" s="88">
        <f t="shared" si="0"/>
        <v>6.997224594363792E-2</v>
      </c>
      <c r="X22" s="88">
        <f t="shared" si="0"/>
        <v>6.6731864465282176E-2</v>
      </c>
      <c r="Y22" s="88">
        <f t="shared" si="0"/>
        <v>6.0450688214724178E-2</v>
      </c>
      <c r="Z22" s="88">
        <f t="shared" si="0"/>
        <v>6.4934632949256665E-2</v>
      </c>
      <c r="AA22" s="88">
        <f t="shared" si="0"/>
        <v>6.5181248420783919E-2</v>
      </c>
      <c r="AB22" s="88">
        <f t="shared" ref="AB22:AB28" si="3">+O22/I22</f>
        <v>9.5791583166332669E-2</v>
      </c>
      <c r="AC22" s="88">
        <f t="shared" si="1"/>
        <v>9.517932336285756E-2</v>
      </c>
      <c r="AD22" s="88">
        <f t="shared" si="1"/>
        <v>9.0540118638776146E-2</v>
      </c>
      <c r="AE22" s="88">
        <f t="shared" si="1"/>
        <v>8.0856879491218989E-2</v>
      </c>
      <c r="AF22" s="88">
        <f t="shared" si="1"/>
        <v>8.7509568026488835E-2</v>
      </c>
      <c r="AG22" s="88">
        <f t="shared" si="1"/>
        <v>8.7693913061763051E-2</v>
      </c>
    </row>
    <row r="23" spans="1:33" x14ac:dyDescent="0.25">
      <c r="A23" s="87" t="s">
        <v>35</v>
      </c>
      <c r="C23" s="87">
        <v>7003.9931640625</v>
      </c>
      <c r="D23" s="87">
        <v>6509.1171875</v>
      </c>
      <c r="E23" s="87">
        <v>6088.01123046875</v>
      </c>
      <c r="F23" s="87">
        <v>5707.01708984375</v>
      </c>
      <c r="G23" s="87">
        <v>5387.85205078125</v>
      </c>
      <c r="H23" s="87">
        <v>5050.39990234375</v>
      </c>
      <c r="I23" s="87">
        <v>5399.85986328125</v>
      </c>
      <c r="J23" s="87">
        <v>5001.615234375</v>
      </c>
      <c r="K23" s="87">
        <v>4688.9248046875</v>
      </c>
      <c r="L23" s="87">
        <v>4401.990234375</v>
      </c>
      <c r="M23" s="87">
        <v>4167.29296875</v>
      </c>
      <c r="N23" s="87">
        <v>3936.1630859375</v>
      </c>
      <c r="O23" s="87">
        <v>478.0889892578125</v>
      </c>
      <c r="P23" s="87">
        <v>382.99600219726563</v>
      </c>
      <c r="Q23" s="87">
        <v>364.68899536132813</v>
      </c>
      <c r="R23" s="87">
        <v>328.60501098632813</v>
      </c>
      <c r="S23" s="87">
        <v>308.17098999023438</v>
      </c>
      <c r="T23" s="87">
        <v>347.9849853515625</v>
      </c>
      <c r="V23" s="88">
        <f t="shared" si="2"/>
        <v>6.8259488274615671E-2</v>
      </c>
      <c r="W23" s="88">
        <f t="shared" si="0"/>
        <v>5.8839930387605363E-2</v>
      </c>
      <c r="X23" s="88">
        <f t="shared" si="0"/>
        <v>5.9902812520477015E-2</v>
      </c>
      <c r="Y23" s="88">
        <f t="shared" si="0"/>
        <v>5.7579118095005544E-2</v>
      </c>
      <c r="Z23" s="88">
        <f t="shared" si="0"/>
        <v>5.7197374219945203E-2</v>
      </c>
      <c r="AA23" s="88">
        <f t="shared" si="0"/>
        <v>6.8902461603104412E-2</v>
      </c>
      <c r="AB23" s="88">
        <f t="shared" si="3"/>
        <v>8.8537295663687746E-2</v>
      </c>
      <c r="AC23" s="88">
        <f t="shared" si="1"/>
        <v>7.6574463298379775E-2</v>
      </c>
      <c r="AD23" s="88">
        <f t="shared" si="1"/>
        <v>7.7776678140956734E-2</v>
      </c>
      <c r="AE23" s="88">
        <f t="shared" si="1"/>
        <v>7.4649191272679841E-2</v>
      </c>
      <c r="AF23" s="88">
        <f t="shared" si="1"/>
        <v>7.3949922000005622E-2</v>
      </c>
      <c r="AG23" s="88">
        <f t="shared" si="1"/>
        <v>8.8407156348472488E-2</v>
      </c>
    </row>
    <row r="24" spans="1:33" x14ac:dyDescent="0.25">
      <c r="A24" s="87" t="s">
        <v>36</v>
      </c>
      <c r="C24" s="87">
        <v>582.01800537109375</v>
      </c>
      <c r="D24" s="87">
        <v>539.677978515625</v>
      </c>
      <c r="E24" s="87">
        <v>514.84698486328125</v>
      </c>
      <c r="F24" s="87">
        <v>496.22299194335938</v>
      </c>
      <c r="G24" s="87">
        <v>472.92898559570313</v>
      </c>
      <c r="H24" s="87">
        <v>454.42800903320313</v>
      </c>
      <c r="I24" s="87">
        <v>464.38400268554688</v>
      </c>
      <c r="J24" s="87">
        <v>429.38299560546875</v>
      </c>
      <c r="K24" s="87">
        <v>409.56201171875</v>
      </c>
      <c r="L24" s="87">
        <v>397.822998046875</v>
      </c>
      <c r="M24" s="87">
        <v>383.10198974609375</v>
      </c>
      <c r="N24" s="87">
        <v>370.64498901367188</v>
      </c>
      <c r="O24" s="87">
        <v>41.094001770019531</v>
      </c>
      <c r="P24" s="87">
        <v>28.250999450683594</v>
      </c>
      <c r="Q24" s="87">
        <v>20.694000244140625</v>
      </c>
      <c r="R24" s="87">
        <v>23.729999542236328</v>
      </c>
      <c r="S24" s="87">
        <v>21.187999725341797</v>
      </c>
      <c r="T24" s="87">
        <v>20.545999526977539</v>
      </c>
      <c r="V24" s="88">
        <f t="shared" si="2"/>
        <v>7.0606066119583463E-2</v>
      </c>
      <c r="W24" s="88">
        <f t="shared" si="0"/>
        <v>5.2347882580622396E-2</v>
      </c>
      <c r="X24" s="88">
        <f t="shared" si="0"/>
        <v>4.0194467196182498E-2</v>
      </c>
      <c r="Y24" s="88">
        <f t="shared" si="0"/>
        <v>4.7821241513422159E-2</v>
      </c>
      <c r="Z24" s="88">
        <f t="shared" si="0"/>
        <v>4.4801651771572665E-2</v>
      </c>
      <c r="AA24" s="88">
        <f t="shared" si="0"/>
        <v>4.5212881069301186E-2</v>
      </c>
      <c r="AB24" s="88">
        <f t="shared" si="3"/>
        <v>8.8491424192848292E-2</v>
      </c>
      <c r="AC24" s="88">
        <f t="shared" si="1"/>
        <v>6.5794406718056309E-2</v>
      </c>
      <c r="AD24" s="88">
        <f t="shared" si="1"/>
        <v>5.052714766512912E-2</v>
      </c>
      <c r="AE24" s="88">
        <f t="shared" si="1"/>
        <v>5.9649642325203762E-2</v>
      </c>
      <c r="AF24" s="88">
        <f t="shared" si="1"/>
        <v>5.5306420463606683E-2</v>
      </c>
      <c r="AG24" s="88">
        <f t="shared" si="1"/>
        <v>5.5433096725933786E-2</v>
      </c>
    </row>
    <row r="25" spans="1:33" x14ac:dyDescent="0.25">
      <c r="A25" s="87" t="s">
        <v>37</v>
      </c>
      <c r="C25" s="87">
        <v>2959.18505859375</v>
      </c>
      <c r="D25" s="87">
        <v>2705.52197265625</v>
      </c>
      <c r="E25" s="87">
        <v>2494.429931640625</v>
      </c>
      <c r="F25" s="87">
        <v>2331.10009765625</v>
      </c>
      <c r="G25" s="87">
        <v>2195.095947265625</v>
      </c>
      <c r="H25" s="87">
        <v>2077.75</v>
      </c>
      <c r="I25" s="87">
        <v>2036.970947265625</v>
      </c>
      <c r="J25" s="87">
        <v>1847.4599609375</v>
      </c>
      <c r="K25" s="87">
        <v>1689.251953125</v>
      </c>
      <c r="L25" s="87">
        <v>1579.06005859375</v>
      </c>
      <c r="M25" s="87">
        <v>1503.612060546875</v>
      </c>
      <c r="N25" s="87">
        <v>1443.093017578125</v>
      </c>
      <c r="O25" s="87">
        <v>259.19400024414063</v>
      </c>
      <c r="P25" s="87">
        <v>228.93800354003906</v>
      </c>
      <c r="Q25" s="87">
        <v>176.83299255371094</v>
      </c>
      <c r="R25" s="87">
        <v>132.01499938964844</v>
      </c>
      <c r="S25" s="87">
        <v>122.98799896240234</v>
      </c>
      <c r="T25" s="87">
        <v>127.68099975585938</v>
      </c>
      <c r="V25" s="88">
        <f t="shared" si="2"/>
        <v>8.7589655635566629E-2</v>
      </c>
      <c r="W25" s="88">
        <f t="shared" si="0"/>
        <v>8.4618792918273886E-2</v>
      </c>
      <c r="X25" s="88">
        <f t="shared" si="0"/>
        <v>7.0891144429703484E-2</v>
      </c>
      <c r="Y25" s="88">
        <f t="shared" si="0"/>
        <v>5.6632059482293287E-2</v>
      </c>
      <c r="Z25" s="88">
        <f t="shared" si="0"/>
        <v>5.6028529921712693E-2</v>
      </c>
      <c r="AA25" s="88">
        <f t="shared" si="0"/>
        <v>6.1451570090655459E-2</v>
      </c>
      <c r="AB25" s="88">
        <f t="shared" si="3"/>
        <v>0.1272448193687179</v>
      </c>
      <c r="AC25" s="88">
        <f t="shared" si="1"/>
        <v>0.12392041417983624</v>
      </c>
      <c r="AD25" s="88">
        <f t="shared" si="1"/>
        <v>0.10468124202939771</v>
      </c>
      <c r="AE25" s="88">
        <f t="shared" si="1"/>
        <v>8.3603532792296639E-2</v>
      </c>
      <c r="AF25" s="88">
        <f t="shared" si="1"/>
        <v>8.1795033565819283E-2</v>
      </c>
      <c r="AG25" s="88">
        <f t="shared" si="1"/>
        <v>8.8477317955664686E-2</v>
      </c>
    </row>
    <row r="26" spans="1:33" x14ac:dyDescent="0.25">
      <c r="A26" s="87" t="s">
        <v>38</v>
      </c>
      <c r="C26" s="87">
        <v>703.51202392578125</v>
      </c>
      <c r="D26" s="87">
        <v>653.5040283203125</v>
      </c>
      <c r="E26" s="87">
        <v>608.2130126953125</v>
      </c>
      <c r="F26" s="87">
        <v>583.39202880859375</v>
      </c>
      <c r="G26" s="87">
        <v>556.844970703125</v>
      </c>
      <c r="H26" s="87">
        <v>535.5780029296875</v>
      </c>
      <c r="I26" s="87">
        <v>557.239990234375</v>
      </c>
      <c r="J26" s="87">
        <v>517.7760009765625</v>
      </c>
      <c r="K26" s="87">
        <v>481.8699951171875</v>
      </c>
      <c r="L26" s="87">
        <v>465.406005859375</v>
      </c>
      <c r="M26" s="87">
        <v>446.47900390625</v>
      </c>
      <c r="N26" s="87">
        <v>435.21798706054688</v>
      </c>
      <c r="O26" s="87">
        <v>50.300998687744141</v>
      </c>
      <c r="P26" s="87">
        <v>47.375</v>
      </c>
      <c r="Q26" s="87">
        <v>25.773000717163086</v>
      </c>
      <c r="R26" s="87">
        <v>22.596000671386719</v>
      </c>
      <c r="S26" s="87">
        <v>20.079999923706055</v>
      </c>
      <c r="T26" s="87">
        <v>21.577999114990234</v>
      </c>
      <c r="V26" s="88">
        <f t="shared" si="2"/>
        <v>7.1499842187559781E-2</v>
      </c>
      <c r="W26" s="88">
        <f t="shared" si="0"/>
        <v>7.2493814799836742E-2</v>
      </c>
      <c r="X26" s="88">
        <f t="shared" si="0"/>
        <v>4.2374957751971358E-2</v>
      </c>
      <c r="Y26" s="88">
        <f t="shared" si="0"/>
        <v>3.8732103895098444E-2</v>
      </c>
      <c r="Z26" s="88">
        <f t="shared" si="0"/>
        <v>3.6060305794539463E-2</v>
      </c>
      <c r="AA26" s="88">
        <f t="shared" si="0"/>
        <v>4.0289181028637329E-2</v>
      </c>
      <c r="AB26" s="88">
        <f t="shared" si="3"/>
        <v>9.0268106326302167E-2</v>
      </c>
      <c r="AC26" s="88">
        <f t="shared" si="1"/>
        <v>9.1497095096426576E-2</v>
      </c>
      <c r="AD26" s="88">
        <f t="shared" si="1"/>
        <v>5.3485381904501583E-2</v>
      </c>
      <c r="AE26" s="88">
        <f t="shared" si="1"/>
        <v>4.8551158315336018E-2</v>
      </c>
      <c r="AF26" s="88">
        <f t="shared" si="1"/>
        <v>4.4974119159077813E-2</v>
      </c>
      <c r="AG26" s="88">
        <f t="shared" si="1"/>
        <v>4.9579750278079239E-2</v>
      </c>
    </row>
    <row r="27" spans="1:33" x14ac:dyDescent="0.25">
      <c r="A27" s="87" t="s">
        <v>39</v>
      </c>
      <c r="C27" s="87">
        <v>1848.5360107421875</v>
      </c>
      <c r="D27" s="87">
        <v>1728.573974609375</v>
      </c>
      <c r="E27" s="87">
        <v>1599.06298828125</v>
      </c>
      <c r="F27" s="87">
        <v>1486.9449462890625</v>
      </c>
      <c r="G27" s="87">
        <v>1392.66796875</v>
      </c>
      <c r="H27" s="87">
        <v>1290.467041015625</v>
      </c>
      <c r="I27" s="87">
        <v>1284.344970703125</v>
      </c>
      <c r="J27" s="87">
        <v>1196.822021484375</v>
      </c>
      <c r="K27" s="87">
        <v>1098.2469482421875</v>
      </c>
      <c r="L27" s="87">
        <v>1025.2149658203125</v>
      </c>
      <c r="M27" s="87">
        <v>966.5570068359375</v>
      </c>
      <c r="N27" s="87">
        <v>896.74700927734375</v>
      </c>
      <c r="O27" s="87">
        <v>149.05499267578125</v>
      </c>
      <c r="P27" s="87">
        <v>142.22000122070313</v>
      </c>
      <c r="Q27" s="87">
        <v>106.77400207519531</v>
      </c>
      <c r="R27" s="87">
        <v>101.93599700927734</v>
      </c>
      <c r="S27" s="87">
        <v>94.324996948242188</v>
      </c>
      <c r="T27" s="87">
        <v>105.83399963378906</v>
      </c>
      <c r="V27" s="88">
        <f t="shared" si="2"/>
        <v>8.0634075727816446E-2</v>
      </c>
      <c r="W27" s="88">
        <f t="shared" si="0"/>
        <v>8.2275912578657309E-2</v>
      </c>
      <c r="X27" s="88">
        <f t="shared" si="0"/>
        <v>6.6772855639640041E-2</v>
      </c>
      <c r="Y27" s="88">
        <f t="shared" si="0"/>
        <v>6.8553981950493115E-2</v>
      </c>
      <c r="Z27" s="88">
        <f t="shared" si="0"/>
        <v>6.7729709496301777E-2</v>
      </c>
      <c r="AA27" s="88">
        <f t="shared" si="0"/>
        <v>8.201216789736486E-2</v>
      </c>
      <c r="AB27" s="88">
        <f t="shared" si="3"/>
        <v>0.11605526246907004</v>
      </c>
      <c r="AC27" s="88">
        <f t="shared" si="1"/>
        <v>0.11883137063630632</v>
      </c>
      <c r="AD27" s="88">
        <f t="shared" si="1"/>
        <v>9.7222216047213914E-2</v>
      </c>
      <c r="AE27" s="88">
        <f t="shared" si="1"/>
        <v>9.942890067715171E-2</v>
      </c>
      <c r="AF27" s="88">
        <f t="shared" si="1"/>
        <v>9.7588653624289354E-2</v>
      </c>
      <c r="AG27" s="88">
        <f t="shared" si="1"/>
        <v>0.11801990811107013</v>
      </c>
    </row>
    <row r="28" spans="1:33" x14ac:dyDescent="0.25">
      <c r="A28" s="87" t="s">
        <v>40</v>
      </c>
      <c r="C28" s="87">
        <v>363.65701293945313</v>
      </c>
      <c r="D28" s="87">
        <v>340.84298706054688</v>
      </c>
      <c r="E28" s="87">
        <v>326.78900146484375</v>
      </c>
      <c r="F28" s="87">
        <v>314.05398559570313</v>
      </c>
      <c r="G28" s="87">
        <v>299.67300415039063</v>
      </c>
      <c r="H28" s="87">
        <v>293.47799682617188</v>
      </c>
      <c r="I28" s="87">
        <v>289.52398681640625</v>
      </c>
      <c r="J28" s="87">
        <v>271.65200805664063</v>
      </c>
      <c r="K28" s="87">
        <v>262.18899536132813</v>
      </c>
      <c r="L28" s="87">
        <v>253.95899963378906</v>
      </c>
      <c r="M28" s="87">
        <v>245</v>
      </c>
      <c r="N28" s="87">
        <v>240.31500244140625</v>
      </c>
      <c r="O28" s="87">
        <v>24.601999282836914</v>
      </c>
      <c r="P28" s="87">
        <v>13.157999992370605</v>
      </c>
      <c r="Q28" s="87">
        <v>13.843999862670898</v>
      </c>
      <c r="R28" s="87">
        <v>14.138999938964844</v>
      </c>
      <c r="S28" s="87">
        <v>9.8520002365112305</v>
      </c>
      <c r="T28" s="87">
        <v>11.543000221252441</v>
      </c>
      <c r="V28" s="88">
        <f t="shared" si="2"/>
        <v>6.7651656389018988E-2</v>
      </c>
      <c r="W28" s="88">
        <f t="shared" si="0"/>
        <v>3.8604285527028423E-2</v>
      </c>
      <c r="X28" s="88">
        <f t="shared" si="0"/>
        <v>4.2363726443101386E-2</v>
      </c>
      <c r="Y28" s="88">
        <f t="shared" si="0"/>
        <v>4.5020921839745924E-2</v>
      </c>
      <c r="Z28" s="88">
        <f t="shared" si="0"/>
        <v>3.28758349936887E-2</v>
      </c>
      <c r="AA28" s="88">
        <f t="shared" si="0"/>
        <v>3.9331739844501543E-2</v>
      </c>
      <c r="AB28" s="88">
        <f t="shared" si="3"/>
        <v>8.4973958646257522E-2</v>
      </c>
      <c r="AC28" s="88">
        <f t="shared" si="1"/>
        <v>4.8436969365700785E-2</v>
      </c>
      <c r="AD28" s="88">
        <f t="shared" si="1"/>
        <v>5.2801605359493423E-2</v>
      </c>
      <c r="AE28" s="88">
        <f t="shared" si="1"/>
        <v>5.5674340973753227E-2</v>
      </c>
      <c r="AF28" s="88">
        <f t="shared" si="1"/>
        <v>4.0212245863311145E-2</v>
      </c>
      <c r="AG28" s="88">
        <f t="shared" si="1"/>
        <v>4.803279072877218E-2</v>
      </c>
    </row>
    <row r="30" spans="1:33" x14ac:dyDescent="0.25">
      <c r="V30" s="88">
        <f t="shared" ref="V30:AG30" si="4">AVERAGE(V21:V28)</f>
        <v>7.2684192680658399E-2</v>
      </c>
      <c r="W30" s="88">
        <f t="shared" si="4"/>
        <v>6.7035717913328449E-2</v>
      </c>
      <c r="X30" s="88">
        <f t="shared" si="4"/>
        <v>5.5516870758067924E-2</v>
      </c>
      <c r="Y30" s="88">
        <f t="shared" si="4"/>
        <v>5.2879734080582115E-2</v>
      </c>
      <c r="Z30" s="88">
        <f t="shared" si="4"/>
        <v>5.3330095065081289E-2</v>
      </c>
      <c r="AA30" s="88">
        <f t="shared" si="4"/>
        <v>5.6556722028236993E-2</v>
      </c>
      <c r="AB30" s="91">
        <f t="shared" si="4"/>
        <v>9.8155446874086741E-2</v>
      </c>
      <c r="AC30" s="91">
        <f t="shared" si="4"/>
        <v>9.1633876473077885E-2</v>
      </c>
      <c r="AD30" s="91">
        <f t="shared" si="4"/>
        <v>7.6169114953840711E-2</v>
      </c>
      <c r="AE30" s="91">
        <f t="shared" si="4"/>
        <v>7.1839019385855823E-2</v>
      </c>
      <c r="AF30" s="88">
        <f t="shared" si="4"/>
        <v>7.2569094268835718E-2</v>
      </c>
      <c r="AG30" s="88">
        <f t="shared" si="4"/>
        <v>7.6231023215243013E-2</v>
      </c>
    </row>
    <row r="32" spans="1:33" x14ac:dyDescent="0.25">
      <c r="B32" s="7"/>
      <c r="C32" s="24" t="s">
        <v>4</v>
      </c>
      <c r="D32" s="25"/>
      <c r="E32" s="25"/>
      <c r="F32" s="26"/>
      <c r="G32" s="8"/>
      <c r="H32" s="24" t="s">
        <v>5</v>
      </c>
      <c r="I32" s="25"/>
      <c r="J32" s="25"/>
      <c r="K32" s="27"/>
    </row>
    <row r="33" spans="1:11" x14ac:dyDescent="0.25">
      <c r="B33" s="7"/>
      <c r="C33" s="132">
        <v>2017</v>
      </c>
      <c r="D33" s="28">
        <f>+C33-1</f>
        <v>2016</v>
      </c>
      <c r="E33" s="28">
        <f t="shared" ref="E33:F33" si="5">+D33-1</f>
        <v>2015</v>
      </c>
      <c r="F33" s="28">
        <f t="shared" si="5"/>
        <v>2014</v>
      </c>
      <c r="G33" s="8"/>
      <c r="H33" s="28">
        <f>+C33</f>
        <v>2017</v>
      </c>
      <c r="I33" s="28">
        <f>+H33-1</f>
        <v>2016</v>
      </c>
      <c r="J33" s="28">
        <f t="shared" ref="J33:K33" si="6">+I33-1</f>
        <v>2015</v>
      </c>
      <c r="K33" s="29">
        <f t="shared" si="6"/>
        <v>2014</v>
      </c>
    </row>
    <row r="34" spans="1:11" x14ac:dyDescent="0.25">
      <c r="B34" s="7"/>
      <c r="C34" s="30" t="s">
        <v>6</v>
      </c>
      <c r="D34" s="31"/>
      <c r="E34" s="31"/>
      <c r="F34" s="31"/>
      <c r="G34" s="8"/>
      <c r="H34" s="30" t="s">
        <v>6</v>
      </c>
      <c r="I34" s="31"/>
      <c r="J34" s="31"/>
      <c r="K34" s="32"/>
    </row>
    <row r="35" spans="1:11" x14ac:dyDescent="0.25">
      <c r="B35" s="7"/>
      <c r="C35" s="8"/>
      <c r="D35" s="8"/>
      <c r="E35" s="8"/>
      <c r="F35" s="8"/>
      <c r="G35" s="8"/>
      <c r="H35" s="8"/>
      <c r="I35" s="8"/>
      <c r="J35" s="8"/>
      <c r="K35" s="9"/>
    </row>
    <row r="36" spans="1:11" x14ac:dyDescent="0.25">
      <c r="B36" s="133" t="s">
        <v>101</v>
      </c>
      <c r="C36" s="33">
        <f>ROUND(+O44/1000000,3)</f>
        <v>0</v>
      </c>
      <c r="D36" s="33">
        <f>ROUND(+P44/1000000,3)</f>
        <v>0</v>
      </c>
      <c r="E36" s="33">
        <f>ROUND(+Q44/1000000,3)</f>
        <v>0</v>
      </c>
      <c r="F36" s="33">
        <f>ROUND(+R44/1000000,3)</f>
        <v>0</v>
      </c>
      <c r="G36" s="33"/>
      <c r="H36" s="33">
        <f>ROUND(+R42/1000000,3)</f>
        <v>0</v>
      </c>
      <c r="I36" s="33">
        <f>ROUND(+Q42/1000000,3)</f>
        <v>0</v>
      </c>
      <c r="J36" s="33">
        <f>ROUND(+P42/1000000,3)</f>
        <v>0</v>
      </c>
      <c r="K36" s="34">
        <f>ROUND(+O42/1000000,3)</f>
        <v>0</v>
      </c>
    </row>
    <row r="37" spans="1:11" x14ac:dyDescent="0.25">
      <c r="B37" s="7"/>
      <c r="C37" s="35"/>
      <c r="D37" s="35"/>
      <c r="E37" s="35"/>
      <c r="F37" s="35"/>
      <c r="G37" s="35"/>
      <c r="H37" s="35"/>
      <c r="I37" s="35"/>
      <c r="J37" s="35"/>
      <c r="K37" s="36"/>
    </row>
    <row r="38" spans="1:11" x14ac:dyDescent="0.25">
      <c r="B38" s="37" t="s">
        <v>7</v>
      </c>
      <c r="C38" s="35"/>
      <c r="D38" s="35"/>
      <c r="E38" s="35"/>
      <c r="F38" s="35"/>
      <c r="G38" s="35"/>
      <c r="H38" s="35"/>
      <c r="I38" s="35"/>
      <c r="J38" s="35"/>
      <c r="K38" s="36"/>
    </row>
    <row r="39" spans="1:11" x14ac:dyDescent="0.25">
      <c r="B39" s="7" t="s">
        <v>8</v>
      </c>
      <c r="C39" s="33">
        <f t="shared" ref="C39:F43" si="7">+I21</f>
        <v>1204.991943359375</v>
      </c>
      <c r="D39" s="33">
        <f t="shared" si="7"/>
        <v>1150.926025390625</v>
      </c>
      <c r="E39" s="33">
        <f t="shared" si="7"/>
        <v>1060.7939453125</v>
      </c>
      <c r="F39" s="33">
        <f t="shared" si="7"/>
        <v>1003.52001953125</v>
      </c>
      <c r="G39" s="33"/>
      <c r="H39" s="33">
        <f t="shared" ref="H39:K43" si="8">+O21</f>
        <v>113.12599945068359</v>
      </c>
      <c r="I39" s="33">
        <f t="shared" si="8"/>
        <v>129.86700439453125</v>
      </c>
      <c r="J39" s="33">
        <f t="shared" si="8"/>
        <v>87.322998046875</v>
      </c>
      <c r="K39" s="33">
        <f t="shared" si="8"/>
        <v>72.553001403808594</v>
      </c>
    </row>
    <row r="40" spans="1:11" x14ac:dyDescent="0.25">
      <c r="B40" s="7" t="s">
        <v>9</v>
      </c>
      <c r="C40" s="33">
        <f t="shared" si="7"/>
        <v>14970</v>
      </c>
      <c r="D40" s="33">
        <f t="shared" si="7"/>
        <v>13774</v>
      </c>
      <c r="E40" s="33">
        <f t="shared" si="7"/>
        <v>12812</v>
      </c>
      <c r="F40" s="33">
        <f t="shared" si="7"/>
        <v>11824.83203125</v>
      </c>
      <c r="G40" s="35"/>
      <c r="H40" s="33">
        <f t="shared" si="8"/>
        <v>1434</v>
      </c>
      <c r="I40" s="33">
        <f t="shared" si="8"/>
        <v>1311</v>
      </c>
      <c r="J40" s="33">
        <f t="shared" si="8"/>
        <v>1160</v>
      </c>
      <c r="K40" s="33">
        <f t="shared" si="8"/>
        <v>956.1190185546875</v>
      </c>
    </row>
    <row r="41" spans="1:11" x14ac:dyDescent="0.25">
      <c r="B41" s="7" t="s">
        <v>10</v>
      </c>
      <c r="C41" s="33">
        <f t="shared" si="7"/>
        <v>5399.85986328125</v>
      </c>
      <c r="D41" s="33">
        <f t="shared" si="7"/>
        <v>5001.615234375</v>
      </c>
      <c r="E41" s="33">
        <f t="shared" si="7"/>
        <v>4688.9248046875</v>
      </c>
      <c r="F41" s="33">
        <f t="shared" si="7"/>
        <v>4401.990234375</v>
      </c>
      <c r="G41" s="35"/>
      <c r="H41" s="33">
        <f t="shared" si="8"/>
        <v>478.0889892578125</v>
      </c>
      <c r="I41" s="33">
        <f t="shared" si="8"/>
        <v>382.99600219726563</v>
      </c>
      <c r="J41" s="33">
        <f t="shared" si="8"/>
        <v>364.68899536132813</v>
      </c>
      <c r="K41" s="33">
        <f t="shared" si="8"/>
        <v>328.60501098632813</v>
      </c>
    </row>
    <row r="42" spans="1:11" x14ac:dyDescent="0.25">
      <c r="B42" s="7" t="s">
        <v>11</v>
      </c>
      <c r="C42" s="33">
        <f t="shared" si="7"/>
        <v>464.38400268554688</v>
      </c>
      <c r="D42" s="33">
        <f t="shared" si="7"/>
        <v>429.38299560546875</v>
      </c>
      <c r="E42" s="33">
        <f t="shared" si="7"/>
        <v>409.56201171875</v>
      </c>
      <c r="F42" s="33">
        <f t="shared" si="7"/>
        <v>397.822998046875</v>
      </c>
      <c r="G42" s="35"/>
      <c r="H42" s="33">
        <f t="shared" si="8"/>
        <v>41.094001770019531</v>
      </c>
      <c r="I42" s="33">
        <f t="shared" si="8"/>
        <v>28.250999450683594</v>
      </c>
      <c r="J42" s="33">
        <f t="shared" si="8"/>
        <v>20.694000244140625</v>
      </c>
      <c r="K42" s="33">
        <f t="shared" si="8"/>
        <v>23.729999542236328</v>
      </c>
    </row>
    <row r="43" spans="1:11" x14ac:dyDescent="0.25">
      <c r="B43" s="7" t="s">
        <v>12</v>
      </c>
      <c r="C43" s="33">
        <f t="shared" si="7"/>
        <v>2036.970947265625</v>
      </c>
      <c r="D43" s="33">
        <f t="shared" si="7"/>
        <v>1847.4599609375</v>
      </c>
      <c r="E43" s="33">
        <f t="shared" si="7"/>
        <v>1689.251953125</v>
      </c>
      <c r="F43" s="33">
        <f t="shared" si="7"/>
        <v>1579.06005859375</v>
      </c>
      <c r="G43" s="35"/>
      <c r="H43" s="33">
        <f t="shared" si="8"/>
        <v>259.19400024414063</v>
      </c>
      <c r="I43" s="33">
        <f t="shared" si="8"/>
        <v>228.93800354003906</v>
      </c>
      <c r="J43" s="33">
        <f t="shared" si="8"/>
        <v>176.83299255371094</v>
      </c>
      <c r="K43" s="33">
        <f t="shared" si="8"/>
        <v>132.01499938964844</v>
      </c>
    </row>
    <row r="44" spans="1:11" x14ac:dyDescent="0.25">
      <c r="B44" s="7" t="s">
        <v>13</v>
      </c>
      <c r="C44" s="33">
        <f t="shared" ref="C44:F44" si="9">+I26</f>
        <v>557.239990234375</v>
      </c>
      <c r="D44" s="33">
        <f t="shared" si="9"/>
        <v>517.7760009765625</v>
      </c>
      <c r="E44" s="33">
        <f t="shared" si="9"/>
        <v>481.8699951171875</v>
      </c>
      <c r="F44" s="33">
        <f t="shared" si="9"/>
        <v>465.406005859375</v>
      </c>
      <c r="G44" s="35"/>
      <c r="H44" s="33">
        <f t="shared" ref="H44:K44" si="10">+O26</f>
        <v>50.300998687744141</v>
      </c>
      <c r="I44" s="33">
        <f t="shared" si="10"/>
        <v>47.375</v>
      </c>
      <c r="J44" s="33">
        <f t="shared" si="10"/>
        <v>25.773000717163086</v>
      </c>
      <c r="K44" s="33">
        <f t="shared" si="10"/>
        <v>22.596000671386719</v>
      </c>
    </row>
    <row r="45" spans="1:11" x14ac:dyDescent="0.25">
      <c r="B45" s="7" t="s">
        <v>14</v>
      </c>
      <c r="C45" s="33">
        <f t="shared" ref="C45:F45" si="11">+I27</f>
        <v>1284.344970703125</v>
      </c>
      <c r="D45" s="33">
        <f t="shared" si="11"/>
        <v>1196.822021484375</v>
      </c>
      <c r="E45" s="33">
        <f t="shared" si="11"/>
        <v>1098.2469482421875</v>
      </c>
      <c r="F45" s="33">
        <f t="shared" si="11"/>
        <v>1025.2149658203125</v>
      </c>
      <c r="G45" s="35"/>
      <c r="H45" s="33">
        <f t="shared" ref="H45:K45" si="12">+O27</f>
        <v>149.05499267578125</v>
      </c>
      <c r="I45" s="33">
        <f t="shared" si="12"/>
        <v>142.22000122070313</v>
      </c>
      <c r="J45" s="33">
        <f t="shared" si="12"/>
        <v>106.77400207519531</v>
      </c>
      <c r="K45" s="33">
        <f t="shared" si="12"/>
        <v>101.93599700927734</v>
      </c>
    </row>
    <row r="46" spans="1:11" x14ac:dyDescent="0.25">
      <c r="B46" s="7" t="s">
        <v>15</v>
      </c>
      <c r="C46" s="33">
        <f t="shared" ref="C46:F46" si="13">+I28</f>
        <v>289.52398681640625</v>
      </c>
      <c r="D46" s="33">
        <f t="shared" si="13"/>
        <v>271.65200805664063</v>
      </c>
      <c r="E46" s="33">
        <f t="shared" si="13"/>
        <v>262.18899536132813</v>
      </c>
      <c r="F46" s="33">
        <f t="shared" si="13"/>
        <v>253.95899963378906</v>
      </c>
      <c r="G46" s="35"/>
      <c r="H46" s="33">
        <f t="shared" ref="H46:K46" si="14">+O28</f>
        <v>24.601999282836914</v>
      </c>
      <c r="I46" s="33">
        <f t="shared" si="14"/>
        <v>13.157999992370605</v>
      </c>
      <c r="J46" s="33">
        <f t="shared" si="14"/>
        <v>13.843999862670898</v>
      </c>
      <c r="K46" s="33">
        <f t="shared" si="14"/>
        <v>14.138999938964844</v>
      </c>
    </row>
    <row r="48" spans="1:11" x14ac:dyDescent="0.25">
      <c r="A48" s="9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7"/>
  <sheetViews>
    <sheetView topLeftCell="A8" zoomScale="120" zoomScaleNormal="120" workbookViewId="0">
      <selection activeCell="A11" sqref="A11"/>
    </sheetView>
  </sheetViews>
  <sheetFormatPr defaultRowHeight="15" x14ac:dyDescent="0.25"/>
  <cols>
    <col min="1" max="1" width="38" bestFit="1" customWidth="1"/>
    <col min="2" max="3" width="12" bestFit="1" customWidth="1"/>
    <col min="7" max="8" width="12" bestFit="1" customWidth="1"/>
    <col min="12" max="13" width="9.85546875" bestFit="1" customWidth="1"/>
  </cols>
  <sheetData>
    <row r="2" spans="1:33" x14ac:dyDescent="0.25">
      <c r="A2" s="109" t="s">
        <v>113</v>
      </c>
    </row>
    <row r="3" spans="1:33" ht="40.5" x14ac:dyDescent="0.3">
      <c r="A3" s="102" t="s">
        <v>83</v>
      </c>
      <c r="B3" s="103" t="s">
        <v>84</v>
      </c>
      <c r="C3" s="103" t="s">
        <v>85</v>
      </c>
      <c r="F3" s="102" t="s">
        <v>83</v>
      </c>
      <c r="G3" s="103" t="s">
        <v>85</v>
      </c>
      <c r="H3" s="103" t="s">
        <v>90</v>
      </c>
      <c r="J3" s="103"/>
      <c r="K3" s="103"/>
    </row>
    <row r="4" spans="1:33" ht="16.5" x14ac:dyDescent="0.25">
      <c r="A4" s="104">
        <v>0</v>
      </c>
      <c r="B4" s="104">
        <v>0</v>
      </c>
      <c r="C4" s="104">
        <v>0</v>
      </c>
      <c r="D4" s="108" t="e">
        <f>+C4/B4</f>
        <v>#DIV/0!</v>
      </c>
      <c r="F4" s="104">
        <v>0</v>
      </c>
      <c r="G4" s="104">
        <v>0</v>
      </c>
      <c r="H4" s="104">
        <v>0</v>
      </c>
      <c r="I4" s="108" t="e">
        <f>+H4/G4</f>
        <v>#DIV/0!</v>
      </c>
      <c r="L4" s="101"/>
      <c r="AC4" t="e">
        <f>+W4/Z4</f>
        <v>#DIV/0!</v>
      </c>
      <c r="AD4" t="e">
        <f>+X4/AA4</f>
        <v>#DIV/0!</v>
      </c>
      <c r="AF4" t="e">
        <f>+W4/AC4</f>
        <v>#DIV/0!</v>
      </c>
      <c r="AG4" t="e">
        <f>+X4/AD4</f>
        <v>#DIV/0!</v>
      </c>
    </row>
    <row r="5" spans="1:33" ht="16.5" x14ac:dyDescent="0.25">
      <c r="A5" s="105">
        <v>0</v>
      </c>
      <c r="B5" s="105">
        <v>0</v>
      </c>
      <c r="C5" s="105">
        <v>0</v>
      </c>
      <c r="D5" s="108" t="e">
        <f t="shared" ref="D5:D11" si="0">+C5/B5</f>
        <v>#DIV/0!</v>
      </c>
      <c r="F5" s="105">
        <v>0</v>
      </c>
      <c r="G5" s="105">
        <v>0</v>
      </c>
      <c r="H5" s="105">
        <v>0</v>
      </c>
      <c r="I5" s="108" t="e">
        <f t="shared" ref="I5:I11" si="1">+H5/G5</f>
        <v>#DIV/0!</v>
      </c>
      <c r="L5" s="101"/>
    </row>
    <row r="6" spans="1:33" ht="16.5" x14ac:dyDescent="0.25">
      <c r="A6" s="104">
        <v>0</v>
      </c>
      <c r="B6" s="104">
        <v>0</v>
      </c>
      <c r="C6" s="104">
        <v>0</v>
      </c>
      <c r="D6" s="108" t="e">
        <f t="shared" si="0"/>
        <v>#DIV/0!</v>
      </c>
      <c r="F6" s="104">
        <v>0</v>
      </c>
      <c r="G6" s="104">
        <v>0</v>
      </c>
      <c r="H6" s="104">
        <v>0</v>
      </c>
      <c r="I6" s="108" t="e">
        <f t="shared" si="1"/>
        <v>#DIV/0!</v>
      </c>
      <c r="L6" s="101"/>
    </row>
    <row r="7" spans="1:33" ht="16.5" x14ac:dyDescent="0.25">
      <c r="A7" s="106">
        <v>0</v>
      </c>
      <c r="B7" s="106">
        <v>0</v>
      </c>
      <c r="C7" s="106">
        <v>0</v>
      </c>
      <c r="D7" s="108" t="e">
        <f t="shared" si="0"/>
        <v>#DIV/0!</v>
      </c>
      <c r="F7" s="106">
        <v>0</v>
      </c>
      <c r="G7" s="106">
        <v>0</v>
      </c>
      <c r="H7" s="106">
        <v>0</v>
      </c>
      <c r="I7" s="108" t="e">
        <f t="shared" si="1"/>
        <v>#DIV/0!</v>
      </c>
      <c r="L7" s="101"/>
    </row>
    <row r="8" spans="1:33" ht="16.5" x14ac:dyDescent="0.25">
      <c r="A8" s="104">
        <v>0</v>
      </c>
      <c r="B8" s="104">
        <v>0</v>
      </c>
      <c r="C8" s="104">
        <v>0</v>
      </c>
      <c r="D8" s="108" t="e">
        <f t="shared" si="0"/>
        <v>#DIV/0!</v>
      </c>
      <c r="F8" s="104">
        <v>0</v>
      </c>
      <c r="G8" s="104">
        <v>0</v>
      </c>
      <c r="H8" s="104">
        <v>0</v>
      </c>
      <c r="I8" s="108" t="e">
        <f t="shared" si="1"/>
        <v>#DIV/0!</v>
      </c>
      <c r="L8" s="101"/>
    </row>
    <row r="9" spans="1:33" ht="16.5" x14ac:dyDescent="0.25">
      <c r="A9" s="107">
        <v>0</v>
      </c>
      <c r="B9" s="107">
        <v>0</v>
      </c>
      <c r="C9" s="107">
        <v>0</v>
      </c>
      <c r="D9" s="108" t="e">
        <f t="shared" si="0"/>
        <v>#DIV/0!</v>
      </c>
      <c r="F9" s="107">
        <v>0</v>
      </c>
      <c r="G9" s="107">
        <v>0</v>
      </c>
      <c r="H9" s="107">
        <v>0</v>
      </c>
      <c r="I9" s="108" t="e">
        <f t="shared" si="1"/>
        <v>#DIV/0!</v>
      </c>
      <c r="L9" s="101"/>
    </row>
    <row r="10" spans="1:33" ht="16.5" x14ac:dyDescent="0.25">
      <c r="A10" s="104">
        <v>0</v>
      </c>
      <c r="B10" s="104">
        <v>0</v>
      </c>
      <c r="C10" s="104">
        <v>0</v>
      </c>
      <c r="D10" s="108" t="e">
        <f t="shared" si="0"/>
        <v>#DIV/0!</v>
      </c>
      <c r="F10" s="104">
        <v>0</v>
      </c>
      <c r="G10" s="104">
        <v>0</v>
      </c>
      <c r="H10" s="104">
        <v>0</v>
      </c>
      <c r="I10" s="108" t="e">
        <f t="shared" si="1"/>
        <v>#DIV/0!</v>
      </c>
      <c r="L10" s="101"/>
    </row>
    <row r="11" spans="1:33" ht="16.5" x14ac:dyDescent="0.25">
      <c r="A11" s="105">
        <v>0</v>
      </c>
      <c r="B11" s="105">
        <v>0</v>
      </c>
      <c r="C11" s="105">
        <v>0</v>
      </c>
      <c r="D11" s="108" t="e">
        <f t="shared" si="0"/>
        <v>#DIV/0!</v>
      </c>
      <c r="F11" s="105">
        <v>0</v>
      </c>
      <c r="G11" s="105">
        <v>0</v>
      </c>
      <c r="H11" s="105">
        <v>0</v>
      </c>
      <c r="I11" s="108" t="e">
        <f t="shared" si="1"/>
        <v>#DIV/0!</v>
      </c>
      <c r="L11" s="101"/>
    </row>
    <row r="12" spans="1:33" ht="16.5" x14ac:dyDescent="0.25">
      <c r="A12" s="104"/>
      <c r="B12" s="104"/>
      <c r="C12" s="104"/>
      <c r="L12" s="101"/>
    </row>
    <row r="13" spans="1:33" x14ac:dyDescent="0.25">
      <c r="A13" t="s">
        <v>54</v>
      </c>
      <c r="D13" s="110" t="e">
        <f>MEDIAN(D4:D12)</f>
        <v>#DIV/0!</v>
      </c>
      <c r="I13" s="110" t="e">
        <f>MEDIAN(I4:I12)</f>
        <v>#DIV/0!</v>
      </c>
      <c r="J13" s="123"/>
    </row>
    <row r="15" spans="1:33" s="111" customFormat="1" x14ac:dyDescent="0.25"/>
    <row r="16" spans="1:33" x14ac:dyDescent="0.25">
      <c r="A16" s="109">
        <v>43100</v>
      </c>
    </row>
    <row r="17" spans="1:10" ht="40.5" x14ac:dyDescent="0.3">
      <c r="A17" s="102" t="s">
        <v>83</v>
      </c>
      <c r="B17" s="103" t="s">
        <v>84</v>
      </c>
      <c r="C17" s="103" t="s">
        <v>85</v>
      </c>
      <c r="F17" s="102" t="s">
        <v>83</v>
      </c>
      <c r="G17" s="103" t="s">
        <v>85</v>
      </c>
      <c r="H17" s="103" t="s">
        <v>90</v>
      </c>
      <c r="J17" s="103"/>
    </row>
    <row r="18" spans="1:10" ht="16.5" x14ac:dyDescent="0.25">
      <c r="A18" s="104" t="s">
        <v>8</v>
      </c>
      <c r="B18" s="104">
        <v>1738.362060546875</v>
      </c>
      <c r="C18" s="104">
        <v>1204.991943359375</v>
      </c>
      <c r="D18" s="108">
        <v>0.69317662339012054</v>
      </c>
      <c r="F18" s="104" t="s">
        <v>8</v>
      </c>
      <c r="G18" s="104">
        <v>1204.991943359375</v>
      </c>
      <c r="H18" s="104">
        <v>850.98388671875</v>
      </c>
      <c r="I18" s="108">
        <v>0.7062154161349059</v>
      </c>
    </row>
    <row r="19" spans="1:10" ht="16.5" x14ac:dyDescent="0.25">
      <c r="A19" s="105" t="s">
        <v>49</v>
      </c>
      <c r="B19" s="105">
        <v>20440</v>
      </c>
      <c r="C19" s="105">
        <v>14970</v>
      </c>
      <c r="D19" s="108">
        <v>0.73238747553816042</v>
      </c>
      <c r="F19" s="105" t="s">
        <v>49</v>
      </c>
      <c r="G19" s="105">
        <v>14970</v>
      </c>
      <c r="H19" s="105">
        <v>11883</v>
      </c>
      <c r="I19" s="108">
        <v>0.79378757515030063</v>
      </c>
    </row>
    <row r="20" spans="1:10" ht="16.5" x14ac:dyDescent="0.25">
      <c r="A20" s="104" t="s">
        <v>10</v>
      </c>
      <c r="B20" s="104">
        <v>7003.9921875</v>
      </c>
      <c r="C20" s="104">
        <v>5399.859375</v>
      </c>
      <c r="D20" s="108">
        <v>0.77096878900537746</v>
      </c>
      <c r="F20" s="104" t="s">
        <v>10</v>
      </c>
      <c r="G20" s="104">
        <v>5399.859375</v>
      </c>
      <c r="H20" s="104">
        <v>3965.3740234375</v>
      </c>
      <c r="I20" s="108">
        <v>0.73434764649542383</v>
      </c>
    </row>
    <row r="21" spans="1:10" ht="16.5" x14ac:dyDescent="0.25">
      <c r="A21" s="106" t="s">
        <v>50</v>
      </c>
      <c r="B21" s="106">
        <v>582.017822265625</v>
      </c>
      <c r="C21" s="106">
        <v>464.3837890625</v>
      </c>
      <c r="D21" s="108">
        <v>0.79788585726600236</v>
      </c>
      <c r="F21" s="106" t="s">
        <v>50</v>
      </c>
      <c r="G21" s="106">
        <v>464.3837890625</v>
      </c>
      <c r="H21" s="106">
        <v>252.23100280761719</v>
      </c>
      <c r="I21" s="108">
        <v>0.54315204093756642</v>
      </c>
    </row>
    <row r="22" spans="1:10" ht="16.5" x14ac:dyDescent="0.25">
      <c r="A22" s="104" t="s">
        <v>51</v>
      </c>
      <c r="B22" s="104">
        <v>3025.611083984375</v>
      </c>
      <c r="C22" s="104">
        <v>2083.0380859375</v>
      </c>
      <c r="D22" s="108">
        <v>0.68846855333250001</v>
      </c>
      <c r="F22" s="104" t="s">
        <v>51</v>
      </c>
      <c r="G22" s="104">
        <v>2083.0380859375</v>
      </c>
      <c r="H22" s="104">
        <v>1196.98095703125</v>
      </c>
      <c r="I22" s="108">
        <v>0.57463229554563433</v>
      </c>
    </row>
    <row r="23" spans="1:10" ht="16.5" x14ac:dyDescent="0.25">
      <c r="A23" s="104" t="s">
        <v>13</v>
      </c>
      <c r="B23" s="104">
        <v>703.511962890625</v>
      </c>
      <c r="C23" s="104">
        <v>557.239990234375</v>
      </c>
      <c r="D23" s="108">
        <v>0.792083176446296</v>
      </c>
      <c r="F23" s="104" t="s">
        <v>13</v>
      </c>
      <c r="G23" s="104">
        <v>557.239990234375</v>
      </c>
      <c r="H23" s="104">
        <v>370.65283203125</v>
      </c>
      <c r="I23" s="108">
        <v>0.66515834923361028</v>
      </c>
    </row>
    <row r="24" spans="1:10" ht="16.5" x14ac:dyDescent="0.25">
      <c r="A24" s="105" t="s">
        <v>100</v>
      </c>
      <c r="B24" s="105">
        <v>1877.992919921875</v>
      </c>
      <c r="C24" s="105">
        <v>1299.718017578125</v>
      </c>
      <c r="D24" s="108">
        <v>0.69207823085520126</v>
      </c>
      <c r="F24" s="105" t="s">
        <v>100</v>
      </c>
      <c r="G24" s="105">
        <v>1299.718017578125</v>
      </c>
      <c r="H24" s="105">
        <v>889.0048828125</v>
      </c>
      <c r="I24" s="108">
        <v>0.68399827561755155</v>
      </c>
    </row>
    <row r="25" spans="1:10" ht="16.5" x14ac:dyDescent="0.25">
      <c r="A25" s="104" t="s">
        <v>53</v>
      </c>
      <c r="B25" s="104">
        <v>363.656982421875</v>
      </c>
      <c r="C25" s="104">
        <v>289.52392578125</v>
      </c>
      <c r="D25" s="108">
        <v>0.79614565311817953</v>
      </c>
      <c r="F25" s="104" t="s">
        <v>53</v>
      </c>
      <c r="G25" s="104">
        <v>289.52392578125</v>
      </c>
      <c r="H25" s="104">
        <v>209.50300598144531</v>
      </c>
      <c r="I25" s="108">
        <v>0.72361206562160063</v>
      </c>
    </row>
    <row r="27" spans="1:10" x14ac:dyDescent="0.25">
      <c r="A27" t="s">
        <v>54</v>
      </c>
      <c r="D27" s="110">
        <f>MEDIAN(D18:D25)</f>
        <v>0.75167813227176894</v>
      </c>
      <c r="I27" s="110">
        <f>MEDIAN(I18:I25)</f>
        <v>0.69510684587622873</v>
      </c>
      <c r="J27" s="1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Reference Naming</vt:lpstr>
      <vt:lpstr>Risk WP</vt:lpstr>
      <vt:lpstr>Size Table</vt:lpstr>
      <vt:lpstr>Growth and Margin</vt:lpstr>
      <vt:lpstr>CAPX to Plant</vt:lpstr>
      <vt:lpstr>Plant to investment</vt:lpstr>
      <vt:lpstr>abbrev</vt:lpstr>
      <vt:lpstr>name</vt:lpstr>
      <vt:lpstr>'Risk WP'!Print_Area</vt:lpstr>
      <vt:lpstr>'Risk WP'!Print_Titles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cp:lastPrinted>2018-06-01T20:21:57Z</cp:lastPrinted>
  <dcterms:created xsi:type="dcterms:W3CDTF">2016-12-03T21:49:44Z</dcterms:created>
  <dcterms:modified xsi:type="dcterms:W3CDTF">2018-06-20T18:41:06Z</dcterms:modified>
</cp:coreProperties>
</file>